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sheet" sheetId="1" r:id="rId3"/>
    <sheet state="visible" name="fantasy sheet" sheetId="2" r:id="rId4"/>
    <sheet state="hidden" name="Sheet15" sheetId="3" r:id="rId5"/>
    <sheet state="visible" name="MASTER" sheetId="4" r:id="rId6"/>
    <sheet state="visible" name="desire_urboys" sheetId="5" r:id="rId7"/>
    <sheet state="visible" name="takasago" sheetId="6" r:id="rId8"/>
    <sheet state="visible" name="tokitsukaze" sheetId="7" r:id="rId9"/>
    <sheet state="hidden" name="Seattle" sheetId="8" r:id="rId10"/>
    <sheet state="hidden" name="dewanoumi" sheetId="9" r:id="rId11"/>
    <sheet state="hidden" name="BanzukeTable" sheetId="10" r:id="rId12"/>
    <sheet state="visible" name="KIMARITE" sheetId="11" r:id="rId13"/>
    <sheet state="hidden" name="Lake City" sheetId="12" r:id="rId14"/>
    <sheet state="hidden" name="kimarite post" sheetId="13" r:id="rId15"/>
    <sheet state="visible" name="for Natto" sheetId="14" r:id="rId16"/>
  </sheets>
  <definedNames>
    <definedName localSheetId="3" name="day_4.1">MASTER!$E$2:$E$51</definedName>
    <definedName localSheetId="4" name="day_8.1">desire_urboys!$I$12:$I$61</definedName>
    <definedName localSheetId="10" name="kM">KIMARITE!$M$2:$M$43</definedName>
    <definedName localSheetId="4" name="day_1.4">desire_urboys!$B$12:$B$65</definedName>
    <definedName localSheetId="5" name="lastday">takasago!$Q$54:$U$63</definedName>
    <definedName name="kG">#REF!</definedName>
    <definedName localSheetId="10" name="kG">KIMARITE!$G$2:$G$43</definedName>
    <definedName localSheetId="5" name="day_7">takasago!$H$12:$H$59</definedName>
    <definedName name="day_9">#REF!</definedName>
    <definedName localSheetId="11" name="lastday">'Lake City'!$Q$61:$U$70</definedName>
    <definedName localSheetId="8" name="day_13">dewanoumi!$N$19:$N$66</definedName>
    <definedName localSheetId="11" name="bonuspoints">'Lake City'!$B$61:$U$70</definedName>
    <definedName localSheetId="7" name="normalpoints">Seattle!$B$19:$P$60</definedName>
    <definedName localSheetId="8" name="day_4.1">dewanoumi!$E$19:$E$69</definedName>
    <definedName localSheetId="6" name="day_11.1">tokitsukaze!$L$12:$L$66</definedName>
    <definedName localSheetId="4" name="lastday">desire_urboys!$Q$54:$U$63</definedName>
    <definedName localSheetId="4" name="day_10">desire_urboys!$K$12:$K$59</definedName>
    <definedName localSheetId="3" name="day_7">MASTER!$H$2:$H$49</definedName>
    <definedName name="day_3">#REF!</definedName>
    <definedName localSheetId="3" name="bonuspoints2">MASTER!$B$44:$U$58</definedName>
    <definedName localSheetId="11" name="day_15">'Lake City'!$P$19:$P$70</definedName>
    <definedName localSheetId="11" name="day_13">'Lake City'!$N$19:$N$66</definedName>
    <definedName localSheetId="5" name="day_4.1">takasago!$E$12:$E$61</definedName>
    <definedName localSheetId="5" name="day_12">takasago!$M$12:$M$60</definedName>
    <definedName localSheetId="10" name="kO">KIMARITE!$O$2:$O$43</definedName>
    <definedName localSheetId="10" name="kK">KIMARITE!$K$2:$K$43</definedName>
    <definedName localSheetId="3" name="day_12">MASTER!$M$2:$M$50</definedName>
    <definedName localSheetId="3" name="day_9">MASTER!$J$2:$J$58</definedName>
    <definedName localSheetId="7" name="day_14">Seattle!$O$19:$O$70</definedName>
    <definedName name="day_10">#REF!</definedName>
    <definedName localSheetId="10" name="kD">KIMARITE!$D$2:$D$43</definedName>
    <definedName localSheetId="6" name="day_12">tokitsukaze!$M$12:$M$60</definedName>
    <definedName localSheetId="5" name="day_8.1">takasago!$I$12:$I$61</definedName>
    <definedName localSheetId="10" name="kF">KIMARITE!$F$2:$F$43</definedName>
    <definedName name="kM">#REF!</definedName>
    <definedName name="day_15">#REF!</definedName>
    <definedName localSheetId="5" name="day_13">takasago!$N$12:$N$59</definedName>
    <definedName localSheetId="8" name="lastday">dewanoumi!$Q$61:$U$70</definedName>
    <definedName localSheetId="6" name="day_15">tokitsukaze!$P$12:$P$63</definedName>
    <definedName localSheetId="5" name="day_2.6">takasago!$C$12:$C$68</definedName>
    <definedName name="day_2">#REF!</definedName>
    <definedName localSheetId="7" name="day_8">Seattle!$I$19:$I$66</definedName>
    <definedName localSheetId="11" name="day_10">'Lake City'!$K$19:$K$66</definedName>
    <definedName localSheetId="8" name="day_14">dewanoumi!$O$19:$O$70</definedName>
    <definedName name="kJ">#REF!</definedName>
    <definedName localSheetId="11" name="day_7">'Lake City'!$H$19:$H$66</definedName>
    <definedName localSheetId="7" name="day_10">Seattle!$K$19:$K$66</definedName>
    <definedName localSheetId="6" name="day_3.6">tokitsukaze!$D$12:$D$68</definedName>
    <definedName localSheetId="5" name="bonuspoints2">takasago!$B$54:$U$68</definedName>
    <definedName localSheetId="7" name="day_9">Seattle!$J$19:$J$66</definedName>
    <definedName localSheetId="11" name="day_9">'Lake City'!$J$19:$J$66</definedName>
    <definedName localSheetId="10" name="kN">KIMARITE!$N$2:$N$43</definedName>
    <definedName localSheetId="7" name="bonuspoints">Seattle!$B$61:$U$70</definedName>
    <definedName localSheetId="5" name="day_11.1">takasago!$L$12:$L$66</definedName>
    <definedName localSheetId="10" name="kC">KIMARITE!$C$2:$C$43</definedName>
    <definedName name="kL">#REF!</definedName>
    <definedName name="kH">#REF!</definedName>
    <definedName name="bonuspoints">#REF!</definedName>
    <definedName localSheetId="7" name="day_12">Seattle!$M$19:$M$67</definedName>
    <definedName localSheetId="8" name="day_2.5">dewanoumi!$C$19:$C$73</definedName>
    <definedName name="day_7">#REF!</definedName>
    <definedName name="lastday">#REF!</definedName>
    <definedName localSheetId="8" name="day_11.4">dewanoumi!$L$19:$L$72</definedName>
    <definedName localSheetId="4" name="day_12">desire_urboys!$M$12:$M$60</definedName>
    <definedName name="ALL_KIMARITE_SUM">KIMARITE!$AE$134</definedName>
    <definedName name="total3k">#REF!</definedName>
    <definedName localSheetId="4" name="day_11.1">desire_urboys!$L$12:$L$66</definedName>
    <definedName localSheetId="8" name="day_6.1">dewanoumi!$G$19:$G$69</definedName>
    <definedName localSheetId="4" name="normalpoints">desire_urboys!$B$12:$P$53</definedName>
    <definedName localSheetId="3" name="day_11.1">MASTER!$L$2:$L$56</definedName>
    <definedName name="kD">#REF!</definedName>
    <definedName localSheetId="8" name="day_8">dewanoumi!$I$19:$I$66</definedName>
    <definedName localSheetId="3" name="day_2.6">MASTER!$C$2:$C$58</definedName>
    <definedName localSheetId="4" name="day_2.6">desire_urboys!$C$12:$C$68</definedName>
    <definedName localSheetId="6" name="day_1.4">tokitsukaze!$B$12:$B$65</definedName>
    <definedName localSheetId="5" name="day_9">takasago!$J$12:$J$68</definedName>
    <definedName localSheetId="7" name="day_3.3">Seattle!$D$19:$D$75</definedName>
    <definedName localSheetId="6" name="normalpoints">tokitsukaze!$B$12:$P$53</definedName>
    <definedName localSheetId="3" name="lastday">MASTER!$Q$44:$U$53</definedName>
    <definedName localSheetId="6" name="day_8.1">tokitsukaze!$I$12:$I$61</definedName>
    <definedName localSheetId="4" name="day_4.1">desire_urboys!$E$12:$E$61</definedName>
    <definedName localSheetId="5" name="day_15">takasago!$P$12:$P$63</definedName>
    <definedName localSheetId="7" name="day_4.1">Seattle!$E$19:$E$69</definedName>
    <definedName name="day_11">#REF!</definedName>
    <definedName name="day_14">#REF!</definedName>
    <definedName localSheetId="6" name="day_5.4">tokitsukaze!$F$12:$F$64</definedName>
    <definedName localSheetId="10" name="total7K">KIMARITE!$Q$45:$Q$76</definedName>
    <definedName localSheetId="6" name="day_14">tokitsukaze!$O$12:$O$64</definedName>
    <definedName localSheetId="10" name="kI">KIMARITE!$I$2:$I$43</definedName>
    <definedName name="kE">#REF!</definedName>
    <definedName localSheetId="4" name="day_13">desire_urboys!$N$12:$N$59</definedName>
    <definedName name="kO">#REF!</definedName>
    <definedName localSheetId="11" name="day_12">'Lake City'!$M$19:$M$67</definedName>
    <definedName name="kK">#REF!</definedName>
    <definedName name="kC">#REF!</definedName>
    <definedName localSheetId="5" name="normalpoints">takasago!$B$12:$P$53</definedName>
    <definedName localSheetId="8" name="day_3.5">dewanoumi!$D$19:$D$75</definedName>
    <definedName name="normalpoints">#REF!</definedName>
    <definedName localSheetId="11" name="day_5.1">'Lake City'!$F$19:$F$71</definedName>
    <definedName localSheetId="3" name="day_8.1">MASTER!$I$2:$I$51</definedName>
    <definedName localSheetId="7" name="day_7">Seattle!$H$19:$H$66</definedName>
    <definedName localSheetId="6" name="bonuspoints2">tokitsukaze!$B$54:$U$68</definedName>
    <definedName localSheetId="6" name="day_2.6">tokitsukaze!$C$12:$C$68</definedName>
    <definedName localSheetId="7" name="lastday">Seattle!$Q$61:$U$70</definedName>
    <definedName localSheetId="4" name="day_6.1">desire_urboys!$G$12:$G$62</definedName>
    <definedName localSheetId="11" name="day_8">'Lake City'!$I$19:$I$66</definedName>
    <definedName localSheetId="8" name="day_7">dewanoumi!$H$19:$H$66</definedName>
    <definedName localSheetId="7" name="day_2.1">Seattle!$C$19:$C$73</definedName>
    <definedName name="totalK">#REF!</definedName>
    <definedName localSheetId="6" name="day_6.1">tokitsukaze!$G$12:$G$62</definedName>
    <definedName localSheetId="10" name="kJ">KIMARITE!$J$2:$J$43</definedName>
    <definedName localSheetId="10" name="kP">KIMARITE!$P$2:$P$43</definedName>
    <definedName localSheetId="4" name="bonuspoints2">desire_urboys!$B$54:$U$68</definedName>
    <definedName name="day_6">#REF!</definedName>
    <definedName localSheetId="4" name="day_9">desire_urboys!$J$12:$J$68</definedName>
    <definedName localSheetId="8" name="day_10">dewanoumi!$K$19:$K$66</definedName>
    <definedName localSheetId="6" name="day_13">tokitsukaze!$N$12:$N$59</definedName>
    <definedName localSheetId="3" name="day_6.1">MASTER!$G$2:$G$52</definedName>
    <definedName localSheetId="5" name="day_3.6">takasago!$D$12:$D$68</definedName>
    <definedName localSheetId="5" name="day_6.1">takasago!$G$12:$G$62</definedName>
    <definedName localSheetId="4" name="day_15">desire_urboys!$P$12:$P$63</definedName>
    <definedName localSheetId="6" name="day_7">tokitsukaze!$H$12:$H$59</definedName>
    <definedName localSheetId="6" name="day_10">tokitsukaze!$K$12:$K$59</definedName>
    <definedName localSheetId="5" name="day_14">takasago!$O$12:$O$64</definedName>
    <definedName localSheetId="10" name="kB">KIMARITE!$B$2:$B$43</definedName>
    <definedName localSheetId="10" name="kH">KIMARITE!$H$2:$H$43</definedName>
    <definedName localSheetId="3" name="normalpoints">MASTER!$B$2:$P$43</definedName>
    <definedName name="day_8">#REF!</definedName>
    <definedName localSheetId="3" name="day_15">MASTER!$P$2:$P$53</definedName>
    <definedName localSheetId="4" name="day_7">desire_urboys!$H$12:$H$59</definedName>
    <definedName localSheetId="7" name="day_1.7">Seattle!$B$19:$B$72</definedName>
    <definedName localSheetId="8" name="day_9.1">dewanoumi!$J$19:$J$72</definedName>
    <definedName localSheetId="11" name="day_4.1">'Lake City'!$E$19:$E$69</definedName>
    <definedName name="kF">#REF!</definedName>
    <definedName name="kI">#REF!</definedName>
    <definedName localSheetId="11" name="day_11">'Lake City'!$L$19:$L$66</definedName>
    <definedName localSheetId="7" name="day_6.1">Seattle!$G$19:$G$69</definedName>
    <definedName localSheetId="6" name="lastday">tokitsukaze!$Q$54:$U$63</definedName>
    <definedName localSheetId="3" name="day_3.6">MASTER!$D$2:$D$58</definedName>
    <definedName name="day_5">#REF!</definedName>
    <definedName localSheetId="4" name="day_3.6">desire_urboys!$D$12:$D$68</definedName>
    <definedName localSheetId="5" name="day_5.4">takasago!$F$12:$F$64</definedName>
    <definedName name="kP">#REF!</definedName>
    <definedName localSheetId="6" name="day_9">tokitsukaze!$J$12:$J$68</definedName>
    <definedName localSheetId="7" name="day_5.2">Seattle!$F$19:$F$71</definedName>
    <definedName localSheetId="3" name="day_14">MASTER!$O$2:$O$54</definedName>
    <definedName localSheetId="8" name="day_1.8">dewanoumi!$B$19:$B$72</definedName>
    <definedName localSheetId="11" name="day_6.1">'Lake City'!$G$19:$G$69</definedName>
    <definedName localSheetId="4" name="day_14">desire_urboys!$O$12:$O$64</definedName>
    <definedName name="kB">#REF!</definedName>
    <definedName localSheetId="7" name="day_11.2">Seattle!$L$19:$L$72</definedName>
    <definedName localSheetId="11" name="day_3.2">'Lake City'!$D$19:$D$70</definedName>
    <definedName localSheetId="6" name="day_4.1">tokitsukaze!$E$12:$E$61</definedName>
    <definedName localSheetId="10" name="k_total">KIMARITE!$Q$45:$Q$132</definedName>
    <definedName localSheetId="10" name="kL">KIMARITE!$L$2:$L$43</definedName>
    <definedName name="kN">#REF!</definedName>
    <definedName localSheetId="8" name="normalpoints">dewanoumi!$B$19:$P$60</definedName>
    <definedName localSheetId="8" name="bonuspoints">dewanoumi!$B$61:$U$70</definedName>
    <definedName localSheetId="3" name="day_10">MASTER!$K$2:$K$49</definedName>
    <definedName localSheetId="8" name="day_15">dewanoumi!$P$19:$P$70</definedName>
    <definedName localSheetId="3" name="day_13">MASTER!$N$2:$N$50</definedName>
    <definedName localSheetId="3" name="day_1.4">MASTER!$B$2:$B$55</definedName>
    <definedName name="day_1">#REF!</definedName>
    <definedName localSheetId="8" name="day_12">dewanoumi!$M$19:$M$67</definedName>
    <definedName localSheetId="11" name="normalpoints">'Lake City'!$B$19:$P$60</definedName>
    <definedName localSheetId="5" name="day_10">takasago!$K$12:$K$59</definedName>
    <definedName name="day_12">#REF!</definedName>
    <definedName name="day_4">#REF!</definedName>
    <definedName localSheetId="11" name="day_2.2">'Lake City'!$C$19:$C$70</definedName>
    <definedName localSheetId="7" name="day_15">Seattle!$P$19:$P$70</definedName>
    <definedName localSheetId="8" name="day_5.6">dewanoumi!$F$19:$F$71</definedName>
    <definedName localSheetId="11" name="day_1.3">'Lake City'!$B$19:$B$68</definedName>
    <definedName name="k_t">#REF!</definedName>
    <definedName localSheetId="4" name="day_5.4">desire_urboys!$F$12:$F$64</definedName>
    <definedName localSheetId="3" name="day_5.4">MASTER!$F$2:$F$54</definedName>
    <definedName name="day_13">#REF!</definedName>
    <definedName localSheetId="7" name="day_13">Seattle!$N$19:$N$66</definedName>
    <definedName localSheetId="10" name="kE">KIMARITE!$E$2:$E$43</definedName>
    <definedName localSheetId="5" name="day_1.4">takasago!$B$12:$B$65</definedName>
    <definedName localSheetId="11" name="day_14">'Lake City'!$O$19:$O$70</definedName>
  </definedNames>
  <calcPr/>
</workbook>
</file>

<file path=xl/sharedStrings.xml><?xml version="1.0" encoding="utf-8"?>
<sst xmlns="http://schemas.openxmlformats.org/spreadsheetml/2006/main" count="4775" uniqueCount="878">
  <si>
    <t>img</t>
  </si>
  <si>
    <t>current_rank</t>
  </si>
  <si>
    <t>name</t>
  </si>
  <si>
    <t>yusho</t>
  </si>
  <si>
    <t>shukun_sho</t>
  </si>
  <si>
    <t>kanto_sho</t>
  </si>
  <si>
    <t>gino_sho</t>
  </si>
  <si>
    <t>kinboshi</t>
  </si>
  <si>
    <t>age</t>
  </si>
  <si>
    <t>height</t>
  </si>
  <si>
    <t>weight</t>
  </si>
  <si>
    <t>heya</t>
  </si>
  <si>
    <t>highest_rank</t>
  </si>
  <si>
    <t>http://sumo.or.jp/img/sumo_data/rikishi/60x60/20002320.jpg</t>
  </si>
  <si>
    <t>Y</t>
  </si>
  <si>
    <t>hakuho</t>
  </si>
  <si>
    <t>miyagino</t>
  </si>
  <si>
    <t>y</t>
  </si>
  <si>
    <t>http://sumo.or.jp/img/sumo_data/rikishi/60x60/20010035.jpg</t>
  </si>
  <si>
    <t>kakuryu</t>
  </si>
  <si>
    <t>michinoku</t>
  </si>
  <si>
    <t>http://sumo.or.jp/img/sumo_data/rikishi/60x60/20160019.jpg</t>
  </si>
  <si>
    <t>O</t>
  </si>
  <si>
    <t>asanoyama</t>
  </si>
  <si>
    <t>takasago</t>
  </si>
  <si>
    <t>o1w</t>
  </si>
  <si>
    <t>http://sumo.or.jp/img/sumo_data/rikishi/60x60/20140083.jpg</t>
  </si>
  <si>
    <t>takakeisho</t>
  </si>
  <si>
    <t>chiganoura</t>
  </si>
  <si>
    <t>o1e</t>
  </si>
  <si>
    <t>http://sumo.or.jp/img/sumo_data/rikishi/60x60/20140019.jpg</t>
  </si>
  <si>
    <t>S</t>
  </si>
  <si>
    <t>shodai</t>
  </si>
  <si>
    <t>tokitsukaze</t>
  </si>
  <si>
    <t>s1w</t>
  </si>
  <si>
    <t>http://sumo.or.jp/img/sumo_data/rikishi/60x60/20150032.jpg</t>
  </si>
  <si>
    <t>mitakeumi</t>
  </si>
  <si>
    <t>dewanoumi</t>
  </si>
  <si>
    <t>s1e</t>
  </si>
  <si>
    <t>http://sumo.or.jp/img/sumo_data/rikishi/60x60/20120003.jpg</t>
  </si>
  <si>
    <t>daieisho</t>
  </si>
  <si>
    <t>oitekaze</t>
  </si>
  <si>
    <t>s2e</t>
  </si>
  <si>
    <t>http://sumo.or.jp/img/sumo_data/rikishi/60x60/20050003.jpg</t>
  </si>
  <si>
    <t>K</t>
  </si>
  <si>
    <t>okinoumi</t>
  </si>
  <si>
    <t>hakkaku</t>
  </si>
  <si>
    <t>http://sumo.or.jp/img/sumo_data/rikishi/60x60/20130036.jpg</t>
  </si>
  <si>
    <t>endo</t>
  </si>
  <si>
    <t>k1w</t>
  </si>
  <si>
    <t>http://sumo.or.jp/img/sumo_data/rikishi/60x60/20110008.jpg</t>
  </si>
  <si>
    <t>terunofuji</t>
  </si>
  <si>
    <t>isegahama</t>
  </si>
  <si>
    <t>http://sumo.or.jp/img/sumo_data/rikishi/60x60/20100039.jpg</t>
  </si>
  <si>
    <t>takanosho</t>
  </si>
  <si>
    <t>m1w</t>
  </si>
  <si>
    <t>http://sumo.or.jp/img/sumo_data/rikishi/60x60/20150042.jpg</t>
  </si>
  <si>
    <t>hokutofuji</t>
  </si>
  <si>
    <t>http://sumo.or.jp/img/sumo_data/rikishi/60x60/20040005.jpg</t>
  </si>
  <si>
    <t>tamawashi</t>
  </si>
  <si>
    <t>kataonami</t>
  </si>
  <si>
    <t>http://sumo.or.jp/img/sumo_data/rikishi/60x60/20090065.jpg</t>
  </si>
  <si>
    <t>myogiryu</t>
  </si>
  <si>
    <t>sakaigawa</t>
  </si>
  <si>
    <t>http://sumo.or.jp/img/sumo_data/rikishi/60x60/20100052.jpg</t>
  </si>
  <si>
    <t>terutsuyoshi</t>
  </si>
  <si>
    <t>0</t>
  </si>
  <si>
    <t>1</t>
  </si>
  <si>
    <t>m7e</t>
  </si>
  <si>
    <t>http://sumo.or.jp/img/sumo_data/rikishi/60x60/20160020.jpg</t>
  </si>
  <si>
    <t>yutakayama</t>
  </si>
  <si>
    <t>http://sumo.or.jp/img/sumo_data/rikishi/60x60/20060028.jpg</t>
  </si>
  <si>
    <t>tochinoshin</t>
  </si>
  <si>
    <t>kasugano</t>
  </si>
  <si>
    <t>o2w</t>
  </si>
  <si>
    <t>http://sumo.or.jp/img/sumo_data/rikishi/60x60/20150034.jpg</t>
  </si>
  <si>
    <t>kiribayama</t>
  </si>
  <si>
    <t>m3w</t>
  </si>
  <si>
    <t>http://sumo.or.jp/img/sumo_data/rikishi/60x60/20090004.jpg</t>
  </si>
  <si>
    <t>takarafuji</t>
  </si>
  <si>
    <t>http://sumo.or.jp/img/sumo_data/rikishi/60x60/20050022.jpg</t>
  </si>
  <si>
    <t>takayasu</t>
  </si>
  <si>
    <t>tagonoura</t>
  </si>
  <si>
    <t>http://sumo.or.jp/img/sumo_data/rikishi/60x60/20100029.jpg</t>
  </si>
  <si>
    <t>kagayaki</t>
  </si>
  <si>
    <t>takadagawa</t>
  </si>
  <si>
    <t>m4e</t>
  </si>
  <si>
    <t>http://sumo.or.jp/img/sumo_data/rikishi/60x60/20060023.jpg</t>
  </si>
  <si>
    <t>ryuden</t>
  </si>
  <si>
    <t>http://sumo.or.jp/img/sumo_data/rikishi/60x60/20090067.jpg</t>
  </si>
  <si>
    <t>aoiyama</t>
  </si>
  <si>
    <t>http://sumo.or.jp/img/sumo_data/rikishi/60x60/20090002.jpg</t>
  </si>
  <si>
    <t>tokushoryu</t>
  </si>
  <si>
    <t>kise</t>
  </si>
  <si>
    <t>m2w</t>
  </si>
  <si>
    <t>http://sumo.or.jp/img/sumo_data/rikishi/60x60/20170011.jpg</t>
  </si>
  <si>
    <t>wakatakakage</t>
  </si>
  <si>
    <t>arashio</t>
  </si>
  <si>
    <t>m8w</t>
  </si>
  <si>
    <t>http://sumo.or.jp/img/sumo_data/rikishi/60x60/20170053.jpg</t>
  </si>
  <si>
    <t>enho</t>
  </si>
  <si>
    <t>http://sumo.or.jp/img/sumo_data/rikishi/60x60/20130005.jpg</t>
  </si>
  <si>
    <t>onosho</t>
  </si>
  <si>
    <t>onomatsu</t>
  </si>
  <si>
    <t>http://sumo.or.jp/img/sumo_data/rikishi/60x60/20030054.jpg</t>
  </si>
  <si>
    <t>sadanoumi</t>
  </si>
  <si>
    <t>http://sumo.or.jp/img/sumo_data/rikishi/60x60/20070057.jpg</t>
  </si>
  <si>
    <t>kotoeko</t>
  </si>
  <si>
    <t>sadogatake</t>
  </si>
  <si>
    <t>m7w</t>
  </si>
  <si>
    <t>http://sumo.or.jp/img/sumo_data/rikishi/60x60/20110015.jpg</t>
  </si>
  <si>
    <t>chiyotairyu</t>
  </si>
  <si>
    <t>kokonoe</t>
  </si>
  <si>
    <t>http://sumo.or.jp/img/sumo_data/rikishi/60x60/20020002.jpg</t>
  </si>
  <si>
    <t>kotoshogiku</t>
  </si>
  <si>
    <t>http://sumo.or.jp/img/sumo_data/rikishi/60x60/20170094.jpg</t>
  </si>
  <si>
    <t>kotoshoho</t>
  </si>
  <si>
    <t>m12e</t>
  </si>
  <si>
    <t>http://sumo.or.jp/img/sumo_data/rikishi/60x60/20060091.jpg</t>
  </si>
  <si>
    <t>kaisei</t>
  </si>
  <si>
    <t>tomozuna</t>
  </si>
  <si>
    <t>http://sumo.or.jp/img/sumo_data/rikishi/60x60/20110029.jpg</t>
  </si>
  <si>
    <t>meisei</t>
  </si>
  <si>
    <t>tatsunami</t>
  </si>
  <si>
    <t>http://sumo.or.jp/img/sumo_data/rikishi/60x60/20130013.jpg</t>
  </si>
  <si>
    <t>ishiura</t>
  </si>
  <si>
    <t>m8e</t>
  </si>
  <si>
    <t>http://sumo.or.jp/img/sumo_data/rikishi/60x60/20150005.jpg</t>
  </si>
  <si>
    <t>tobizaru</t>
  </si>
  <si>
    <t>m14e</t>
  </si>
  <si>
    <t>http://sumo.or.jp/img/sumo_data/rikishi/60x60/20130059.jpg</t>
  </si>
  <si>
    <t>abi</t>
  </si>
  <si>
    <t>shikoroyama</t>
  </si>
  <si>
    <t>k1e</t>
  </si>
  <si>
    <t>http://sumo.or.jp/img/sumo_data/rikishi/60x60/20120047.jpg</t>
  </si>
  <si>
    <t>shimanoumi</t>
  </si>
  <si>
    <t>m6e</t>
  </si>
  <si>
    <t>http://sumo.or.jp/img/sumo_data/rikishi/60x60/20060043.jpg</t>
  </si>
  <si>
    <t>shohozan</t>
  </si>
  <si>
    <t>nishonoseki</t>
  </si>
  <si>
    <t>http://sumo.or.jp/img/sumo_data/rikishi/60x60/20080001.jpg</t>
  </si>
  <si>
    <t>kyokutaisei</t>
  </si>
  <si>
    <t>http://www.sumo.or.jp/img/sumo_data/rikishi/60x60/20170096.jpg</t>
  </si>
  <si>
    <t>hoshoryu</t>
  </si>
  <si>
    <t>m16w</t>
  </si>
  <si>
    <t>http://sumo.or.jp/img/sumo_data/rikishi/60x60/20130077.jpg</t>
  </si>
  <si>
    <t>ichinojo</t>
  </si>
  <si>
    <t>minato</t>
  </si>
  <si>
    <t>http://sumo.or.jp/img/sumo_data/rikishi/60x60/20050033.jpg</t>
  </si>
  <si>
    <t>j1</t>
  </si>
  <si>
    <t>ikioi</t>
  </si>
  <si>
    <t>isenoumi</t>
  </si>
  <si>
    <t>http://sumo.or.jp/img/sumo_data/rikishi/60x60/20060025.jpg</t>
  </si>
  <si>
    <t>nishikigi</t>
  </si>
  <si>
    <t>m2e</t>
  </si>
  <si>
    <t>http://sumo.or.jp/img/sumo_data/rikishi/60x60/20080032.jpg</t>
  </si>
  <si>
    <t>j2</t>
  </si>
  <si>
    <t>kotoyuki</t>
  </si>
  <si>
    <t>http://sumo.or.jp/img/sumo_data/rikishi/60x60/20150081.jpg</t>
  </si>
  <si>
    <t>kotonowaka</t>
  </si>
  <si>
    <t>m13w</t>
  </si>
  <si>
    <t>http://sumo.or.jp/img/sumo_data/rikishi/60x60/20070085.jpg</t>
  </si>
  <si>
    <t>j3</t>
  </si>
  <si>
    <t>chiyomaru</t>
  </si>
  <si>
    <t>m5e</t>
  </si>
  <si>
    <t>http://sumo.or.jp/img/sumo_data/rikishi/60x60/20090066.jpg</t>
  </si>
  <si>
    <t>j4</t>
  </si>
  <si>
    <t>chiyoshoma</t>
  </si>
  <si>
    <t>http://sumo.or.jp/img/sumo_data/rikishi/60x60/20160002.jpg</t>
  </si>
  <si>
    <t>daiamami</t>
  </si>
  <si>
    <t>m11e</t>
  </si>
  <si>
    <t>http://sumo.or.jp/img/sumo_data/rikishi/60x60/20140033.jpg</t>
  </si>
  <si>
    <t>j5</t>
  </si>
  <si>
    <t>daishomaru</t>
  </si>
  <si>
    <t>http://sumo.or.jp/img/sumo_data/rikishi/60x60/20080097.jpg</t>
  </si>
  <si>
    <t>j7</t>
  </si>
  <si>
    <t>azumaryu</t>
  </si>
  <si>
    <t>tamanoi</t>
  </si>
  <si>
    <t>http://sumo.or.jp/img/sumo_data/rikishi/60x60/20140002.jpg</t>
  </si>
  <si>
    <t>j8</t>
  </si>
  <si>
    <t>tsurugisho</t>
  </si>
  <si>
    <t>http://sumo.or.jp/img/sumo_data/rikishi/60x60/20120049.jpg</t>
  </si>
  <si>
    <t>j9</t>
  </si>
  <si>
    <t>hidenoumi</t>
  </si>
  <si>
    <t>m12w</t>
  </si>
  <si>
    <t>http://sumo.or.jp/img/sumo_data/rikishi/60x60/20060071.jpg</t>
  </si>
  <si>
    <t>j11</t>
  </si>
  <si>
    <t>chiyonokuni</t>
  </si>
  <si>
    <t>m1e</t>
  </si>
  <si>
    <t>http://sumo.or.jp/img/sumo_data/rikishi/60x60/20130002.jpg</t>
  </si>
  <si>
    <t>j12</t>
  </si>
  <si>
    <t>daishoho</t>
  </si>
  <si>
    <t>m9w</t>
  </si>
  <si>
    <t>http://www.sumo.or.jp/img/sumo_data/rikishi/60x60/20130040.jpg</t>
  </si>
  <si>
    <t>ms1</t>
  </si>
  <si>
    <t>takagenji</t>
  </si>
  <si>
    <t>m10w</t>
  </si>
  <si>
    <t>http://www.sumo.or.jp/img/sumo_data/rikishi/60x60/20170069.jpg</t>
  </si>
  <si>
    <t>ms8</t>
  </si>
  <si>
    <t>yago</t>
  </si>
  <si>
    <t>oguruma</t>
  </si>
  <si>
    <t>http://www.sumo.or.jp/img/sumo_data/rikishi/60x60/20170071.jpg</t>
  </si>
  <si>
    <t>ms52</t>
  </si>
  <si>
    <t>tomokaze</t>
  </si>
  <si>
    <t>total # of</t>
  </si>
  <si>
    <t>rank</t>
  </si>
  <si>
    <t>wrestler</t>
  </si>
  <si>
    <t>M basho</t>
  </si>
  <si>
    <t>FS points</t>
  </si>
  <si>
    <t>average PPB</t>
  </si>
  <si>
    <t>fantasy leaders</t>
  </si>
  <si>
    <t>total PPB</t>
  </si>
  <si>
    <t>j</t>
  </si>
  <si>
    <t>mk</t>
  </si>
  <si>
    <t>ms</t>
  </si>
  <si>
    <t>sd</t>
  </si>
  <si>
    <t>jd</t>
  </si>
  <si>
    <t>jk</t>
  </si>
  <si>
    <t>gagamaru</t>
  </si>
  <si>
    <t>chiyootori</t>
  </si>
  <si>
    <t>jokoryu</t>
  </si>
  <si>
    <t>toyohibiki</t>
  </si>
  <si>
    <t>masunoyama</t>
  </si>
  <si>
    <t>kyokushuho</t>
  </si>
  <si>
    <t>fujiazuma</t>
  </si>
  <si>
    <t>akiseyama</t>
  </si>
  <si>
    <t>JURYO</t>
  </si>
  <si>
    <t>-</t>
  </si>
  <si>
    <t>INTAI</t>
  </si>
  <si>
    <t>(career avg)</t>
  </si>
  <si>
    <t>total basho</t>
  </si>
  <si>
    <t>asashoryu</t>
  </si>
  <si>
    <t>kotomitsuki</t>
  </si>
  <si>
    <t>kisenosato</t>
  </si>
  <si>
    <t>harumafuji</t>
  </si>
  <si>
    <t>baruto</t>
  </si>
  <si>
    <t>goeido</t>
  </si>
  <si>
    <t>toyonoshima</t>
  </si>
  <si>
    <t>tochiozan</t>
  </si>
  <si>
    <t>dejima</t>
  </si>
  <si>
    <t>aminishiki</t>
  </si>
  <si>
    <t>miyabiyama</t>
  </si>
  <si>
    <t>homasho</t>
  </si>
  <si>
    <t>wakanosato</t>
  </si>
  <si>
    <t>tochinonada</t>
  </si>
  <si>
    <t>roho</t>
  </si>
  <si>
    <t>yoshikaze</t>
  </si>
  <si>
    <t>chiyotaikai</t>
  </si>
  <si>
    <t>kyokutenho</t>
  </si>
  <si>
    <t>tamanoshima</t>
  </si>
  <si>
    <t>kokkai</t>
  </si>
  <si>
    <t>kotooshu</t>
  </si>
  <si>
    <t>osunaarashi</t>
  </si>
  <si>
    <t>takanowaka</t>
  </si>
  <si>
    <t>tokitenku</t>
  </si>
  <si>
    <t>iwakiyama</t>
  </si>
  <si>
    <t>asasekiryu</t>
  </si>
  <si>
    <t>chiyotenzan</t>
  </si>
  <si>
    <t>takamisakari</t>
  </si>
  <si>
    <t>toki</t>
  </si>
  <si>
    <t>hayateumi</t>
  </si>
  <si>
    <t>takekaze</t>
  </si>
  <si>
    <t>takanoiwa</t>
  </si>
  <si>
    <t>hokutoriki</t>
  </si>
  <si>
    <t>aran</t>
  </si>
  <si>
    <t>futeno</t>
  </si>
  <si>
    <t>kakizoe</t>
  </si>
  <si>
    <t>kaiho</t>
  </si>
  <si>
    <t>tokitsuumi</t>
  </si>
  <si>
    <t>shimotori</t>
  </si>
  <si>
    <t>sokokurai</t>
  </si>
  <si>
    <t>arawashi</t>
  </si>
  <si>
    <t>shotenro</t>
  </si>
  <si>
    <t>buyuzan</t>
  </si>
  <si>
    <t>kitataiki</t>
  </si>
  <si>
    <t>hakurozan</t>
  </si>
  <si>
    <t>kasugao</t>
  </si>
  <si>
    <t>tochinowaka</t>
  </si>
  <si>
    <t>jumonji</t>
  </si>
  <si>
    <t>tochisakae</t>
  </si>
  <si>
    <t>kimurayama</t>
  </si>
  <si>
    <t>sadanofuji</t>
  </si>
  <si>
    <t>tosayutaka</t>
  </si>
  <si>
    <t>otsukasa</t>
  </si>
  <si>
    <t>toyozakura</t>
  </si>
  <si>
    <t>kasuganishiki</t>
  </si>
  <si>
    <t>x</t>
  </si>
  <si>
    <t>kaio</t>
  </si>
  <si>
    <t>tosanoumi</t>
  </si>
  <si>
    <t>tamakasuga</t>
  </si>
  <si>
    <t>tochiazuma</t>
  </si>
  <si>
    <t>kyokushuzan</t>
  </si>
  <si>
    <t>2007.11.14</t>
  </si>
  <si>
    <t>2008.9.9</t>
  </si>
  <si>
    <t>2009.5.5</t>
  </si>
  <si>
    <t>2009.9.15</t>
  </si>
  <si>
    <t>2009.11.11</t>
  </si>
  <si>
    <t>https://youtu.be/p6Hq35YhpBE</t>
  </si>
  <si>
    <t>?</t>
  </si>
  <si>
    <t>2010.5.2</t>
  </si>
  <si>
    <t>2010.5.5</t>
  </si>
  <si>
    <t>2010.5.11</t>
  </si>
  <si>
    <t>2012.9.13</t>
  </si>
  <si>
    <t>https://www.youtube.com/watch?v=lFSFxylOpRw</t>
  </si>
  <si>
    <t>kinta</t>
  </si>
  <si>
    <t>r</t>
  </si>
  <si>
    <t>2013.5.3</t>
  </si>
  <si>
    <t>https://www.youtube.com/watch?v=fVefcnuYo28</t>
  </si>
  <si>
    <t>2013.11.7</t>
  </si>
  <si>
    <t>https://www.youtube.com/watch?v=Uq3XQcLgyvM</t>
  </si>
  <si>
    <t>2013.11.8</t>
  </si>
  <si>
    <t>https://www.youtube.com/watch?v=jEhoGVD7Af8</t>
  </si>
  <si>
    <t>2014.9.9</t>
  </si>
  <si>
    <t>https://www.youtube.com/watch?v=FElOEuLbiJE</t>
  </si>
  <si>
    <t>2015.1.7</t>
  </si>
  <si>
    <t>https://www.youtube.com/watch?v=nCTio8L3ydo</t>
  </si>
  <si>
    <t>2015.5.12</t>
  </si>
  <si>
    <t>https://www.youtube.com/watch?v=H2BdIyPvbzg</t>
  </si>
  <si>
    <t>2015.7.11</t>
  </si>
  <si>
    <t>https://www.youtube.com/watch?v=NhB2UaDSXrA</t>
  </si>
  <si>
    <t>2015.9.4</t>
  </si>
  <si>
    <t>https://www.youtube.com/watch?v=Sg1jMdg4Vhc&amp;list=PL5-Sg9qYdqj1_e7eG62xEDwKcawTgDKDY&amp;index=4</t>
  </si>
  <si>
    <t>2015.11.15</t>
  </si>
  <si>
    <t>https://www.youtube.com/watch?v=w6TFi0L1i54&amp;list=PL5-Sg9qYdqj18-N8GgS9OLCzGZEzEz9Es&amp;index=16&amp;t=0s</t>
  </si>
  <si>
    <t>2016.1.4</t>
  </si>
  <si>
    <t>https://www.youtube.com/watch?v=gROf-zwlzDg&amp;list=PL5-Sg9qYdqj2kNPlYGt8ZV_DwizQqDiCM&amp;index=5&amp;t=0s</t>
  </si>
  <si>
    <t>2016.3.11</t>
  </si>
  <si>
    <t>https://www.youtube.com/watch?v=HAK7BHd8AcI</t>
  </si>
  <si>
    <t>2016.3.14</t>
  </si>
  <si>
    <t>https://www.youtube.com/watch?v=sqzN2VDk3OY</t>
  </si>
  <si>
    <t>2016.9.3</t>
  </si>
  <si>
    <t>https://www.youtube.com/watch?v=FcFS08aPbm8&amp;list=PL5-Sg9qYdqj2woL97ZH0n1o7rpJluRAYX&amp;index=3</t>
  </si>
  <si>
    <t>2016.9.13</t>
  </si>
  <si>
    <t>https://www.youtube.com/watch?v=mOjAwNLiFx8&amp;list=PL5-Sg9qYdqj2woL97ZH0n1o7rpJluRAYX&amp;index=13</t>
  </si>
  <si>
    <t>2020.1.4</t>
  </si>
  <si>
    <t>https://www.youtube.com/watch?v=RHxXS4kY2Vw&amp;list=PL4vCE52rElhcBgoX95eEV7lLYKzi_iS0k&amp;index=6</t>
  </si>
  <si>
    <t>ndeso japan</t>
  </si>
  <si>
    <t xml:space="preserve"> </t>
  </si>
  <si>
    <t>record</t>
  </si>
  <si>
    <t>total points</t>
  </si>
  <si>
    <t>makuuchi wins</t>
  </si>
  <si>
    <t>bonus points</t>
  </si>
  <si>
    <t>juryo W</t>
  </si>
  <si>
    <t>juryo L</t>
  </si>
  <si>
    <t>+/-</t>
  </si>
  <si>
    <t>fantasy</t>
  </si>
  <si>
    <t>leaders</t>
  </si>
  <si>
    <t>avg draft</t>
  </si>
  <si>
    <t>last day</t>
  </si>
  <si>
    <t>totals:</t>
  </si>
  <si>
    <t>totals</t>
  </si>
  <si>
    <t>w/o bonus points</t>
  </si>
  <si>
    <t>(totals)</t>
  </si>
  <si>
    <t>(canary):</t>
  </si>
  <si>
    <t>reid</t>
  </si>
  <si>
    <t>tommy</t>
  </si>
  <si>
    <t>glenn</t>
  </si>
  <si>
    <t>mason</t>
  </si>
  <si>
    <t>matt</t>
  </si>
  <si>
    <t>josh</t>
  </si>
  <si>
    <t>john</t>
  </si>
  <si>
    <t>total</t>
  </si>
  <si>
    <t>w/o</t>
  </si>
  <si>
    <t>bonus</t>
  </si>
  <si>
    <t>Julianna</t>
  </si>
  <si>
    <t>sobigsored</t>
  </si>
  <si>
    <t>dontkyujoonme</t>
  </si>
  <si>
    <t>Alex</t>
  </si>
  <si>
    <t>Fawnie Lou</t>
  </si>
  <si>
    <t>alex</t>
  </si>
  <si>
    <t>goeido (2)</t>
  </si>
  <si>
    <t>takakeisho (2)</t>
  </si>
  <si>
    <t>Fawnie_Lou</t>
  </si>
  <si>
    <t>mitakumi</t>
  </si>
  <si>
    <t>asanoyama (2)</t>
  </si>
  <si>
    <t>goeido (3)</t>
  </si>
  <si>
    <t>takayasu (2)</t>
  </si>
  <si>
    <t>kakuryu (5)</t>
  </si>
  <si>
    <t>hakuho (5)</t>
  </si>
  <si>
    <t>goeido (4)</t>
  </si>
  <si>
    <t>asanoyama (3)</t>
  </si>
  <si>
    <t>takayasu (3)</t>
  </si>
  <si>
    <t>takakeisho (4)</t>
  </si>
  <si>
    <t>daieisho (2)</t>
  </si>
  <si>
    <t>abi (2)</t>
  </si>
  <si>
    <t>kizakiumi</t>
  </si>
  <si>
    <t>akua</t>
  </si>
  <si>
    <t>Ichinojo</t>
  </si>
  <si>
    <t>Kizakiumi</t>
  </si>
  <si>
    <t>Yago</t>
  </si>
  <si>
    <t>Kotonowaka</t>
  </si>
  <si>
    <t>Chiyoshoma</t>
  </si>
  <si>
    <t>Warren</t>
  </si>
  <si>
    <t>Zach</t>
  </si>
  <si>
    <t>beyonte</t>
  </si>
  <si>
    <t>Marsupial Jones</t>
  </si>
  <si>
    <t>Slap Yak</t>
  </si>
  <si>
    <t>Mason</t>
  </si>
  <si>
    <t>Beyonte</t>
  </si>
  <si>
    <t>Wakatakakage</t>
  </si>
  <si>
    <t>Nishikigi</t>
  </si>
  <si>
    <t>Terunofuji</t>
  </si>
  <si>
    <t>Akua</t>
  </si>
  <si>
    <t>lex</t>
  </si>
  <si>
    <t>christian</t>
  </si>
  <si>
    <t>jm</t>
  </si>
  <si>
    <t>joy</t>
  </si>
  <si>
    <t>team</t>
  </si>
  <si>
    <t>kakuryu (2)</t>
  </si>
  <si>
    <t>kakuryu (3)</t>
  </si>
  <si>
    <t>takakeisho (3)</t>
  </si>
  <si>
    <t>ichinojo (2)</t>
  </si>
  <si>
    <t>aoiyama (2)</t>
  </si>
  <si>
    <t>ichinojo (3)</t>
  </si>
  <si>
    <t>takayasu (4)</t>
  </si>
  <si>
    <t>tochinoshin (3)</t>
  </si>
  <si>
    <t>mitakeumi (2)</t>
  </si>
  <si>
    <t>Kubinage</t>
  </si>
  <si>
    <t>Sobigsored</t>
  </si>
  <si>
    <t>Kenny</t>
  </si>
  <si>
    <t>Kameumi</t>
  </si>
  <si>
    <t>w/o bonus</t>
  </si>
  <si>
    <t>points</t>
  </si>
  <si>
    <t>slap yak</t>
  </si>
  <si>
    <t>kenny</t>
  </si>
  <si>
    <t>kubinage</t>
  </si>
  <si>
    <t>kameumi</t>
  </si>
  <si>
    <t>tamawashi (2)</t>
  </si>
  <si>
    <t>tochinoshin (4)</t>
  </si>
  <si>
    <t>ryuden (2)</t>
  </si>
  <si>
    <t>mitakeumi (3)</t>
  </si>
  <si>
    <t>tamawashi (3)</t>
  </si>
  <si>
    <t>tamawshi (3)</t>
  </si>
  <si>
    <t>shimanouni</t>
  </si>
  <si>
    <t>%</t>
  </si>
  <si>
    <t>yorikiri</t>
  </si>
  <si>
    <t>all time</t>
  </si>
  <si>
    <t>all basho</t>
  </si>
  <si>
    <t>(111774 total)</t>
  </si>
  <si>
    <t>oshidashi</t>
  </si>
  <si>
    <t>(haru 2018</t>
  </si>
  <si>
    <t>all time for real</t>
  </si>
  <si>
    <t>hatakikomi</t>
  </si>
  <si>
    <t>through</t>
  </si>
  <si>
    <t>since 1955</t>
  </si>
  <si>
    <t>uwatenage</t>
  </si>
  <si>
    <t>natsu 2018)</t>
  </si>
  <si>
    <t>yoritaoshi</t>
  </si>
  <si>
    <t>up to date 2/20</t>
  </si>
  <si>
    <t>tsukiotoshi</t>
  </si>
  <si>
    <t>hikiotoshi</t>
  </si>
  <si>
    <t>sukuinage</t>
  </si>
  <si>
    <t>shitatenage</t>
  </si>
  <si>
    <t>tsukidashi</t>
  </si>
  <si>
    <t>tsuridashi</t>
  </si>
  <si>
    <t>okuridashi</t>
  </si>
  <si>
    <t>oshitaoshi</t>
  </si>
  <si>
    <t>kotenage</t>
  </si>
  <si>
    <t>uwatedashinage</t>
  </si>
  <si>
    <t>sotogake</t>
  </si>
  <si>
    <t>utchari</t>
  </si>
  <si>
    <t>19.11.11</t>
  </si>
  <si>
    <t>katasukashi</t>
  </si>
  <si>
    <t>19.7.10</t>
  </si>
  <si>
    <t>kirikaeshi</t>
  </si>
  <si>
    <t>20.1.2</t>
  </si>
  <si>
    <t>tsukitaoshi</t>
  </si>
  <si>
    <t>20.1.13</t>
  </si>
  <si>
    <t>abisetaoshi</t>
  </si>
  <si>
    <t>20.1.15</t>
  </si>
  <si>
    <t>shitatedashinage</t>
  </si>
  <si>
    <t>20.1.10</t>
  </si>
  <si>
    <t>kimedashi</t>
  </si>
  <si>
    <t>19.11.13</t>
  </si>
  <si>
    <t>okuritaoshi</t>
  </si>
  <si>
    <t>20.1.7</t>
  </si>
  <si>
    <t>shitatehineri</t>
  </si>
  <si>
    <t>uchigake</t>
  </si>
  <si>
    <t>16.11.6</t>
  </si>
  <si>
    <t>20.1.4</t>
  </si>
  <si>
    <t>tottari</t>
  </si>
  <si>
    <t>ketaguri</t>
  </si>
  <si>
    <t>17.5.11</t>
  </si>
  <si>
    <t>uwatehineri</t>
  </si>
  <si>
    <t>19.11.12</t>
  </si>
  <si>
    <t>makiotoshi</t>
  </si>
  <si>
    <t>watashikomi</t>
  </si>
  <si>
    <t>20.1.5</t>
  </si>
  <si>
    <t>kakenage</t>
  </si>
  <si>
    <t>19.7.13</t>
  </si>
  <si>
    <t>komatasukui</t>
  </si>
  <si>
    <t>18.5.15</t>
  </si>
  <si>
    <t>uchimuso</t>
  </si>
  <si>
    <t>15.1.11</t>
  </si>
  <si>
    <t>isamiashi!</t>
  </si>
  <si>
    <t>19.9.6</t>
  </si>
  <si>
    <t>(ryuden)</t>
  </si>
  <si>
    <t>ashitori</t>
  </si>
  <si>
    <t>kekaeshi</t>
  </si>
  <si>
    <t>18.11.2</t>
  </si>
  <si>
    <t>kimetaoshi</t>
  </si>
  <si>
    <t>15.11.7</t>
  </si>
  <si>
    <t>hikkake</t>
  </si>
  <si>
    <t>20.1.14</t>
  </si>
  <si>
    <t>kainahineri</t>
  </si>
  <si>
    <t>19.11.5</t>
  </si>
  <si>
    <t>susoharai</t>
  </si>
  <si>
    <t>19.7.12</t>
  </si>
  <si>
    <t>amiuchi</t>
  </si>
  <si>
    <t>sabaori</t>
  </si>
  <si>
    <t>01.5.4</t>
  </si>
  <si>
    <t>nimaigeri</t>
  </si>
  <si>
    <t>14.1.9</t>
  </si>
  <si>
    <t>koshikudake!</t>
  </si>
  <si>
    <t>19.1.2</t>
  </si>
  <si>
    <t>(yoshikaze)</t>
  </si>
  <si>
    <t>tsuriotoshi</t>
  </si>
  <si>
    <t>17.1.1</t>
  </si>
  <si>
    <t>hansoku</t>
  </si>
  <si>
    <t>19.9.4</t>
  </si>
  <si>
    <t>(tochinoshin)</t>
  </si>
  <si>
    <t>kawazugake</t>
  </si>
  <si>
    <t>12.3.5</t>
  </si>
  <si>
    <t>takanoyama</t>
  </si>
  <si>
    <t>okurinage</t>
  </si>
  <si>
    <t>19.1.15</t>
  </si>
  <si>
    <t>tsukihiza!</t>
  </si>
  <si>
    <t>(takakeisho)</t>
  </si>
  <si>
    <t>sakatottari</t>
  </si>
  <si>
    <t>19.9.15</t>
  </si>
  <si>
    <t>yaguranage</t>
  </si>
  <si>
    <t>waridashi</t>
  </si>
  <si>
    <t>12.11.12</t>
  </si>
  <si>
    <t>nichonage</t>
  </si>
  <si>
    <t>07.9.12</t>
  </si>
  <si>
    <t>sokubiotoshi</t>
  </si>
  <si>
    <t>yobimodoshi</t>
  </si>
  <si>
    <t>13.9.8</t>
  </si>
  <si>
    <t>harimanage</t>
  </si>
  <si>
    <t>18.3.5</t>
  </si>
  <si>
    <t>chongake</t>
  </si>
  <si>
    <t>14.11.7</t>
  </si>
  <si>
    <t>sotomuso</t>
  </si>
  <si>
    <t>98.11.10</t>
  </si>
  <si>
    <t>okurihikiotoshi</t>
  </si>
  <si>
    <t>18.11.1</t>
  </si>
  <si>
    <t>tsukite!</t>
  </si>
  <si>
    <t>16.5.4</t>
  </si>
  <si>
    <t>(myogiryu)</t>
  </si>
  <si>
    <t>kubihineri</t>
  </si>
  <si>
    <t>19.11.4</t>
  </si>
  <si>
    <t>sotokomata</t>
  </si>
  <si>
    <t>05.1.6</t>
  </si>
  <si>
    <t>kotehineri</t>
  </si>
  <si>
    <t>ushiromotare</t>
  </si>
  <si>
    <t>16.1.13</t>
  </si>
  <si>
    <t>susotori</t>
  </si>
  <si>
    <t>15.11.3</t>
  </si>
  <si>
    <t>koshinage</t>
  </si>
  <si>
    <t>04.7.2</t>
  </si>
  <si>
    <t>ipponzeoi</t>
  </si>
  <si>
    <t>17.1.8</t>
  </si>
  <si>
    <t>fumidashi!</t>
  </si>
  <si>
    <t>14.7.7</t>
  </si>
  <si>
    <t>zubuneri</t>
  </si>
  <si>
    <t>98.3.5</t>
  </si>
  <si>
    <t>asahiyutaka</t>
  </si>
  <si>
    <t>kozumatori</t>
  </si>
  <si>
    <t>15.1.5</t>
  </si>
  <si>
    <t>kagamio</t>
  </si>
  <si>
    <t>okuritsuriotoshi</t>
  </si>
  <si>
    <t>mitokorozeme</t>
  </si>
  <si>
    <t>19.11.8</t>
  </si>
  <si>
    <t>osakate</t>
  </si>
  <si>
    <t>10.1.14</t>
  </si>
  <si>
    <t>omata</t>
  </si>
  <si>
    <t>58.7.13</t>
  </si>
  <si>
    <t>fukunosato</t>
  </si>
  <si>
    <t>okuritsuridashi</t>
  </si>
  <si>
    <t>05.11.10</t>
  </si>
  <si>
    <t>gasshohineri</t>
  </si>
  <si>
    <t>65.11.9</t>
  </si>
  <si>
    <t>daishin</t>
  </si>
  <si>
    <t>izori</t>
  </si>
  <si>
    <t>64.5.2</t>
  </si>
  <si>
    <t>iwakaze</t>
  </si>
  <si>
    <t>tsutaezori</t>
  </si>
  <si>
    <t>02.9.3</t>
  </si>
  <si>
    <t>tsumatori</t>
  </si>
  <si>
    <t>00.3.6</t>
  </si>
  <si>
    <t>akebono</t>
  </si>
  <si>
    <t>tsukaminage</t>
  </si>
  <si>
    <t>57.11.6</t>
  </si>
  <si>
    <t>tokitsuyama</t>
  </si>
  <si>
    <t>okurigake</t>
  </si>
  <si>
    <t>19.5.9</t>
  </si>
  <si>
    <t>tokkurinage</t>
  </si>
  <si>
    <t>53.1.12</t>
  </si>
  <si>
    <t>kakezori</t>
  </si>
  <si>
    <t>tasukizori</t>
  </si>
  <si>
    <t>51.5.3</t>
  </si>
  <si>
    <t>tochinishiki</t>
  </si>
  <si>
    <t>shumokuzori</t>
  </si>
  <si>
    <t>sototasukizori</t>
  </si>
  <si>
    <t>% total</t>
  </si>
  <si>
    <t>date last</t>
  </si>
  <si>
    <t>march</t>
  </si>
  <si>
    <t>may</t>
  </si>
  <si>
    <t>july</t>
  </si>
  <si>
    <t>september</t>
  </si>
  <si>
    <t>november</t>
  </si>
  <si>
    <t>fusen</t>
  </si>
  <si>
    <t>kimarite</t>
  </si>
  <si>
    <t>video example</t>
  </si>
  <si>
    <t>in Natsu basho</t>
  </si>
  <si>
    <t>% of all matchups</t>
  </si>
  <si>
    <t>rikishi</t>
  </si>
  <si>
    <t>day</t>
  </si>
  <si>
    <t>in Nagoya basho</t>
  </si>
  <si>
    <t>in Aki basho</t>
  </si>
  <si>
    <t>% of Aki basho</t>
  </si>
  <si>
    <t>in Kyushu basho</t>
  </si>
  <si>
    <t>% of Kyushu basho</t>
  </si>
  <si>
    <t>% of Natsu basho</t>
  </si>
  <si>
    <t>description</t>
  </si>
  <si>
    <t>https://youtu.be/cNbnjRJ_uhw?t=14m9s</t>
  </si>
  <si>
    <t>https://youtu.be/eBAQAsllhFo?t=11m46s</t>
  </si>
  <si>
    <t>https://youtu.be/XgLiLqkW6M0?t=4m50s</t>
  </si>
  <si>
    <t>front push out</t>
  </si>
  <si>
    <t>3,6,7,10,14,15</t>
  </si>
  <si>
    <t>front force out</t>
  </si>
  <si>
    <t>https://youtu.be/iPioqHG44gA?t=11m6s</t>
  </si>
  <si>
    <t>https://youtu.be/bDxvKwnbfEI?t=10m2s</t>
  </si>
  <si>
    <t>https://youtu.be/r1GufSmGE-Q?t=16m35s</t>
  </si>
  <si>
    <t>1,3,4,10,11,13,14</t>
  </si>
  <si>
    <t>https://youtu.be/OYyNe5jptzo?t=4m34s</t>
  </si>
  <si>
    <t>https://youtu.be/XgzRumart44?t=3m57s</t>
  </si>
  <si>
    <t>https://youtu.be/kQ8OVhbNKCo?t=10m36s</t>
  </si>
  <si>
    <t>2/3/4/9/11</t>
  </si>
  <si>
    <t>slap down</t>
  </si>
  <si>
    <t>6,7,10</t>
  </si>
  <si>
    <t>https://youtu.be/VPalMZNE4TQ?t=11m19s</t>
  </si>
  <si>
    <t>https://youtu.be/0Y-LdpN5JP4?t=1m50s</t>
  </si>
  <si>
    <t>https://youtu.be/kQ8OVhbNKCo?t=3m23s</t>
  </si>
  <si>
    <t>2/6/12/</t>
  </si>
  <si>
    <t>thrust down</t>
  </si>
  <si>
    <t>2,11</t>
  </si>
  <si>
    <t>https://youtu.be/OYyNe5jptzo?t=11m24s</t>
  </si>
  <si>
    <t>https://youtu.be/qJegsysrCpw?t=14m54s</t>
  </si>
  <si>
    <t>https://youtu.be/gb3o1HAAMS0?t=11m53s</t>
  </si>
  <si>
    <t>1/2/8/</t>
  </si>
  <si>
    <t>front thrust out</t>
  </si>
  <si>
    <t>1,5,8,14</t>
  </si>
  <si>
    <t>hand pull down</t>
  </si>
  <si>
    <t>https://youtu.be/NPxASM341Xo?t=5m9s</t>
  </si>
  <si>
    <t>https://youtu.be/YkHIssDVtsk?t=9s</t>
  </si>
  <si>
    <t>https://youtu.be/JKRXR3OrfY4?t=12m45s</t>
  </si>
  <si>
    <t>TOCHIOZAN</t>
  </si>
  <si>
    <t>3/4/5/</t>
  </si>
  <si>
    <t>1,12,15</t>
  </si>
  <si>
    <t>kotoyuki!</t>
  </si>
  <si>
    <t>https://youtu.be/jhR05Gy28ks?t=14m33s</t>
  </si>
  <si>
    <t>https://youtu.be/TS1oMZ6-2Vs?t=13m51s</t>
  </si>
  <si>
    <t>https://youtu.be/kQ8OVhbNKCo?t=13m56s</t>
  </si>
  <si>
    <t>overarm throw</t>
  </si>
  <si>
    <t>ryuden (kakuryu, goeido)</t>
  </si>
  <si>
    <t>6,15</t>
  </si>
  <si>
    <t>armlock throw</t>
  </si>
  <si>
    <t>nishikigi, hakuho</t>
  </si>
  <si>
    <t>https://youtu.be/cNbnjRJ_uhw?t=9m42s</t>
  </si>
  <si>
    <t>https://youtu.be/zsAuxfmTM2g?t=5m51s</t>
  </si>
  <si>
    <t>https://youtu.be/BrjnftUlKsQ?t=11m3s</t>
  </si>
  <si>
    <t>9,14</t>
  </si>
  <si>
    <t>2,10</t>
  </si>
  <si>
    <t>https://youtu.be/GmO2ICmcVww?t=6m42s</t>
  </si>
  <si>
    <t>https://youtu.be/eBAQAsllhFo?t=13m22s</t>
  </si>
  <si>
    <t>https://youtu.be/r1GufSmGE-Q?t=5m48s</t>
  </si>
  <si>
    <t>front crush out</t>
  </si>
  <si>
    <t>11,12</t>
  </si>
  <si>
    <t>front push down</t>
  </si>
  <si>
    <t>https://www.youtube.com/watch?v=GE53zvfpyw4</t>
  </si>
  <si>
    <t>https://youtu.be/Nm4QCu3SE6E?t=14m30s</t>
  </si>
  <si>
    <t>https://youtu.be/Y37V68_XlS8?t=14m22s | https://youtu.be/ClRHwHZGPBs?t=15m42s</t>
  </si>
  <si>
    <t>kakuryu / hakuho</t>
  </si>
  <si>
    <t>pulling overarm throw</t>
  </si>
  <si>
    <t>endo, shimanoumi</t>
  </si>
  <si>
    <t>1/10, 7/14</t>
  </si>
  <si>
    <t>https://youtu.be/GmO2ICmcVww?t=4m48s</t>
  </si>
  <si>
    <t>https://youtu.be/Lvfn0Yzzl74?t=7m30s</t>
  </si>
  <si>
    <t>https://youtu.be/xl3HGgSVxVM?t=7m37s</t>
  </si>
  <si>
    <t>beltless arm throw</t>
  </si>
  <si>
    <t>ryuden, daishoho, sadanoumi, meisei, asanoyama</t>
  </si>
  <si>
    <t>2,4,8,13,15</t>
  </si>
  <si>
    <t>https://youtu.be/GmO2ICmcVww?t=14m23s</t>
  </si>
  <si>
    <t>https://youtu.be/bDxvKwnbfEI?t=5m28s</t>
  </si>
  <si>
    <t>https://youtu.be/kQ8OVhbNKCo?t=1m50s</t>
  </si>
  <si>
    <t>6,8</t>
  </si>
  <si>
    <t>rear push out</t>
  </si>
  <si>
    <t>kotoeko, enho, hokutofuji, tochiozan</t>
  </si>
  <si>
    <t>2,2,8,10</t>
  </si>
  <si>
    <t>https://youtu.be/jhR05Gy28ks?t=16m9s</t>
  </si>
  <si>
    <t>https://youtu.be/t5X3xNvFZUY?t=6m41s</t>
  </si>
  <si>
    <t>https://youtu.be/gb3o1HAAMS0?t=13m35s</t>
  </si>
  <si>
    <t>9/13/</t>
  </si>
  <si>
    <t>underarm throw</t>
  </si>
  <si>
    <t>ishiura / enho</t>
  </si>
  <si>
    <t>9,4</t>
  </si>
  <si>
    <t>tochiozan, kotoeko, toyonoshima</t>
  </si>
  <si>
    <t>2/7,8</t>
  </si>
  <si>
    <t>https://youtu.be/4BIY0JnUryw?t=6m21s</t>
  </si>
  <si>
    <t>https://youtu.be/t5X3xNvFZUY?t=4m40s</t>
  </si>
  <si>
    <t>https://youtu.be/JKRXR3OrfY4?t=5m32s</t>
  </si>
  <si>
    <t>enho, okinoumi</t>
  </si>
  <si>
    <t>15, 6</t>
  </si>
  <si>
    <t>https://youtu.be/VPalMZNE4TQ?t=3m50s</t>
  </si>
  <si>
    <t>https://youtu.be/2H6RExvF74Y?t=8m36s</t>
  </si>
  <si>
    <t>https://youtu.be/JKRXR3OrfY4?t=3m11s</t>
  </si>
  <si>
    <t>under-shoulder swing down</t>
  </si>
  <si>
    <t>daishoho / chiyoshoma</t>
  </si>
  <si>
    <t>8,4</t>
  </si>
  <si>
    <t>kakuryu, toyonoshima</t>
  </si>
  <si>
    <t>https://youtu.be/Qg34CGZdNyY?t=5m8s</t>
  </si>
  <si>
    <t>https://youtu.be/KhslNZI5HWA?t=6m56s</t>
  </si>
  <si>
    <t>https://youtu.be/r1GufSmGE-Q?t=2m33s</t>
  </si>
  <si>
    <t>leg pick</t>
  </si>
  <si>
    <t>3,8</t>
  </si>
  <si>
    <t>front thrust down</t>
  </si>
  <si>
    <t>kakuryu, chiyotairyu</t>
  </si>
  <si>
    <t>https://youtu.be/-unrrWzGQSY?t=44s</t>
  </si>
  <si>
    <t>https://youtu.be/KhslNZI5HWA?t=1m54s</t>
  </si>
  <si>
    <t>https://youtu.be/Eg2S7oqY_y8?t=2m55s</t>
  </si>
  <si>
    <t>lift out</t>
  </si>
  <si>
    <t>arm bar throw</t>
  </si>
  <si>
    <t>https://youtu.be/cNbnjRJ_uhw?t=7m19s</t>
  </si>
  <si>
    <t>https://youtu.be/TS1oMZ6-2Vs?t=5m8s</t>
  </si>
  <si>
    <t>https://youtu.be/BrjnftUlKsQ?t=8m4s</t>
  </si>
  <si>
    <t>twisting overarm throw</t>
  </si>
  <si>
    <t>hakuho, okinoumi</t>
  </si>
  <si>
    <t>https://youtu.be/cNbnjRJ_uhw?t=4m31s</t>
  </si>
  <si>
    <t>https://youtu.be/2H6RExvF74Y?t=3m9s</t>
  </si>
  <si>
    <t>https://youtu.be/GFMpBpwymQw?t=3m17s</t>
  </si>
  <si>
    <t>backward force down</t>
  </si>
  <si>
    <t>https://youtu.be/NPxASM341Xo?t=49s</t>
  </si>
  <si>
    <t>https://youtu.be/Nm4QCu3SE6E?t=7m24s</t>
  </si>
  <si>
    <t>https://youtu.be/sw2hBHIbiAc?t=11m21s</t>
  </si>
  <si>
    <t>arm barring force out</t>
  </si>
  <si>
    <t>pulling underarm throw</t>
  </si>
  <si>
    <t>https://youtu.be/W-DqKFrL1gs?t=50s</t>
  </si>
  <si>
    <t>https://youtu.be/Nm4QCu3SE6E?t=13m10s</t>
  </si>
  <si>
    <t>https://youtu.be/GFMpBpwymQw?t=5m58s</t>
  </si>
  <si>
    <t>rear push down</t>
  </si>
  <si>
    <t>twisting underarm throw</t>
  </si>
  <si>
    <t>https://youtu.be/uIzRi7cfG5g?t=2m32s</t>
  </si>
  <si>
    <t>https://youtu.be/lPHaVLKLwUA?t=1m33s</t>
  </si>
  <si>
    <t>https://youtu.be/sw2hBHIbiAc?t=34s</t>
  </si>
  <si>
    <t>hooking inner thigh throw</t>
  </si>
  <si>
    <t>https://youtu.be/iPioqHG44gA?t=7m28s</t>
  </si>
  <si>
    <t>https://youtu.be/smajXYUA-dE?t=12m32s</t>
  </si>
  <si>
    <t>https://youtu.be/GFMpBpwymQw?t=11m2s</t>
  </si>
  <si>
    <t>headlock throw</t>
  </si>
  <si>
    <t>https://youtu.be/iPioqHG44gA?t=2m41s</t>
  </si>
  <si>
    <t>tsukihiza</t>
  </si>
  <si>
    <t>https://youtu.be/KhslNZI5HWA?t=13m2s</t>
  </si>
  <si>
    <t>https://youtu.be/zIPHDOlU07c?t=7m16s</t>
  </si>
  <si>
    <t>two-handed arm twist down</t>
  </si>
  <si>
    <t>https://youtu.be/4BIY0JnUryw?t=45s</t>
  </si>
  <si>
    <t>https://youtu.be/sw2hBHIbiAc?t=8m59s</t>
  </si>
  <si>
    <t>rear foot sweep</t>
  </si>
  <si>
    <t>https://youtu.be/sw2hBHIbiAc?t=1m2s</t>
  </si>
  <si>
    <t>fisherman's throw</t>
  </si>
  <si>
    <t>video</t>
  </si>
  <si>
    <t>day/basho</t>
  </si>
  <si>
    <t>notes</t>
  </si>
  <si>
    <t>koshikudake</t>
  </si>
  <si>
    <t>https://youtu.be/oyR07Ox10jg?t=15m56s</t>
  </si>
  <si>
    <t>rear leg trip</t>
  </si>
  <si>
    <t>knee touch down</t>
  </si>
  <si>
    <t>2019.01.5</t>
  </si>
  <si>
    <t>https://youtu.be/ClRHwHZGPBs?t=6m</t>
  </si>
  <si>
    <t>2019.01.14</t>
  </si>
  <si>
    <t>https://youtu.be/B-HDnExNKSs?t=9s</t>
  </si>
  <si>
    <t>2017.09.7</t>
  </si>
  <si>
    <t>https://www.youtube.com/watch?v=nTJgI8xPQ0Y</t>
  </si>
  <si>
    <t>2014.11.7</t>
  </si>
  <si>
    <t>1965.11.9</t>
  </si>
  <si>
    <t>2018.03.5</t>
  </si>
  <si>
    <t>2019.01.15</t>
  </si>
  <si>
    <t>2018.03.1</t>
  </si>
  <si>
    <t>2017.01.8</t>
  </si>
  <si>
    <t>takekaze has 2 of the 7 in makuuchi</t>
  </si>
  <si>
    <t>1964.05.2</t>
  </si>
  <si>
    <t>2018.09.10</t>
  </si>
  <si>
    <t>https://www.youtube.com/watch?v=smajXYUA-dE</t>
  </si>
  <si>
    <t>2018.07.15</t>
  </si>
  <si>
    <t>never occured in makuuchi</t>
  </si>
  <si>
    <t>https://www.youtube.com/watch?v=qhR5O66y3is</t>
  </si>
  <si>
    <t>2012.03.5</t>
  </si>
  <si>
    <t>https://www.youtube.com/watch?v=wVDpqrO-qJY</t>
  </si>
  <si>
    <t>2018.11.2</t>
  </si>
  <si>
    <t>2017.05.11</t>
  </si>
  <si>
    <t>http://www.youtube.com/embed/xPYuc2EDtTQ?start=137&amp;autoplay=1</t>
  </si>
  <si>
    <t>2015.11.7</t>
  </si>
  <si>
    <t>http://www.youtube.com/embed/Nm4QCu3SE6E?start=440&amp;autoplay=1</t>
  </si>
  <si>
    <t>2018.07.3</t>
  </si>
  <si>
    <t>2018.05.15</t>
  </si>
  <si>
    <t>http://www.youtube.com/embed/5capscDCquU?autoplay=1</t>
  </si>
  <si>
    <t>2004.07.2</t>
  </si>
  <si>
    <t>2015.01.5</t>
  </si>
  <si>
    <t>2010.07.7</t>
  </si>
  <si>
    <t>2019.01.11</t>
  </si>
  <si>
    <t>2018.08.4</t>
  </si>
  <si>
    <t>mainoumi</t>
  </si>
  <si>
    <t>1993.09.1</t>
  </si>
  <si>
    <t>2007.09.12</t>
  </si>
  <si>
    <t>http://www.youtube.com/embed/ljwRQQfYKvs?start=122&amp;autoplay=1</t>
  </si>
  <si>
    <t>2014.01.9</t>
  </si>
  <si>
    <t>tokitenku has the last four of these</t>
  </si>
  <si>
    <t>2018.11.1</t>
  </si>
  <si>
    <t>2019.01.3</t>
  </si>
  <si>
    <t>http://www.youtube.com/embed/vYvMN0NBccA?start=124&amp;autoplay=1</t>
  </si>
  <si>
    <t>2005.11.10</t>
  </si>
  <si>
    <t>http://www.youtube.com/embed/EPO39qtj1Vk?autoplay=1</t>
  </si>
  <si>
    <t>ama</t>
  </si>
  <si>
    <t>1958.07.13</t>
  </si>
  <si>
    <t>fukunosato has 4 of 7 in makuuchi</t>
  </si>
  <si>
    <t>2010.01.14</t>
  </si>
  <si>
    <t>2001.05.4</t>
  </si>
  <si>
    <t>2016.09.14</t>
  </si>
  <si>
    <t>2019.01.8</t>
  </si>
  <si>
    <t>2018.09.15</t>
  </si>
  <si>
    <t>2019.01.12</t>
  </si>
  <si>
    <t>hitachishima</t>
  </si>
  <si>
    <t>1929.09.9</t>
  </si>
  <si>
    <t>2017.01.14</t>
  </si>
  <si>
    <t>2019.01.10</t>
  </si>
  <si>
    <t>2005.01.6</t>
  </si>
  <si>
    <t>kyokushuzan has 4 of these</t>
  </si>
  <si>
    <t>1998.11.10</t>
  </si>
  <si>
    <t>kyokushuzan has 3 of these</t>
  </si>
  <si>
    <t>- none -</t>
  </si>
  <si>
    <t>never occured in ozumo at any level</t>
  </si>
  <si>
    <t>2018.05.2</t>
  </si>
  <si>
    <t>http://www.youtube.com/embed/afjzGao5LNY?start=750&amp;autoplay=1</t>
  </si>
  <si>
    <t>2015.11.3</t>
  </si>
  <si>
    <t>1951.05.3</t>
  </si>
  <si>
    <t>1953.01.12</t>
  </si>
  <si>
    <t>aminishiki has used this against makuuchi opponents from juryo</t>
  </si>
  <si>
    <t>1957.11.6</t>
  </si>
  <si>
    <t>2018.11.14</t>
  </si>
  <si>
    <t>2000.03.6</t>
  </si>
  <si>
    <t>2018.09.1</t>
  </si>
  <si>
    <t>2017.01.1</t>
  </si>
  <si>
    <t>http://www.youtube.com/embed/RJodXh0NATg?start=158&amp;autoplay=1</t>
  </si>
  <si>
    <t>2002.09.3</t>
  </si>
  <si>
    <t>2016.11.6</t>
  </si>
  <si>
    <t>http://www.youtube.com/embed/3ZCvyoxRXLQ?start=509&amp;autoplay=1</t>
  </si>
  <si>
    <t>2015.01.11</t>
  </si>
  <si>
    <t>http://www.youtube.com/embed/30Rwy-OQTJM?start=187&amp;autoplay=1</t>
  </si>
  <si>
    <t>2016.01.13</t>
  </si>
  <si>
    <t>2018.11.6</t>
  </si>
  <si>
    <t>http://www.youtube.com/embed/q1cRQNXCMOk?start=365&amp;autoplay=1</t>
  </si>
  <si>
    <t>2012.11.12</t>
  </si>
  <si>
    <t>http://www.youtube.com/embed/xPYuc2EDtTQ?start=707&amp;autoplay=1</t>
  </si>
  <si>
    <t>http://www.youtube.com/embed/oMNBBnU_fTA?autoplay=1</t>
  </si>
  <si>
    <t>2013.09.8</t>
  </si>
  <si>
    <t>1998.03.5</t>
  </si>
  <si>
    <t>bout</t>
  </si>
  <si>
    <t>rikishi W</t>
  </si>
  <si>
    <t>rikishi L</t>
  </si>
  <si>
    <t>number</t>
  </si>
  <si>
    <t>hatsu 2020</t>
  </si>
  <si>
    <t>VIDEOS</t>
  </si>
  <si>
    <t>((ushiromotare))</t>
  </si>
  <si>
    <t>((amiuchi))</t>
  </si>
  <si>
    <t>hakuyozan</t>
  </si>
  <si>
    <t>chiyonoumi</t>
  </si>
  <si>
    <t>((harimanage))</t>
  </si>
  <si>
    <t>((fumidashi))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</si>
</sst>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m-d"/>
    <numFmt numFmtId="166" formatCode="m/d"/>
    <numFmt numFmtId="167" formatCode="m/d/yy"/>
    <numFmt numFmtId="168" formatCode="mmm yyyy"/>
    <numFmt numFmtId="169" formatCode="m, d"/>
  </numFmts>
  <fonts count="53">
    <font>
      <sz val="10.0"/>
      <color rgb="FF000000"/>
      <name val="Arial"/>
    </font>
    <font/>
    <font>
      <u/>
      <color rgb="FF0000FF"/>
    </font>
    <font>
      <sz val="14.0"/>
    </font>
    <font>
      <u/>
      <sz val="14.0"/>
      <color rgb="FF0000FF"/>
    </font>
    <font>
      <u/>
      <color rgb="FF0000FF"/>
    </font>
    <font>
      <sz val="16.0"/>
    </font>
    <font>
      <sz val="11.0"/>
      <color rgb="FF000000"/>
      <name val="Inconsolata"/>
    </font>
    <font>
      <sz val="14.0"/>
      <color rgb="FFFFFFFF"/>
    </font>
    <font>
      <sz val="18.0"/>
    </font>
    <font>
      <sz val="10.0"/>
    </font>
    <font>
      <sz val="14.0"/>
      <name val="Arial"/>
    </font>
    <font>
      <u/>
      <sz val="14.0"/>
      <color rgb="FF1155CC"/>
    </font>
    <font>
      <u/>
      <sz val="18.0"/>
      <color rgb="FFFFFFFF"/>
      <name val="Arial"/>
    </font>
    <font>
      <sz val="18.0"/>
      <color rgb="FFFFFFFF"/>
      <name val="Arial"/>
    </font>
    <font>
      <b/>
    </font>
    <font>
      <b/>
      <sz val="7.0"/>
      <name val="Arial"/>
    </font>
    <font>
      <b/>
      <sz val="7.0"/>
    </font>
    <font>
      <name val="Arial"/>
    </font>
    <font>
      <b/>
      <sz val="6.0"/>
    </font>
    <font>
      <b/>
      <sz val="9.0"/>
    </font>
    <font>
      <i/>
    </font>
    <font>
      <b/>
      <sz val="11.0"/>
      <color rgb="FF000000"/>
      <name val="Inconsolata"/>
    </font>
    <font>
      <b/>
      <i/>
    </font>
    <font>
      <sz val="7.0"/>
    </font>
    <font>
      <b/>
      <sz val="6.0"/>
      <name val="Arial"/>
    </font>
    <font>
      <b/>
      <color rgb="FF000000"/>
    </font>
    <font>
      <b/>
      <color rgb="FFFFFFFF"/>
    </font>
    <font>
      <b/>
      <sz val="6.0"/>
      <color rgb="FFFF00FF"/>
    </font>
    <font>
      <i/>
      <sz val="6.0"/>
    </font>
    <font>
      <b/>
      <color rgb="FFFF9900"/>
    </font>
    <font>
      <b/>
      <color rgb="FFFF0000"/>
    </font>
    <font>
      <b/>
      <color rgb="FFFF00FF"/>
    </font>
    <font>
      <color rgb="FF9900FF"/>
    </font>
    <font>
      <color rgb="FF00FFFF"/>
    </font>
    <font>
      <b/>
      <sz val="8.0"/>
    </font>
    <font>
      <b/>
      <sz val="8.0"/>
      <color rgb="FFFFFFFF"/>
    </font>
    <font>
      <b/>
      <sz val="8.0"/>
      <color rgb="FF000000"/>
    </font>
    <font>
      <sz val="7.0"/>
      <name val="Arial"/>
    </font>
    <font>
      <u/>
      <color rgb="FF0000FF"/>
      <name val="Arial"/>
    </font>
    <font>
      <u/>
      <name val="Arial"/>
    </font>
    <font>
      <b/>
      <name val="Arial"/>
    </font>
    <font>
      <u/>
      <name val="Roboto"/>
    </font>
    <font>
      <u/>
      <color rgb="FF0000FF"/>
    </font>
    <font>
      <u/>
      <color rgb="FF0000FF"/>
    </font>
    <font>
      <name val="Roboto"/>
    </font>
    <font>
      <u/>
      <name val="Arial"/>
    </font>
    <font>
      <b/>
      <color rgb="FF000000"/>
      <name val="Arial"/>
    </font>
    <font>
      <color rgb="FF000000"/>
    </font>
    <font>
      <u/>
      <color rgb="FF0000FF"/>
      <name val="Arial"/>
    </font>
    <font>
      <sz val="10.0"/>
      <name val="Arial"/>
    </font>
    <font>
      <b/>
      <sz val="10.0"/>
    </font>
    <font>
      <color rgb="FF000000"/>
      <name val="Arial"/>
    </font>
  </fonts>
  <fills count="6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6F9FF"/>
        <bgColor rgb="FFD6F9F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4A86E8"/>
        <bgColor rgb="FF4A86E8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E06666"/>
        <bgColor rgb="FFE06666"/>
      </patternFill>
    </fill>
    <fill>
      <patternFill patternType="solid">
        <fgColor rgb="FFB45F06"/>
        <bgColor rgb="FFB45F06"/>
      </patternFill>
    </fill>
    <fill>
      <patternFill patternType="solid">
        <fgColor rgb="FF5B0F00"/>
        <bgColor rgb="FF5B0F00"/>
      </patternFill>
    </fill>
    <fill>
      <patternFill patternType="solid">
        <fgColor rgb="FFCC4125"/>
        <bgColor rgb="FFCC4125"/>
      </patternFill>
    </fill>
    <fill>
      <patternFill patternType="solid">
        <fgColor rgb="FF7F6000"/>
        <bgColor rgb="FF7F6000"/>
      </patternFill>
    </fill>
    <fill>
      <patternFill patternType="solid">
        <fgColor rgb="FFCCCCCC"/>
        <bgColor rgb="FFCCCCCC"/>
      </patternFill>
    </fill>
    <fill>
      <patternFill patternType="solid">
        <fgColor rgb="FF783F04"/>
        <bgColor rgb="FF783F04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999999"/>
        <bgColor rgb="FF999999"/>
      </patternFill>
    </fill>
    <fill>
      <patternFill patternType="solid">
        <fgColor rgb="FF660000"/>
        <bgColor rgb="FF660000"/>
      </patternFill>
    </fill>
    <fill>
      <patternFill patternType="solid">
        <fgColor rgb="FF274E13"/>
        <bgColor rgb="FF274E13"/>
      </patternFill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45818E"/>
        <bgColor rgb="FF45818E"/>
      </patternFill>
    </fill>
    <fill>
      <patternFill patternType="solid">
        <fgColor rgb="FF38761D"/>
        <bgColor rgb="FF38761D"/>
      </patternFill>
    </fill>
    <fill>
      <patternFill patternType="solid">
        <fgColor rgb="FF3D85C6"/>
        <bgColor rgb="FF3D85C6"/>
      </patternFill>
    </fill>
    <fill>
      <patternFill patternType="solid">
        <fgColor rgb="FF20124D"/>
        <bgColor rgb="FF20124D"/>
      </patternFill>
    </fill>
    <fill>
      <patternFill patternType="solid">
        <fgColor rgb="FFCC0000"/>
        <bgColor rgb="FFCC0000"/>
      </patternFill>
    </fill>
    <fill>
      <patternFill patternType="solid">
        <fgColor rgb="FFA4C2F4"/>
        <bgColor rgb="FFA4C2F4"/>
      </patternFill>
    </fill>
    <fill>
      <patternFill patternType="solid">
        <fgColor rgb="FFA61C00"/>
        <bgColor rgb="FFA61C00"/>
      </patternFill>
    </fill>
    <fill>
      <patternFill patternType="solid">
        <fgColor rgb="FF134F5C"/>
        <bgColor rgb="FF134F5C"/>
      </patternFill>
    </fill>
    <fill>
      <patternFill patternType="solid">
        <fgColor rgb="FF741B47"/>
        <bgColor rgb="FF741B47"/>
      </patternFill>
    </fill>
    <fill>
      <patternFill patternType="solid">
        <fgColor rgb="FF0C343D"/>
        <bgColor rgb="FF0C343D"/>
      </patternFill>
    </fill>
    <fill>
      <patternFill patternType="solid">
        <fgColor rgb="FF4C1130"/>
        <bgColor rgb="FF4C1130"/>
      </patternFill>
    </fill>
    <fill>
      <patternFill patternType="solid">
        <fgColor rgb="FF073763"/>
        <bgColor rgb="FF073763"/>
      </patternFill>
    </fill>
  </fills>
  <borders count="53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left style="dotted">
        <color rgb="FF000000"/>
      </left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dotted">
        <color rgb="FF000000"/>
      </top>
    </border>
    <border>
      <right style="thick">
        <color rgb="FF000000"/>
      </right>
      <top style="dotted">
        <color rgb="FF000000"/>
      </top>
    </border>
    <border>
      <right style="thick">
        <color rgb="FF000000"/>
      </right>
      <bottom style="dotted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ck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2" fontId="1" numFmtId="0" xfId="0" applyAlignment="1" applyBorder="1" applyFill="1" applyFont="1">
      <alignment horizontal="center" readingOrder="0"/>
    </xf>
    <xf borderId="3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4" fillId="5" fontId="1" numFmtId="0" xfId="0" applyAlignment="1" applyBorder="1" applyFill="1" applyFont="1">
      <alignment horizontal="center" readingOrder="0"/>
    </xf>
    <xf borderId="5" fillId="6" fontId="1" numFmtId="0" xfId="0" applyAlignment="1" applyBorder="1" applyFill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6" fontId="3" numFmtId="0" xfId="0" applyAlignment="1" applyBorder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6" fillId="0" fontId="3" numFmtId="164" xfId="0" applyAlignment="1" applyBorder="1" applyFont="1" applyNumberFormat="1">
      <alignment horizontal="center" readingOrder="0" vertical="center"/>
    </xf>
    <xf borderId="7" fillId="0" fontId="3" numFmtId="49" xfId="0" applyAlignment="1" applyBorder="1" applyFont="1" applyNumberFormat="1">
      <alignment horizontal="center" readingOrder="0" vertical="center"/>
    </xf>
    <xf borderId="0" fillId="0" fontId="3" numFmtId="49" xfId="0" applyAlignment="1" applyFont="1" applyNumberFormat="1">
      <alignment horizontal="center" readingOrder="0" vertical="center"/>
    </xf>
    <xf borderId="8" fillId="0" fontId="3" numFmtId="49" xfId="0" applyAlignment="1" applyBorder="1" applyFont="1" applyNumberFormat="1">
      <alignment horizontal="center" readingOrder="0" vertical="center"/>
    </xf>
    <xf borderId="7" fillId="0" fontId="3" numFmtId="164" xfId="0" applyAlignment="1" applyBorder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6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0" fillId="0" fontId="6" numFmtId="0" xfId="0" applyFont="1"/>
    <xf borderId="0" fillId="0" fontId="6" numFmtId="0" xfId="0" applyAlignment="1" applyFont="1">
      <alignment horizontal="center" vertical="center"/>
    </xf>
    <xf borderId="11" fillId="0" fontId="6" numFmtId="0" xfId="0" applyAlignment="1" applyBorder="1" applyFont="1">
      <alignment horizontal="center" readingOrder="0" vertical="center"/>
    </xf>
    <xf borderId="0" fillId="4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7" fontId="6" numFmtId="0" xfId="0" applyAlignment="1" applyFill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12" fillId="0" fontId="3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vertical="center"/>
    </xf>
    <xf borderId="15" fillId="4" fontId="6" numFmtId="0" xfId="0" applyAlignment="1" applyBorder="1" applyFont="1">
      <alignment horizontal="center" readingOrder="0" vertical="center"/>
    </xf>
    <xf borderId="15" fillId="3" fontId="6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vertical="center"/>
    </xf>
    <xf borderId="15" fillId="2" fontId="6" numFmtId="0" xfId="0" applyAlignment="1" applyBorder="1" applyFont="1">
      <alignment horizontal="center" readingOrder="0" vertical="center"/>
    </xf>
    <xf borderId="15" fillId="5" fontId="6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0" fillId="4" fontId="6" numFmtId="0" xfId="0" applyAlignment="1" applyFont="1">
      <alignment horizontal="center" readingOrder="0" vertical="center"/>
    </xf>
    <xf borderId="18" fillId="0" fontId="1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 vertical="center"/>
    </xf>
    <xf borderId="5" fillId="3" fontId="6" numFmtId="0" xfId="0" applyAlignment="1" applyBorder="1" applyFont="1">
      <alignment horizontal="center" readingOrder="0" vertical="center"/>
    </xf>
    <xf borderId="19" fillId="3" fontId="6" numFmtId="0" xfId="0" applyAlignment="1" applyBorder="1" applyFont="1">
      <alignment horizontal="center" readingOrder="0" vertical="center"/>
    </xf>
    <xf borderId="18" fillId="6" fontId="7" numFmtId="0" xfId="0" applyBorder="1" applyFont="1"/>
    <xf borderId="0" fillId="8" fontId="6" numFmtId="0" xfId="0" applyAlignment="1" applyFill="1" applyFont="1">
      <alignment horizontal="center" readingOrder="0" vertical="center"/>
    </xf>
    <xf borderId="6" fillId="9" fontId="6" numFmtId="0" xfId="0" applyAlignment="1" applyBorder="1" applyFill="1" applyFont="1">
      <alignment horizontal="center" readingOrder="0" vertical="center"/>
    </xf>
    <xf borderId="20" fillId="0" fontId="1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 readingOrder="0" vertical="center"/>
    </xf>
    <xf borderId="22" fillId="0" fontId="3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vertical="center"/>
    </xf>
    <xf borderId="21" fillId="4" fontId="6" numFmtId="0" xfId="0" applyAlignment="1" applyBorder="1" applyFont="1">
      <alignment horizontal="center" readingOrder="0" vertical="center"/>
    </xf>
    <xf borderId="23" fillId="0" fontId="6" numFmtId="0" xfId="0" applyAlignment="1" applyBorder="1" applyFont="1">
      <alignment horizontal="center" readingOrder="0" vertical="center"/>
    </xf>
    <xf borderId="21" fillId="5" fontId="6" numFmtId="0" xfId="0" applyAlignment="1" applyBorder="1" applyFont="1">
      <alignment horizontal="center" readingOrder="0" vertical="center"/>
    </xf>
    <xf borderId="21" fillId="2" fontId="6" numFmtId="0" xfId="0" applyAlignment="1" applyBorder="1" applyFont="1">
      <alignment horizontal="center" readingOrder="0" vertical="center"/>
    </xf>
    <xf borderId="21" fillId="3" fontId="6" numFmtId="0" xfId="0" applyAlignment="1" applyBorder="1" applyFont="1">
      <alignment horizontal="center" readingOrder="0" vertical="center"/>
    </xf>
    <xf borderId="21" fillId="10" fontId="6" numFmtId="0" xfId="0" applyAlignment="1" applyBorder="1" applyFill="1" applyFont="1">
      <alignment horizontal="center" readingOrder="0" vertical="center"/>
    </xf>
    <xf borderId="21" fillId="0" fontId="6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15" fillId="11" fontId="6" numFmtId="0" xfId="0" applyAlignment="1" applyBorder="1" applyFill="1" applyFont="1">
      <alignment horizontal="center" readingOrder="0" vertical="center"/>
    </xf>
    <xf borderId="12" fillId="0" fontId="3" numFmtId="0" xfId="0" applyAlignment="1" applyBorder="1" applyFont="1">
      <alignment horizontal="center" readingOrder="0" vertical="center"/>
    </xf>
    <xf borderId="12" fillId="0" fontId="3" numFmtId="164" xfId="0" applyAlignment="1" applyBorder="1" applyFont="1" applyNumberForma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0" fillId="0" fontId="1" numFmtId="164" xfId="0" applyFont="1" applyNumberFormat="1"/>
    <xf borderId="0" fillId="0" fontId="3" numFmtId="164" xfId="0" applyAlignment="1" applyFont="1" applyNumberFormat="1">
      <alignment horizontal="center" vertical="center"/>
    </xf>
    <xf borderId="8" fillId="0" fontId="1" numFmtId="164" xfId="0" applyBorder="1" applyFont="1" applyNumberFormat="1"/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8" fillId="0" fontId="3" numFmtId="164" xfId="0" applyAlignment="1" applyBorder="1" applyFont="1" applyNumberFormat="1">
      <alignment horizontal="center" vertical="center"/>
    </xf>
    <xf borderId="25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8" fillId="0" fontId="1" numFmtId="0" xfId="0" applyBorder="1" applyFont="1"/>
    <xf borderId="0" fillId="12" fontId="1" numFmtId="0" xfId="0" applyFill="1" applyFont="1"/>
    <xf borderId="0" fillId="12" fontId="3" numFmtId="0" xfId="0" applyAlignment="1" applyFont="1">
      <alignment horizontal="center" vertical="center"/>
    </xf>
    <xf borderId="6" fillId="12" fontId="8" numFmtId="0" xfId="0" applyAlignment="1" applyBorder="1" applyFont="1">
      <alignment horizontal="center" readingOrder="0" vertical="center"/>
    </xf>
    <xf borderId="0" fillId="12" fontId="6" numFmtId="0" xfId="0" applyAlignment="1" applyFont="1">
      <alignment horizontal="center" vertical="center"/>
    </xf>
    <xf borderId="26" fillId="12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13" fontId="9" numFmtId="0" xfId="0" applyAlignment="1" applyFill="1" applyFont="1">
      <alignment horizontal="center" readingOrder="0" vertical="center"/>
    </xf>
    <xf borderId="6" fillId="13" fontId="9" numFmtId="0" xfId="0" applyAlignment="1" applyBorder="1" applyFont="1">
      <alignment horizontal="center" readingOrder="0" vertical="center"/>
    </xf>
    <xf borderId="0" fillId="13" fontId="6" numFmtId="0" xfId="0" applyAlignment="1" applyFont="1">
      <alignment horizontal="center" readingOrder="0" vertical="center"/>
    </xf>
    <xf borderId="26" fillId="13" fontId="3" numFmtId="0" xfId="0" applyAlignment="1" applyBorder="1" applyFont="1">
      <alignment horizontal="center" readingOrder="0" vertical="center"/>
    </xf>
    <xf borderId="0" fillId="13" fontId="3" numFmtId="0" xfId="0" applyAlignment="1" applyFont="1">
      <alignment horizontal="center" readingOrder="0" vertical="center"/>
    </xf>
    <xf borderId="8" fillId="13" fontId="10" numFmtId="0" xfId="0" applyAlignment="1" applyBorder="1" applyFont="1">
      <alignment horizontal="center" readingOrder="0" vertical="center"/>
    </xf>
    <xf borderId="0" fillId="13" fontId="10" numFmtId="0" xfId="0" applyAlignment="1" applyFont="1">
      <alignment horizontal="center" readingOrder="0" vertical="center"/>
    </xf>
    <xf borderId="0" fillId="13" fontId="9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6" fillId="0" fontId="11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 vertical="center"/>
    </xf>
    <xf borderId="0" fillId="2" fontId="11" numFmtId="0" xfId="0" applyAlignment="1" applyFont="1">
      <alignment horizontal="center" readingOrder="0" vertical="center"/>
    </xf>
    <xf borderId="26" fillId="0" fontId="11" numFmtId="0" xfId="0" applyAlignment="1" applyBorder="1" applyFont="1">
      <alignment horizontal="center" readingOrder="0" vertical="center"/>
    </xf>
    <xf borderId="8" fillId="0" fontId="11" numFmtId="0" xfId="0" applyAlignment="1" applyBorder="1" applyFont="1">
      <alignment horizontal="center" vertical="center"/>
    </xf>
    <xf borderId="21" fillId="0" fontId="11" numFmtId="0" xfId="0" applyAlignment="1" applyBorder="1" applyFont="1">
      <alignment horizontal="center" readingOrder="0" vertical="center"/>
    </xf>
    <xf borderId="22" fillId="0" fontId="11" numFmtId="0" xfId="0" applyAlignment="1" applyBorder="1" applyFont="1">
      <alignment horizontal="center" readingOrder="0" vertical="center"/>
    </xf>
    <xf borderId="21" fillId="0" fontId="11" numFmtId="0" xfId="0" applyAlignment="1" applyBorder="1" applyFont="1">
      <alignment horizontal="center" vertical="center"/>
    </xf>
    <xf borderId="0" fillId="14" fontId="11" numFmtId="0" xfId="0" applyAlignment="1" applyFill="1" applyFont="1">
      <alignment horizontal="center" readingOrder="0" vertical="center"/>
    </xf>
    <xf borderId="0" fillId="5" fontId="11" numFmtId="0" xfId="0" applyAlignment="1" applyFont="1">
      <alignment horizontal="center" readingOrder="0" vertical="center"/>
    </xf>
    <xf borderId="0" fillId="10" fontId="11" numFmtId="0" xfId="0" applyAlignment="1" applyFont="1">
      <alignment horizontal="center" readingOrder="0" vertical="center"/>
    </xf>
    <xf borderId="0" fillId="6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10" fontId="3" numFmtId="0" xfId="0" applyAlignment="1" applyFont="1">
      <alignment horizontal="center" readingOrder="0" vertical="center"/>
    </xf>
    <xf borderId="0" fillId="15" fontId="3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9" fontId="3" numFmtId="0" xfId="0" applyAlignment="1" applyFont="1">
      <alignment horizontal="center" readingOrder="0" vertical="center"/>
    </xf>
    <xf borderId="0" fillId="4" fontId="1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5" fontId="11" numFmtId="0" xfId="0" applyAlignment="1" applyFont="1">
      <alignment horizontal="center" vertical="center"/>
    </xf>
    <xf borderId="0" fillId="3" fontId="11" numFmtId="0" xfId="0" applyAlignment="1" applyFont="1">
      <alignment horizontal="center" vertical="center"/>
    </xf>
    <xf borderId="0" fillId="15" fontId="11" numFmtId="0" xfId="0" applyAlignment="1" applyFont="1">
      <alignment horizontal="center" readingOrder="0" vertical="center"/>
    </xf>
    <xf borderId="0" fillId="7" fontId="11" numFmtId="0" xfId="0" applyAlignment="1" applyFont="1">
      <alignment horizontal="center" vertical="center"/>
    </xf>
    <xf borderId="0" fillId="8" fontId="11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0" fillId="7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0" fillId="8" fontId="3" numFmtId="0" xfId="0" applyAlignment="1" applyFont="1">
      <alignment horizontal="center" readingOrder="0" vertical="center"/>
    </xf>
    <xf borderId="7" fillId="0" fontId="11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center"/>
    </xf>
    <xf borderId="7" fillId="0" fontId="1" numFmtId="0" xfId="0" applyBorder="1" applyFont="1"/>
    <xf borderId="0" fillId="12" fontId="13" numFmtId="0" xfId="0" applyAlignment="1" applyFill="1" applyFont="1">
      <alignment horizontal="center" readingOrder="0" shrinkToFit="0" wrapText="0"/>
    </xf>
    <xf borderId="0" fillId="0" fontId="14" numFmtId="0" xfId="0" applyAlignment="1" applyFont="1">
      <alignment horizontal="center" readingOrder="0" shrinkToFit="0" wrapText="0"/>
    </xf>
    <xf borderId="0" fillId="0" fontId="15" numFmtId="0" xfId="0" applyFont="1"/>
    <xf borderId="27" fillId="0" fontId="1" numFmtId="0" xfId="0" applyAlignment="1" applyBorder="1" applyFont="1">
      <alignment readingOrder="0"/>
    </xf>
    <xf borderId="28" fillId="0" fontId="1" numFmtId="0" xfId="0" applyAlignment="1" applyBorder="1" applyFont="1">
      <alignment horizontal="center" readingOrder="0"/>
    </xf>
    <xf borderId="29" fillId="0" fontId="1" numFmtId="0" xfId="0" applyAlignment="1" applyBorder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3" fillId="0" fontId="10" numFmtId="0" xfId="0" applyAlignment="1" applyBorder="1" applyFont="1">
      <alignment horizontal="center" readingOrder="0" vertical="center"/>
    </xf>
    <xf borderId="30" fillId="0" fontId="16" numFmtId="0" xfId="0" applyAlignment="1" applyBorder="1" applyFont="1">
      <alignment horizontal="center" readingOrder="0" vertical="bottom"/>
    </xf>
    <xf borderId="0" fillId="0" fontId="17" numFmtId="0" xfId="0" applyAlignment="1" applyFont="1">
      <alignment horizontal="center" readingOrder="0"/>
    </xf>
    <xf borderId="12" fillId="0" fontId="1" numFmtId="165" xfId="0" applyAlignment="1" applyBorder="1" applyFont="1" applyNumberFormat="1">
      <alignment readingOrder="0"/>
    </xf>
    <xf borderId="0" fillId="0" fontId="18" numFmtId="0" xfId="0" applyAlignment="1" applyFont="1">
      <alignment horizontal="right" vertical="bottom"/>
    </xf>
    <xf borderId="31" fillId="0" fontId="10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readingOrder="0"/>
    </xf>
    <xf borderId="33" fillId="0" fontId="10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readingOrder="0"/>
    </xf>
    <xf borderId="0" fillId="0" fontId="10" numFmtId="0" xfId="0" applyAlignment="1" applyFont="1">
      <alignment horizontal="center" readingOrder="0" vertical="center"/>
    </xf>
    <xf borderId="12" fillId="0" fontId="16" numFmtId="0" xfId="0" applyAlignment="1" applyBorder="1" applyFont="1">
      <alignment horizontal="center" readingOrder="0" vertical="bottom"/>
    </xf>
    <xf borderId="13" fillId="0" fontId="19" numFmtId="0" xfId="0" applyAlignment="1" applyBorder="1" applyFont="1">
      <alignment horizontal="center" readingOrder="0"/>
    </xf>
    <xf borderId="0" fillId="0" fontId="1" numFmtId="165" xfId="0" applyAlignment="1" applyFont="1" applyNumberFormat="1">
      <alignment readingOrder="0"/>
    </xf>
    <xf borderId="26" fillId="0" fontId="10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0" fillId="6" fontId="10" numFmtId="0" xfId="0" applyAlignment="1" applyFont="1">
      <alignment horizontal="center" readingOrder="0" vertical="center"/>
    </xf>
    <xf borderId="26" fillId="6" fontId="10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center"/>
    </xf>
    <xf borderId="26" fillId="0" fontId="10" numFmtId="164" xfId="0" applyAlignment="1" applyBorder="1" applyFont="1" applyNumberFormat="1">
      <alignment horizontal="center" readingOrder="0" vertical="center"/>
    </xf>
    <xf borderId="13" fillId="6" fontId="10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horizontal="center"/>
    </xf>
    <xf borderId="0" fillId="0" fontId="10" numFmtId="164" xfId="0" applyAlignment="1" applyFont="1" applyNumberFormat="1">
      <alignment horizontal="center" readingOrder="0" vertical="center"/>
    </xf>
    <xf borderId="13" fillId="0" fontId="10" numFmtId="164" xfId="0" applyAlignment="1" applyBorder="1" applyFont="1" applyNumberFormat="1">
      <alignment horizontal="center" readingOrder="0" vertical="center"/>
    </xf>
    <xf borderId="29" fillId="6" fontId="10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readingOrder="0"/>
    </xf>
    <xf borderId="34" fillId="0" fontId="1" numFmtId="0" xfId="0" applyAlignment="1" applyBorder="1" applyFont="1">
      <alignment readingOrder="0"/>
    </xf>
    <xf borderId="28" fillId="0" fontId="16" numFmtId="0" xfId="0" applyAlignment="1" applyBorder="1" applyFont="1">
      <alignment horizontal="center" readingOrder="0" vertical="bottom"/>
    </xf>
    <xf borderId="35" fillId="0" fontId="10" numFmtId="0" xfId="0" applyAlignment="1" applyBorder="1" applyFont="1">
      <alignment horizontal="center" readingOrder="0" vertical="center"/>
    </xf>
    <xf borderId="36" fillId="6" fontId="15" numFmtId="0" xfId="0" applyAlignment="1" applyBorder="1" applyFont="1">
      <alignment readingOrder="0"/>
    </xf>
    <xf borderId="33" fillId="0" fontId="17" numFmtId="0" xfId="0" applyAlignment="1" applyBorder="1" applyFont="1">
      <alignment horizontal="center" readingOrder="0"/>
    </xf>
    <xf borderId="30" fillId="0" fontId="20" numFmtId="0" xfId="0" applyAlignment="1" applyBorder="1" applyFont="1">
      <alignment readingOrder="0"/>
    </xf>
    <xf borderId="33" fillId="0" fontId="20" numFmtId="0" xfId="0" applyAlignment="1" applyBorder="1" applyFont="1">
      <alignment readingOrder="0"/>
    </xf>
    <xf borderId="33" fillId="0" fontId="15" numFmtId="0" xfId="0" applyAlignment="1" applyBorder="1" applyFont="1">
      <alignment readingOrder="0"/>
    </xf>
    <xf borderId="33" fillId="6" fontId="1" numFmtId="0" xfId="0" applyBorder="1" applyFont="1"/>
    <xf borderId="0" fillId="6" fontId="1" numFmtId="0" xfId="0" applyFont="1"/>
    <xf borderId="13" fillId="6" fontId="1" numFmtId="0" xfId="0" applyBorder="1" applyFont="1"/>
    <xf borderId="12" fillId="0" fontId="20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0" fillId="0" fontId="15" numFmtId="0" xfId="0" applyAlignment="1" applyFont="1">
      <alignment readingOrder="0"/>
    </xf>
    <xf borderId="0" fillId="6" fontId="1" numFmtId="0" xfId="0" applyAlignment="1" applyFont="1">
      <alignment readingOrder="0"/>
    </xf>
    <xf borderId="13" fillId="16" fontId="15" numFmtId="0" xfId="0" applyAlignment="1" applyBorder="1" applyFill="1" applyFont="1">
      <alignment readingOrder="0"/>
    </xf>
    <xf borderId="13" fillId="17" fontId="15" numFmtId="0" xfId="0" applyAlignment="1" applyBorder="1" applyFill="1" applyFont="1">
      <alignment readingOrder="0"/>
    </xf>
    <xf borderId="13" fillId="18" fontId="15" numFmtId="0" xfId="0" applyAlignment="1" applyBorder="1" applyFill="1" applyFont="1">
      <alignment readingOrder="0"/>
    </xf>
    <xf borderId="13" fillId="14" fontId="15" numFmtId="0" xfId="0" applyAlignment="1" applyBorder="1" applyFont="1">
      <alignment readingOrder="0"/>
    </xf>
    <xf borderId="13" fillId="19" fontId="15" numFmtId="0" xfId="0" applyAlignment="1" applyBorder="1" applyFill="1" applyFont="1">
      <alignment readingOrder="0"/>
    </xf>
    <xf borderId="13" fillId="20" fontId="15" numFmtId="0" xfId="0" applyAlignment="1" applyBorder="1" applyFill="1" applyFont="1">
      <alignment readingOrder="0"/>
    </xf>
    <xf borderId="13" fillId="21" fontId="15" numFmtId="0" xfId="0" applyAlignment="1" applyBorder="1" applyFill="1" applyFont="1">
      <alignment readingOrder="0"/>
    </xf>
    <xf borderId="13" fillId="12" fontId="1" numFmtId="0" xfId="0" applyBorder="1" applyFont="1"/>
    <xf borderId="12" fillId="12" fontId="1" numFmtId="0" xfId="0" applyBorder="1" applyFont="1"/>
    <xf borderId="12" fillId="0" fontId="15" numFmtId="0" xfId="0" applyAlignment="1" applyBorder="1" applyFont="1">
      <alignment readingOrder="0"/>
    </xf>
    <xf borderId="37" fillId="0" fontId="15" numFmtId="0" xfId="0" applyBorder="1" applyFont="1"/>
    <xf borderId="0" fillId="0" fontId="21" numFmtId="0" xfId="0" applyAlignment="1" applyFont="1">
      <alignment readingOrder="0"/>
    </xf>
    <xf borderId="37" fillId="6" fontId="22" numFmtId="0" xfId="0" applyBorder="1" applyFont="1"/>
    <xf borderId="12" fillId="0" fontId="1" numFmtId="0" xfId="0" applyAlignment="1" applyBorder="1" applyFont="1">
      <alignment readingOrder="0"/>
    </xf>
    <xf borderId="38" fillId="6" fontId="22" numFmtId="0" xfId="0" applyBorder="1" applyFont="1"/>
    <xf borderId="13" fillId="6" fontId="1" numFmtId="0" xfId="0" applyAlignment="1" applyBorder="1" applyFont="1">
      <alignment readingOrder="0"/>
    </xf>
    <xf borderId="38" fillId="0" fontId="15" numFmtId="0" xfId="0" applyBorder="1" applyFont="1"/>
    <xf borderId="39" fillId="21" fontId="15" numFmtId="0" xfId="0" applyAlignment="1" applyBorder="1" applyFont="1">
      <alignment readingOrder="0"/>
    </xf>
    <xf borderId="37" fillId="16" fontId="15" numFmtId="0" xfId="0" applyAlignment="1" applyBorder="1" applyFont="1">
      <alignment readingOrder="0"/>
    </xf>
    <xf borderId="39" fillId="17" fontId="15" numFmtId="0" xfId="0" applyAlignment="1" applyBorder="1" applyFont="1">
      <alignment readingOrder="0"/>
    </xf>
    <xf borderId="39" fillId="18" fontId="15" numFmtId="0" xfId="0" applyAlignment="1" applyBorder="1" applyFont="1">
      <alignment readingOrder="0"/>
    </xf>
    <xf borderId="39" fillId="14" fontId="15" numFmtId="0" xfId="0" applyAlignment="1" applyBorder="1" applyFont="1">
      <alignment readingOrder="0"/>
    </xf>
    <xf borderId="39" fillId="19" fontId="15" numFmtId="0" xfId="0" applyAlignment="1" applyBorder="1" applyFont="1">
      <alignment readingOrder="0"/>
    </xf>
    <xf borderId="39" fillId="20" fontId="15" numFmtId="0" xfId="0" applyAlignment="1" applyBorder="1" applyFont="1">
      <alignment readingOrder="0"/>
    </xf>
    <xf borderId="40" fillId="21" fontId="15" numFmtId="0" xfId="0" applyAlignment="1" applyBorder="1" applyFont="1">
      <alignment readingOrder="0"/>
    </xf>
    <xf borderId="26" fillId="0" fontId="1" numFmtId="0" xfId="0" applyAlignment="1" applyBorder="1" applyFont="1">
      <alignment horizontal="center" readingOrder="0"/>
    </xf>
    <xf borderId="0" fillId="0" fontId="15" numFmtId="0" xfId="0" applyAlignment="1" applyFont="1">
      <alignment horizontal="center" readingOrder="0"/>
    </xf>
    <xf borderId="35" fillId="6" fontId="10" numFmtId="0" xfId="0" applyAlignment="1" applyBorder="1" applyFont="1">
      <alignment horizontal="center" readingOrder="0" vertical="center"/>
    </xf>
    <xf borderId="0" fillId="16" fontId="1" numFmtId="0" xfId="0" applyAlignment="1" applyFont="1">
      <alignment readingOrder="0"/>
    </xf>
    <xf borderId="0" fillId="17" fontId="1" numFmtId="0" xfId="0" applyAlignment="1" applyFont="1">
      <alignment readingOrder="0"/>
    </xf>
    <xf borderId="13" fillId="0" fontId="19" numFmtId="0" xfId="0" applyAlignment="1" applyBorder="1" applyFont="1">
      <alignment horizontal="center"/>
    </xf>
    <xf borderId="0" fillId="14" fontId="1" numFmtId="0" xfId="0" applyAlignment="1" applyFont="1">
      <alignment readingOrder="0"/>
    </xf>
    <xf borderId="0" fillId="19" fontId="1" numFmtId="0" xfId="0" applyAlignment="1" applyFont="1">
      <alignment readingOrder="0"/>
    </xf>
    <xf borderId="0" fillId="18" fontId="1" numFmtId="0" xfId="0" applyAlignment="1" applyFont="1">
      <alignment readingOrder="0"/>
    </xf>
    <xf borderId="0" fillId="0" fontId="1" numFmtId="0" xfId="0" applyAlignment="1" applyFont="1">
      <alignment readingOrder="0"/>
    </xf>
    <xf borderId="29" fillId="0" fontId="1" numFmtId="0" xfId="0" applyBorder="1" applyFont="1"/>
    <xf borderId="33" fillId="17" fontId="17" numFmtId="0" xfId="0" applyAlignment="1" applyBorder="1" applyFont="1">
      <alignment horizontal="center" readingOrder="0"/>
    </xf>
    <xf borderId="33" fillId="14" fontId="17" numFmtId="0" xfId="0" applyAlignment="1" applyBorder="1" applyFont="1">
      <alignment horizontal="center" readingOrder="0"/>
    </xf>
    <xf borderId="33" fillId="16" fontId="17" numFmtId="0" xfId="0" applyAlignment="1" applyBorder="1" applyFont="1">
      <alignment horizontal="center" readingOrder="0"/>
    </xf>
    <xf borderId="33" fillId="19" fontId="17" numFmtId="0" xfId="0" applyAlignment="1" applyBorder="1" applyFont="1">
      <alignment horizontal="center" readingOrder="0"/>
    </xf>
    <xf borderId="33" fillId="18" fontId="17" numFmtId="0" xfId="0" applyAlignment="1" applyBorder="1" applyFont="1">
      <alignment horizontal="center" readingOrder="0"/>
    </xf>
    <xf borderId="30" fillId="17" fontId="20" numFmtId="0" xfId="0" applyAlignment="1" applyBorder="1" applyFont="1">
      <alignment readingOrder="0"/>
    </xf>
    <xf borderId="33" fillId="14" fontId="20" numFmtId="0" xfId="0" applyAlignment="1" applyBorder="1" applyFont="1">
      <alignment readingOrder="0"/>
    </xf>
    <xf borderId="33" fillId="17" fontId="15" numFmtId="0" xfId="0" applyAlignment="1" applyBorder="1" applyFont="1">
      <alignment readingOrder="0"/>
    </xf>
    <xf borderId="33" fillId="17" fontId="20" numFmtId="0" xfId="0" applyAlignment="1" applyBorder="1" applyFont="1">
      <alignment readingOrder="0"/>
    </xf>
    <xf borderId="0" fillId="17" fontId="17" numFmtId="0" xfId="0" applyAlignment="1" applyFont="1">
      <alignment horizontal="center" readingOrder="0"/>
    </xf>
    <xf borderId="0" fillId="14" fontId="17" numFmtId="0" xfId="0" applyAlignment="1" applyFont="1">
      <alignment horizontal="center" readingOrder="0"/>
    </xf>
    <xf borderId="0" fillId="16" fontId="17" numFmtId="0" xfId="0" applyAlignment="1" applyFont="1">
      <alignment horizontal="center" readingOrder="0"/>
    </xf>
    <xf borderId="0" fillId="18" fontId="17" numFmtId="0" xfId="0" applyAlignment="1" applyFont="1">
      <alignment horizontal="center" readingOrder="0"/>
    </xf>
    <xf borderId="12" fillId="17" fontId="20" numFmtId="0" xfId="0" applyAlignment="1" applyBorder="1" applyFont="1">
      <alignment readingOrder="0"/>
    </xf>
    <xf borderId="0" fillId="14" fontId="20" numFmtId="0" xfId="0" applyAlignment="1" applyFont="1">
      <alignment readingOrder="0"/>
    </xf>
    <xf borderId="0" fillId="17" fontId="15" numFmtId="0" xfId="0" applyAlignment="1" applyFont="1">
      <alignment readingOrder="0"/>
    </xf>
    <xf borderId="0" fillId="17" fontId="20" numFmtId="0" xfId="0" applyAlignment="1" applyFont="1">
      <alignment readingOrder="0"/>
    </xf>
    <xf borderId="0" fillId="17" fontId="17" numFmtId="0" xfId="0" applyAlignment="1" applyFont="1">
      <alignment horizontal="center" readingOrder="0"/>
    </xf>
    <xf borderId="12" fillId="16" fontId="20" numFmtId="0" xfId="0" applyAlignment="1" applyBorder="1" applyFont="1">
      <alignment readingOrder="0"/>
    </xf>
    <xf borderId="0" fillId="18" fontId="20" numFmtId="0" xfId="0" applyAlignment="1" applyFont="1">
      <alignment readingOrder="0"/>
    </xf>
    <xf borderId="0" fillId="19" fontId="17" numFmtId="0" xfId="0" applyAlignment="1" applyFont="1">
      <alignment horizontal="center" readingOrder="0"/>
    </xf>
    <xf borderId="1" fillId="6" fontId="1" numFmtId="0" xfId="0" applyAlignment="1" applyBorder="1" applyFont="1">
      <alignment readingOrder="0"/>
    </xf>
    <xf borderId="0" fillId="20" fontId="1" numFmtId="0" xfId="0" applyAlignment="1" applyFont="1">
      <alignment readingOrder="0"/>
    </xf>
    <xf borderId="0" fillId="20" fontId="17" numFmtId="0" xfId="0" applyAlignment="1" applyFont="1">
      <alignment horizontal="center" readingOrder="0"/>
    </xf>
    <xf borderId="33" fillId="20" fontId="17" numFmtId="0" xfId="0" applyAlignment="1" applyBorder="1" applyFont="1">
      <alignment horizontal="center" readingOrder="0" vertical="bottom"/>
    </xf>
    <xf borderId="33" fillId="19" fontId="17" numFmtId="0" xfId="0" applyAlignment="1" applyBorder="1" applyFont="1">
      <alignment horizontal="center" readingOrder="0" vertical="bottom"/>
    </xf>
    <xf borderId="33" fillId="16" fontId="17" numFmtId="0" xfId="0" applyAlignment="1" applyBorder="1" applyFont="1">
      <alignment horizontal="center" readingOrder="0" vertical="bottom"/>
    </xf>
    <xf borderId="33" fillId="18" fontId="17" numFmtId="0" xfId="0" applyAlignment="1" applyBorder="1" applyFont="1">
      <alignment horizontal="center" readingOrder="0" vertical="bottom"/>
    </xf>
    <xf borderId="33" fillId="19" fontId="17" numFmtId="0" xfId="0" applyAlignment="1" applyBorder="1" applyFont="1">
      <alignment horizontal="center" readingOrder="0" vertical="bottom"/>
    </xf>
    <xf borderId="33" fillId="17" fontId="17" numFmtId="0" xfId="0" applyAlignment="1" applyBorder="1" applyFont="1">
      <alignment horizontal="center" readingOrder="0" vertical="bottom"/>
    </xf>
    <xf borderId="33" fillId="16" fontId="17" numFmtId="0" xfId="0" applyAlignment="1" applyBorder="1" applyFont="1">
      <alignment horizontal="center" readingOrder="0" vertical="bottom"/>
    </xf>
    <xf borderId="30" fillId="20" fontId="20" numFmtId="0" xfId="0" applyAlignment="1" applyBorder="1" applyFont="1">
      <alignment readingOrder="0"/>
    </xf>
    <xf borderId="33" fillId="16" fontId="15" numFmtId="0" xfId="0" applyAlignment="1" applyBorder="1" applyFont="1">
      <alignment readingOrder="0"/>
    </xf>
    <xf borderId="33" fillId="16" fontId="20" numFmtId="0" xfId="0" applyAlignment="1" applyBorder="1" applyFont="1">
      <alignment readingOrder="0"/>
    </xf>
    <xf borderId="12" fillId="20" fontId="20" numFmtId="0" xfId="0" applyAlignment="1" applyBorder="1" applyFont="1">
      <alignment readingOrder="0"/>
    </xf>
    <xf borderId="0" fillId="16" fontId="15" numFmtId="0" xfId="0" applyAlignment="1" applyFont="1">
      <alignment readingOrder="0"/>
    </xf>
    <xf borderId="0" fillId="16" fontId="20" numFmtId="0" xfId="0" applyAlignment="1" applyFont="1">
      <alignment readingOrder="0"/>
    </xf>
    <xf borderId="0" fillId="19" fontId="17" numFmtId="0" xfId="0" applyAlignment="1" applyFont="1">
      <alignment horizontal="center" readingOrder="0"/>
    </xf>
    <xf borderId="12" fillId="14" fontId="20" numFmtId="0" xfId="0" applyAlignment="1" applyBorder="1" applyFont="1">
      <alignment readingOrder="0"/>
    </xf>
    <xf borderId="0" fillId="19" fontId="20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9" fillId="0" fontId="15" numFmtId="0" xfId="0" applyBorder="1" applyFont="1"/>
    <xf borderId="13" fillId="16" fontId="15" numFmtId="0" xfId="0" applyAlignment="1" applyBorder="1" applyFont="1">
      <alignment horizontal="center" readingOrder="0"/>
    </xf>
    <xf borderId="0" fillId="0" fontId="23" numFmtId="0" xfId="0" applyAlignment="1" applyFont="1">
      <alignment readingOrder="0"/>
    </xf>
    <xf borderId="9" fillId="6" fontId="22" numFmtId="0" xfId="0" applyBorder="1" applyFont="1"/>
    <xf borderId="12" fillId="0" fontId="15" numFmtId="0" xfId="0" applyBorder="1" applyFont="1"/>
    <xf borderId="13" fillId="17" fontId="15" numFmtId="0" xfId="0" applyAlignment="1" applyBorder="1" applyFont="1">
      <alignment horizontal="center" readingOrder="0"/>
    </xf>
    <xf borderId="12" fillId="6" fontId="22" numFmtId="0" xfId="0" applyBorder="1" applyFont="1"/>
    <xf borderId="13" fillId="18" fontId="15" numFmtId="0" xfId="0" applyAlignment="1" applyBorder="1" applyFont="1">
      <alignment horizontal="center" readingOrder="0"/>
    </xf>
    <xf borderId="13" fillId="14" fontId="15" numFmtId="0" xfId="0" applyAlignment="1" applyBorder="1" applyFont="1">
      <alignment horizontal="center" readingOrder="0"/>
    </xf>
    <xf borderId="13" fillId="19" fontId="15" numFmtId="0" xfId="0" applyAlignment="1" applyBorder="1" applyFont="1">
      <alignment horizontal="center" readingOrder="0"/>
    </xf>
    <xf borderId="13" fillId="20" fontId="15" numFmtId="0" xfId="0" applyAlignment="1" applyBorder="1" applyFont="1">
      <alignment horizontal="center" readingOrder="0"/>
    </xf>
    <xf borderId="13" fillId="21" fontId="15" numFmtId="0" xfId="0" applyAlignment="1" applyBorder="1" applyFont="1">
      <alignment horizontal="center" readingOrder="0"/>
    </xf>
    <xf borderId="13" fillId="22" fontId="15" numFmtId="0" xfId="0" applyAlignment="1" applyBorder="1" applyFill="1" applyFont="1">
      <alignment horizontal="center" readingOrder="0"/>
    </xf>
    <xf borderId="25" fillId="0" fontId="15" numFmtId="0" xfId="0" applyBorder="1" applyFont="1"/>
    <xf borderId="2" fillId="23" fontId="15" numFmtId="0" xfId="0" applyAlignment="1" applyBorder="1" applyFill="1" applyFont="1">
      <alignment horizontal="center" readingOrder="0"/>
    </xf>
    <xf borderId="25" fillId="6" fontId="22" numFmtId="0" xfId="0" applyBorder="1" applyFont="1"/>
    <xf borderId="2" fillId="23" fontId="15" numFmtId="0" xfId="0" applyAlignment="1" applyBorder="1" applyFont="1">
      <alignment horizontal="center"/>
    </xf>
    <xf borderId="27" fillId="0" fontId="1" numFmtId="0" xfId="0" applyAlignment="1" applyBorder="1" applyFont="1">
      <alignment horizontal="center" readingOrder="0"/>
    </xf>
    <xf borderId="28" fillId="0" fontId="1" numFmtId="0" xfId="0" applyAlignment="1" applyBorder="1" applyFont="1">
      <alignment readingOrder="0"/>
    </xf>
    <xf quotePrefix="1" borderId="29" fillId="0" fontId="1" numFmtId="0" xfId="0" applyAlignment="1" applyBorder="1" applyFont="1">
      <alignment readingOrder="0"/>
    </xf>
    <xf borderId="13" fillId="0" fontId="17" numFmtId="0" xfId="0" applyAlignment="1" applyBorder="1" applyFont="1">
      <alignment horizontal="center"/>
    </xf>
    <xf borderId="41" fillId="0" fontId="16" numFmtId="0" xfId="0" applyAlignment="1" applyBorder="1" applyFont="1">
      <alignment horizontal="center" readingOrder="0" vertical="bottom"/>
    </xf>
    <xf borderId="15" fillId="0" fontId="17" numFmtId="0" xfId="0" applyAlignment="1" applyBorder="1" applyFont="1">
      <alignment horizontal="center" readingOrder="0"/>
    </xf>
    <xf borderId="15" fillId="0" fontId="17" numFmtId="0" xfId="0" applyAlignment="1" applyBorder="1" applyFont="1">
      <alignment horizontal="center"/>
    </xf>
    <xf borderId="42" fillId="0" fontId="24" numFmtId="0" xfId="0" applyAlignment="1" applyBorder="1" applyFont="1">
      <alignment horizontal="center"/>
    </xf>
    <xf borderId="42" fillId="0" fontId="17" numFmtId="0" xfId="0" applyAlignment="1" applyBorder="1" applyFont="1">
      <alignment horizontal="center"/>
    </xf>
    <xf borderId="0" fillId="0" fontId="24" numFmtId="0" xfId="0" applyAlignment="1" applyFont="1">
      <alignment horizontal="center"/>
    </xf>
    <xf borderId="36" fillId="0" fontId="15" numFmtId="0" xfId="0" applyAlignment="1" applyBorder="1" applyFont="1">
      <alignment readingOrder="0"/>
    </xf>
    <xf borderId="33" fillId="16" fontId="25" numFmtId="0" xfId="0" applyAlignment="1" applyBorder="1" applyFont="1">
      <alignment horizontal="center" readingOrder="0" vertical="bottom"/>
    </xf>
    <xf borderId="33" fillId="0" fontId="25" numFmtId="0" xfId="0" applyAlignment="1" applyBorder="1" applyFont="1">
      <alignment horizontal="center" readingOrder="0" vertical="bottom"/>
    </xf>
    <xf borderId="33" fillId="19" fontId="25" numFmtId="0" xfId="0" applyAlignment="1" applyBorder="1" applyFont="1">
      <alignment horizontal="center" readingOrder="0" vertical="bottom"/>
    </xf>
    <xf borderId="33" fillId="20" fontId="25" numFmtId="0" xfId="0" applyAlignment="1" applyBorder="1" applyFont="1">
      <alignment horizontal="center" readingOrder="0" vertical="bottom"/>
    </xf>
    <xf borderId="33" fillId="17" fontId="25" numFmtId="0" xfId="0" applyAlignment="1" applyBorder="1" applyFont="1">
      <alignment horizontal="center" readingOrder="0" vertical="bottom"/>
    </xf>
    <xf borderId="33" fillId="18" fontId="25" numFmtId="0" xfId="0" applyAlignment="1" applyBorder="1" applyFont="1">
      <alignment horizontal="center" readingOrder="0" vertical="bottom"/>
    </xf>
    <xf borderId="33" fillId="14" fontId="25" numFmtId="0" xfId="0" applyAlignment="1" applyBorder="1" applyFont="1">
      <alignment horizontal="center" readingOrder="0" vertical="bottom"/>
    </xf>
    <xf borderId="33" fillId="14" fontId="25" numFmtId="0" xfId="0" applyAlignment="1" applyBorder="1" applyFont="1">
      <alignment horizontal="center" vertical="bottom"/>
    </xf>
    <xf borderId="30" fillId="16" fontId="20" numFmtId="0" xfId="0" applyAlignment="1" applyBorder="1" applyFont="1">
      <alignment readingOrder="0"/>
    </xf>
    <xf borderId="33" fillId="6" fontId="1" numFmtId="0" xfId="0" applyAlignment="1" applyBorder="1" applyFont="1">
      <alignment horizontal="right" readingOrder="0"/>
    </xf>
    <xf borderId="33" fillId="6" fontId="1" numFmtId="0" xfId="0" applyAlignment="1" applyBorder="1" applyFont="1">
      <alignment readingOrder="0"/>
    </xf>
    <xf borderId="13" fillId="0" fontId="1" numFmtId="0" xfId="0" applyBorder="1" applyFont="1"/>
    <xf borderId="0" fillId="16" fontId="25" numFmtId="0" xfId="0" applyAlignment="1" applyFont="1">
      <alignment horizontal="center" readingOrder="0" vertical="bottom"/>
    </xf>
    <xf borderId="0" fillId="0" fontId="25" numFmtId="0" xfId="0" applyAlignment="1" applyFont="1">
      <alignment horizontal="center" readingOrder="0" vertical="bottom"/>
    </xf>
    <xf borderId="0" fillId="17" fontId="25" numFmtId="0" xfId="0" applyAlignment="1" applyFont="1">
      <alignment horizontal="center" readingOrder="0" vertical="bottom"/>
    </xf>
    <xf borderId="0" fillId="16" fontId="25" numFmtId="0" xfId="0" applyAlignment="1" applyFont="1">
      <alignment horizontal="center" readingOrder="0" vertical="bottom"/>
    </xf>
    <xf borderId="0" fillId="20" fontId="25" numFmtId="0" xfId="0" applyAlignment="1" applyFont="1">
      <alignment horizontal="center" readingOrder="0" vertical="bottom"/>
    </xf>
    <xf borderId="0" fillId="14" fontId="25" numFmtId="0" xfId="0" applyAlignment="1" applyFont="1">
      <alignment horizontal="center" readingOrder="0" vertical="bottom"/>
    </xf>
    <xf borderId="0" fillId="18" fontId="25" numFmtId="0" xfId="0" applyAlignment="1" applyFont="1">
      <alignment horizontal="center" readingOrder="0" vertical="bottom"/>
    </xf>
    <xf borderId="0" fillId="0" fontId="25" numFmtId="0" xfId="0" applyAlignment="1" applyFont="1">
      <alignment horizontal="center" readingOrder="0" vertical="bottom"/>
    </xf>
    <xf borderId="0" fillId="19" fontId="25" numFmtId="0" xfId="0" applyAlignment="1" applyFont="1">
      <alignment horizontal="center" readingOrder="0" vertical="bottom"/>
    </xf>
    <xf borderId="0" fillId="18" fontId="25" numFmtId="0" xfId="0" applyAlignment="1" applyFont="1">
      <alignment horizontal="center" readingOrder="0" vertical="bottom"/>
    </xf>
    <xf borderId="0" fillId="0" fontId="25" numFmtId="0" xfId="0" applyAlignment="1" applyFont="1">
      <alignment horizontal="center" vertical="bottom"/>
    </xf>
    <xf borderId="0" fillId="19" fontId="25" numFmtId="0" xfId="0" applyAlignment="1" applyFont="1">
      <alignment horizontal="center" readingOrder="0" vertical="bottom"/>
    </xf>
    <xf borderId="0" fillId="17" fontId="25" numFmtId="0" xfId="0" applyAlignment="1" applyFont="1">
      <alignment horizontal="center" readingOrder="0" vertical="bottom"/>
    </xf>
    <xf borderId="0" fillId="0" fontId="25" numFmtId="0" xfId="0" applyAlignment="1" applyFont="1">
      <alignment horizontal="center" vertical="bottom"/>
    </xf>
    <xf borderId="0" fillId="14" fontId="25" numFmtId="0" xfId="0" applyAlignment="1" applyFont="1">
      <alignment horizontal="center" readingOrder="0" vertical="bottom"/>
    </xf>
    <xf borderId="12" fillId="19" fontId="20" numFmtId="0" xfId="0" applyAlignment="1" applyBorder="1" applyFont="1">
      <alignment readingOrder="0"/>
    </xf>
    <xf borderId="0" fillId="20" fontId="25" numFmtId="0" xfId="0" applyAlignment="1" applyFont="1">
      <alignment horizontal="center" readingOrder="0" vertical="bottom"/>
    </xf>
    <xf borderId="13" fillId="22" fontId="15" numFmtId="0" xfId="0" applyAlignment="1" applyBorder="1" applyFont="1">
      <alignment readingOrder="0"/>
    </xf>
    <xf borderId="13" fillId="23" fontId="15" numFmtId="0" xfId="0" applyAlignment="1" applyBorder="1" applyFont="1">
      <alignment readingOrder="0"/>
    </xf>
    <xf borderId="0" fillId="6" fontId="18" numFmtId="0" xfId="0" applyAlignment="1" applyFont="1">
      <alignment horizontal="right" vertical="bottom"/>
    </xf>
    <xf borderId="39" fillId="22" fontId="15" numFmtId="0" xfId="0" applyAlignment="1" applyBorder="1" applyFont="1">
      <alignment readingOrder="0"/>
    </xf>
    <xf borderId="13" fillId="23" fontId="15" numFmtId="0" xfId="0" applyAlignment="1" applyBorder="1" applyFont="1">
      <alignment horizontal="center" readingOrder="0"/>
    </xf>
    <xf borderId="39" fillId="23" fontId="15" numFmtId="0" xfId="0" applyAlignment="1" applyBorder="1" applyFont="1">
      <alignment readingOrder="0"/>
    </xf>
    <xf borderId="0" fillId="12" fontId="1" numFmtId="0" xfId="0" applyAlignment="1" applyFont="1">
      <alignment readingOrder="0"/>
    </xf>
    <xf borderId="34" fillId="0" fontId="1" numFmtId="0" xfId="0" applyBorder="1" applyFont="1"/>
    <xf borderId="29" fillId="6" fontId="1" numFmtId="0" xfId="0" applyAlignment="1" applyBorder="1" applyFont="1">
      <alignment readingOrder="0"/>
    </xf>
    <xf borderId="13" fillId="16" fontId="17" numFmtId="0" xfId="0" applyAlignment="1" applyBorder="1" applyFont="1">
      <alignment horizontal="center" readingOrder="0"/>
    </xf>
    <xf borderId="39" fillId="0" fontId="15" numFmtId="0" xfId="0" applyBorder="1" applyFont="1"/>
    <xf borderId="13" fillId="17" fontId="17" numFmtId="0" xfId="0" applyAlignment="1" applyBorder="1" applyFont="1">
      <alignment horizontal="center" readingOrder="0"/>
    </xf>
    <xf borderId="13" fillId="18" fontId="17" numFmtId="0" xfId="0" applyAlignment="1" applyBorder="1" applyFont="1">
      <alignment horizontal="center" readingOrder="0"/>
    </xf>
    <xf borderId="13" fillId="14" fontId="17" numFmtId="0" xfId="0" applyAlignment="1" applyBorder="1" applyFont="1">
      <alignment horizontal="center" readingOrder="0"/>
    </xf>
    <xf borderId="13" fillId="19" fontId="17" numFmtId="0" xfId="0" applyAlignment="1" applyBorder="1" applyFont="1">
      <alignment horizontal="center" readingOrder="0"/>
    </xf>
    <xf borderId="40" fillId="0" fontId="15" numFmtId="0" xfId="0" applyBorder="1" applyFont="1"/>
    <xf borderId="40" fillId="20" fontId="17" numFmtId="0" xfId="0" applyAlignment="1" applyBorder="1" applyFont="1">
      <alignment horizontal="center" readingOrder="0"/>
    </xf>
    <xf borderId="0" fillId="0" fontId="24" numFmtId="0" xfId="0" applyAlignment="1" applyFont="1">
      <alignment horizontal="center" readingOrder="0"/>
    </xf>
    <xf borderId="39" fillId="6" fontId="22" numFmtId="0" xfId="0" applyBorder="1" applyFont="1"/>
    <xf borderId="40" fillId="6" fontId="22" numFmtId="0" xfId="0" applyBorder="1" applyFont="1"/>
    <xf borderId="0" fillId="0" fontId="22" numFmtId="0" xfId="0" applyFont="1"/>
    <xf borderId="13" fillId="0" fontId="24" numFmtId="0" xfId="0" applyAlignment="1" applyBorder="1" applyFont="1">
      <alignment horizontal="center"/>
    </xf>
    <xf borderId="13" fillId="0" fontId="17" numFmtId="0" xfId="0" applyAlignment="1" applyBorder="1" applyFont="1">
      <alignment horizontal="center" readingOrder="0"/>
    </xf>
    <xf borderId="0" fillId="0" fontId="24" numFmtId="0" xfId="0" applyAlignment="1" applyFont="1">
      <alignment horizontal="center" readingOrder="0"/>
    </xf>
    <xf borderId="33" fillId="19" fontId="16" numFmtId="0" xfId="0" applyAlignment="1" applyBorder="1" applyFont="1">
      <alignment horizontal="center" readingOrder="0" vertical="bottom"/>
    </xf>
    <xf borderId="33" fillId="20" fontId="16" numFmtId="0" xfId="0" applyAlignment="1" applyBorder="1" applyFont="1">
      <alignment horizontal="center" readingOrder="0" vertical="bottom"/>
    </xf>
    <xf borderId="33" fillId="14" fontId="16" numFmtId="0" xfId="0" applyAlignment="1" applyBorder="1" applyFont="1">
      <alignment horizontal="center" readingOrder="0" vertical="bottom"/>
    </xf>
    <xf borderId="33" fillId="0" fontId="16" numFmtId="0" xfId="0" applyAlignment="1" applyBorder="1" applyFont="1">
      <alignment horizontal="center" readingOrder="0" vertical="bottom"/>
    </xf>
    <xf borderId="33" fillId="16" fontId="16" numFmtId="0" xfId="0" applyAlignment="1" applyBorder="1" applyFont="1">
      <alignment horizontal="center" readingOrder="0" vertical="bottom"/>
    </xf>
    <xf borderId="33" fillId="17" fontId="16" numFmtId="0" xfId="0" applyAlignment="1" applyBorder="1" applyFont="1">
      <alignment horizontal="center" readingOrder="0" vertical="bottom"/>
    </xf>
    <xf borderId="30" fillId="20" fontId="20" numFmtId="0" xfId="0" applyBorder="1" applyFont="1"/>
    <xf borderId="33" fillId="14" fontId="20" numFmtId="0" xfId="0" applyBorder="1" applyFont="1"/>
    <xf borderId="33" fillId="17" fontId="20" numFmtId="0" xfId="0" applyBorder="1" applyFont="1"/>
    <xf borderId="33" fillId="18" fontId="20" numFmtId="0" xfId="0" applyBorder="1" applyFont="1"/>
    <xf borderId="0" fillId="19" fontId="16" numFmtId="0" xfId="0" applyAlignment="1" applyFont="1">
      <alignment horizontal="center" readingOrder="0" vertical="bottom"/>
    </xf>
    <xf borderId="0" fillId="20" fontId="16" numFmtId="0" xfId="0" applyAlignment="1" applyFont="1">
      <alignment horizontal="center" readingOrder="0" vertical="bottom"/>
    </xf>
    <xf borderId="0" fillId="14" fontId="16" numFmtId="0" xfId="0" applyAlignment="1" applyFont="1">
      <alignment horizontal="center" readingOrder="0" vertical="bottom"/>
    </xf>
    <xf borderId="0" fillId="19" fontId="16" numFmtId="0" xfId="0" applyAlignment="1" applyFont="1">
      <alignment horizontal="center" readingOrder="0" vertical="bottom"/>
    </xf>
    <xf borderId="0" fillId="0" fontId="16" numFmtId="0" xfId="0" applyAlignment="1" applyFont="1">
      <alignment horizontal="center" readingOrder="0" vertical="bottom"/>
    </xf>
    <xf borderId="0" fillId="16" fontId="16" numFmtId="0" xfId="0" applyAlignment="1" applyFont="1">
      <alignment horizontal="center" readingOrder="0" vertical="bottom"/>
    </xf>
    <xf borderId="0" fillId="17" fontId="16" numFmtId="0" xfId="0" applyAlignment="1" applyFont="1">
      <alignment horizontal="center" readingOrder="0" vertical="bottom"/>
    </xf>
    <xf borderId="12" fillId="20" fontId="20" numFmtId="0" xfId="0" applyBorder="1" applyFont="1"/>
    <xf borderId="0" fillId="14" fontId="20" numFmtId="0" xfId="0" applyFont="1"/>
    <xf borderId="0" fillId="17" fontId="20" numFmtId="0" xfId="0" applyFont="1"/>
    <xf borderId="0" fillId="18" fontId="20" numFmtId="0" xfId="0" applyFont="1"/>
    <xf borderId="0" fillId="0" fontId="16" numFmtId="0" xfId="0" applyAlignment="1" applyFont="1">
      <alignment horizontal="center" readingOrder="0" vertical="bottom"/>
    </xf>
    <xf borderId="0" fillId="14" fontId="16" numFmtId="0" xfId="0" applyAlignment="1" applyFont="1">
      <alignment horizontal="center" readingOrder="0" vertical="bottom"/>
    </xf>
    <xf borderId="13" fillId="16" fontId="20" numFmtId="0" xfId="0" applyAlignment="1" applyBorder="1" applyFont="1">
      <alignment horizontal="center" readingOrder="0"/>
    </xf>
    <xf borderId="0" fillId="0" fontId="16" numFmtId="0" xfId="0" applyAlignment="1" applyFont="1">
      <alignment horizontal="center" vertical="bottom"/>
    </xf>
    <xf borderId="0" fillId="16" fontId="16" numFmtId="0" xfId="0" applyAlignment="1" applyFont="1">
      <alignment horizontal="center" readingOrder="0" vertical="bottom"/>
    </xf>
    <xf borderId="0" fillId="0" fontId="16" numFmtId="0" xfId="0" applyAlignment="1" applyFont="1">
      <alignment horizontal="center" vertical="bottom"/>
    </xf>
    <xf borderId="39" fillId="21" fontId="15" numFmtId="0" xfId="0" applyAlignment="1" applyBorder="1" applyFont="1">
      <alignment horizontal="center" readingOrder="0"/>
    </xf>
    <xf borderId="25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20" fontId="15" numFmtId="0" xfId="0" applyAlignment="1" applyFont="1">
      <alignment readingOrder="0"/>
    </xf>
    <xf borderId="0" fillId="24" fontId="15" numFmtId="0" xfId="0" applyAlignment="1" applyFill="1" applyFont="1">
      <alignment readingOrder="0"/>
    </xf>
    <xf borderId="0" fillId="25" fontId="15" numFmtId="0" xfId="0" applyAlignment="1" applyFill="1" applyFont="1">
      <alignment readingOrder="0"/>
    </xf>
    <xf borderId="0" fillId="19" fontId="15" numFmtId="0" xfId="0" applyAlignment="1" applyFont="1">
      <alignment readingOrder="0"/>
    </xf>
    <xf borderId="0" fillId="22" fontId="26" numFmtId="0" xfId="0" applyAlignment="1" applyFont="1">
      <alignment readingOrder="0"/>
    </xf>
    <xf borderId="0" fillId="18" fontId="15" numFmtId="0" xfId="0" applyAlignment="1" applyFont="1">
      <alignment readingOrder="0"/>
    </xf>
    <xf borderId="0" fillId="23" fontId="15" numFmtId="0" xfId="0" applyAlignment="1" applyFont="1">
      <alignment readingOrder="0"/>
    </xf>
    <xf borderId="0" fillId="26" fontId="15" numFmtId="0" xfId="0" applyAlignment="1" applyFill="1" applyFont="1">
      <alignment readingOrder="0"/>
    </xf>
    <xf borderId="0" fillId="21" fontId="15" numFmtId="0" xfId="0" applyAlignment="1" applyFont="1">
      <alignment readingOrder="0"/>
    </xf>
    <xf borderId="0" fillId="27" fontId="15" numFmtId="0" xfId="0" applyAlignment="1" applyFill="1" applyFont="1">
      <alignment readingOrder="0"/>
    </xf>
    <xf borderId="0" fillId="28" fontId="15" numFmtId="0" xfId="0" applyAlignment="1" applyFill="1" applyFont="1">
      <alignment readingOrder="0"/>
    </xf>
    <xf borderId="0" fillId="9" fontId="15" numFmtId="0" xfId="0" applyAlignment="1" applyFont="1">
      <alignment readingOrder="0"/>
    </xf>
    <xf borderId="0" fillId="29" fontId="15" numFmtId="0" xfId="0" applyAlignment="1" applyFill="1" applyFont="1">
      <alignment readingOrder="0"/>
    </xf>
    <xf borderId="0" fillId="30" fontId="15" numFmtId="0" xfId="0" applyAlignment="1" applyFill="1" applyFont="1">
      <alignment readingOrder="0"/>
    </xf>
    <xf borderId="0" fillId="31" fontId="15" numFmtId="0" xfId="0" applyAlignment="1" applyFill="1" applyFont="1">
      <alignment readingOrder="0"/>
    </xf>
    <xf borderId="0" fillId="32" fontId="15" numFmtId="0" xfId="0" applyAlignment="1" applyFill="1" applyFont="1">
      <alignment readingOrder="0"/>
    </xf>
    <xf borderId="0" fillId="33" fontId="15" numFmtId="0" xfId="0" applyAlignment="1" applyFill="1" applyFont="1">
      <alignment readingOrder="0"/>
    </xf>
    <xf borderId="0" fillId="34" fontId="15" numFmtId="0" xfId="0" applyAlignment="1" applyFill="1" applyFont="1">
      <alignment readingOrder="0"/>
    </xf>
    <xf borderId="0" fillId="35" fontId="15" numFmtId="0" xfId="0" applyAlignment="1" applyFill="1" applyFont="1">
      <alignment readingOrder="0"/>
    </xf>
    <xf borderId="0" fillId="36" fontId="15" numFmtId="0" xfId="0" applyAlignment="1" applyFill="1" applyFont="1">
      <alignment readingOrder="0"/>
    </xf>
    <xf borderId="0" fillId="37" fontId="15" numFmtId="0" xfId="0" applyAlignment="1" applyFill="1" applyFont="1">
      <alignment readingOrder="0"/>
    </xf>
    <xf borderId="0" fillId="14" fontId="15" numFmtId="0" xfId="0" applyAlignment="1" applyFont="1">
      <alignment readingOrder="0"/>
    </xf>
    <xf borderId="0" fillId="38" fontId="15" numFmtId="0" xfId="0" applyAlignment="1" applyFill="1" applyFont="1">
      <alignment readingOrder="0"/>
    </xf>
    <xf borderId="0" fillId="12" fontId="27" numFmtId="0" xfId="0" applyAlignment="1" applyFont="1">
      <alignment readingOrder="0"/>
    </xf>
    <xf borderId="0" fillId="39" fontId="15" numFmtId="0" xfId="0" applyAlignment="1" applyFill="1" applyFont="1">
      <alignment readingOrder="0"/>
    </xf>
    <xf borderId="0" fillId="40" fontId="15" numFmtId="0" xfId="0" applyAlignment="1" applyFill="1" applyFont="1">
      <alignment readingOrder="0"/>
    </xf>
    <xf borderId="0" fillId="41" fontId="15" numFmtId="0" xfId="0" applyAlignment="1" applyFill="1" applyFont="1">
      <alignment readingOrder="0"/>
    </xf>
    <xf borderId="0" fillId="42" fontId="15" numFmtId="0" xfId="0" applyAlignment="1" applyFill="1" applyFont="1">
      <alignment readingOrder="0"/>
    </xf>
    <xf borderId="0" fillId="43" fontId="15" numFmtId="0" xfId="0" applyAlignment="1" applyFill="1" applyFont="1">
      <alignment readingOrder="0"/>
    </xf>
    <xf borderId="0" fillId="44" fontId="15" numFmtId="0" xfId="0" applyAlignment="1" applyFill="1" applyFont="1">
      <alignment readingOrder="0"/>
    </xf>
    <xf borderId="0" fillId="45" fontId="15" numFmtId="0" xfId="0" applyAlignment="1" applyFill="1" applyFont="1">
      <alignment readingOrder="0"/>
    </xf>
    <xf borderId="0" fillId="46" fontId="15" numFmtId="0" xfId="0" applyAlignment="1" applyFill="1" applyFont="1">
      <alignment readingOrder="0"/>
    </xf>
    <xf borderId="12" fillId="0" fontId="19" numFmtId="0" xfId="0" applyAlignment="1" applyBorder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0" fontId="19" numFmtId="0" xfId="0" applyAlignment="1" applyFont="1">
      <alignment horizontal="center"/>
    </xf>
    <xf borderId="0" fillId="0" fontId="19" numFmtId="166" xfId="0" applyAlignment="1" applyFont="1" applyNumberFormat="1">
      <alignment horizontal="center" readingOrder="0"/>
    </xf>
    <xf borderId="0" fillId="0" fontId="28" numFmtId="0" xfId="0" applyAlignment="1" applyFont="1">
      <alignment horizontal="center" readingOrder="0"/>
    </xf>
    <xf borderId="0" fillId="0" fontId="19" numFmtId="167" xfId="0" applyAlignment="1" applyFont="1" applyNumberFormat="1">
      <alignment horizontal="center" readingOrder="0"/>
    </xf>
    <xf borderId="0" fillId="0" fontId="29" numFmtId="0" xfId="0" applyAlignment="1" applyFont="1">
      <alignment horizontal="center" readingOrder="0"/>
    </xf>
    <xf borderId="0" fillId="12" fontId="1" numFmtId="0" xfId="0" applyAlignment="1" applyFont="1">
      <alignment readingOrder="0"/>
    </xf>
    <xf borderId="13" fillId="12" fontId="1" numFmtId="0" xfId="0" applyAlignment="1" applyBorder="1" applyFont="1">
      <alignment readingOrder="0"/>
    </xf>
    <xf borderId="0" fillId="6" fontId="15" numFmtId="0" xfId="0" applyAlignment="1" applyFont="1">
      <alignment readingOrder="0"/>
    </xf>
    <xf borderId="13" fillId="24" fontId="15" numFmtId="0" xfId="0" applyAlignment="1" applyBorder="1" applyFont="1">
      <alignment readingOrder="0"/>
    </xf>
    <xf borderId="13" fillId="25" fontId="15" numFmtId="0" xfId="0" applyAlignment="1" applyBorder="1" applyFont="1">
      <alignment readingOrder="0"/>
    </xf>
    <xf borderId="13" fillId="26" fontId="15" numFmtId="0" xfId="0" applyAlignment="1" applyBorder="1" applyFont="1">
      <alignment readingOrder="0"/>
    </xf>
    <xf borderId="13" fillId="9" fontId="15" numFmtId="0" xfId="0" applyAlignment="1" applyBorder="1" applyFont="1">
      <alignment readingOrder="0"/>
    </xf>
    <xf borderId="13" fillId="22" fontId="26" numFmtId="0" xfId="0" applyAlignment="1" applyBorder="1" applyFont="1">
      <alignment readingOrder="0"/>
    </xf>
    <xf borderId="13" fillId="36" fontId="15" numFmtId="0" xfId="0" applyAlignment="1" applyBorder="1" applyFont="1">
      <alignment readingOrder="0"/>
    </xf>
    <xf borderId="0" fillId="6" fontId="18" numFmtId="0" xfId="0" applyAlignment="1" applyFont="1">
      <alignment horizontal="right" vertical="bottom"/>
    </xf>
    <xf borderId="12" fillId="0" fontId="1" numFmtId="0" xfId="0" applyBorder="1" applyFont="1"/>
    <xf borderId="13" fillId="28" fontId="15" numFmtId="0" xfId="0" applyAlignment="1" applyBorder="1" applyFont="1">
      <alignment readingOrder="0"/>
    </xf>
    <xf borderId="13" fillId="27" fontId="15" numFmtId="0" xfId="0" applyAlignment="1" applyBorder="1" applyFont="1">
      <alignment readingOrder="0"/>
    </xf>
    <xf borderId="0" fillId="6" fontId="18" numFmtId="0" xfId="0" applyAlignment="1" applyFont="1">
      <alignment horizontal="right" readingOrder="0" vertical="bottom"/>
    </xf>
    <xf borderId="13" fillId="34" fontId="15" numFmtId="0" xfId="0" applyAlignment="1" applyBorder="1" applyFont="1">
      <alignment readingOrder="0"/>
    </xf>
    <xf borderId="13" fillId="47" fontId="15" numFmtId="0" xfId="0" applyAlignment="1" applyBorder="1" applyFill="1" applyFont="1">
      <alignment readingOrder="0"/>
    </xf>
    <xf borderId="13" fillId="29" fontId="15" numFmtId="0" xfId="0" applyAlignment="1" applyBorder="1" applyFont="1">
      <alignment readingOrder="0"/>
    </xf>
    <xf borderId="13" fillId="35" fontId="15" numFmtId="0" xfId="0" applyAlignment="1" applyBorder="1" applyFont="1">
      <alignment readingOrder="0"/>
    </xf>
    <xf borderId="13" fillId="48" fontId="15" numFmtId="0" xfId="0" applyAlignment="1" applyBorder="1" applyFill="1" applyFont="1">
      <alignment readingOrder="0"/>
    </xf>
    <xf borderId="13" fillId="30" fontId="15" numFmtId="0" xfId="0" applyAlignment="1" applyBorder="1" applyFont="1">
      <alignment readingOrder="0"/>
    </xf>
    <xf borderId="13" fillId="37" fontId="15" numFmtId="0" xfId="0" applyAlignment="1" applyBorder="1" applyFont="1">
      <alignment readingOrder="0"/>
    </xf>
    <xf borderId="13" fillId="41" fontId="15" numFmtId="0" xfId="0" applyAlignment="1" applyBorder="1" applyFont="1">
      <alignment readingOrder="0"/>
    </xf>
    <xf borderId="13" fillId="31" fontId="15" numFmtId="0" xfId="0" applyAlignment="1" applyBorder="1" applyFont="1">
      <alignment readingOrder="0"/>
    </xf>
    <xf borderId="13" fillId="49" fontId="15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3" fillId="15" fontId="15" numFmtId="0" xfId="0" applyAlignment="1" applyBorder="1" applyFont="1">
      <alignment readingOrder="0"/>
    </xf>
    <xf borderId="13" fillId="32" fontId="15" numFmtId="0" xfId="0" applyAlignment="1" applyBorder="1" applyFont="1">
      <alignment readingOrder="0"/>
    </xf>
    <xf borderId="13" fillId="50" fontId="15" numFmtId="0" xfId="0" applyAlignment="1" applyBorder="1" applyFill="1" applyFont="1">
      <alignment readingOrder="0"/>
    </xf>
    <xf borderId="13" fillId="45" fontId="15" numFmtId="0" xfId="0" applyAlignment="1" applyBorder="1" applyFont="1">
      <alignment readingOrder="0"/>
    </xf>
    <xf borderId="13" fillId="33" fontId="15" numFmtId="0" xfId="0" applyAlignment="1" applyBorder="1" applyFont="1">
      <alignment readingOrder="0"/>
    </xf>
    <xf borderId="13" fillId="46" fontId="15" numFmtId="0" xfId="0" applyAlignment="1" applyBorder="1" applyFont="1">
      <alignment readingOrder="0"/>
    </xf>
    <xf borderId="13" fillId="42" fontId="15" numFmtId="0" xfId="0" applyAlignment="1" applyBorder="1" applyFont="1">
      <alignment readingOrder="0"/>
    </xf>
    <xf borderId="13" fillId="0" fontId="30" numFmtId="0" xfId="0" applyAlignment="1" applyBorder="1" applyFont="1">
      <alignment readingOrder="0"/>
    </xf>
    <xf borderId="13" fillId="51" fontId="15" numFmtId="0" xfId="0" applyAlignment="1" applyBorder="1" applyFill="1" applyFont="1">
      <alignment readingOrder="0"/>
    </xf>
    <xf borderId="13" fillId="8" fontId="15" numFmtId="0" xfId="0" applyAlignment="1" applyBorder="1" applyFont="1">
      <alignment readingOrder="0"/>
    </xf>
    <xf borderId="13" fillId="52" fontId="15" numFmtId="0" xfId="0" applyAlignment="1" applyBorder="1" applyFill="1" applyFont="1">
      <alignment readingOrder="0"/>
    </xf>
    <xf borderId="13" fillId="39" fontId="15" numFmtId="0" xfId="0" applyAlignment="1" applyBorder="1" applyFont="1">
      <alignment readingOrder="0"/>
    </xf>
    <xf borderId="13" fillId="40" fontId="15" numFmtId="0" xfId="0" applyAlignment="1" applyBorder="1" applyFont="1">
      <alignment readingOrder="0"/>
    </xf>
    <xf borderId="13" fillId="53" fontId="15" numFmtId="0" xfId="0" applyAlignment="1" applyBorder="1" applyFill="1" applyFont="1">
      <alignment readingOrder="0"/>
    </xf>
    <xf borderId="13" fillId="0" fontId="31" numFmtId="0" xfId="0" applyAlignment="1" applyBorder="1" applyFont="1">
      <alignment readingOrder="0"/>
    </xf>
    <xf borderId="13" fillId="12" fontId="27" numFmtId="0" xfId="0" applyAlignment="1" applyBorder="1" applyFont="1">
      <alignment readingOrder="0"/>
    </xf>
    <xf borderId="13" fillId="6" fontId="18" numFmtId="0" xfId="0" applyAlignment="1" applyBorder="1" applyFont="1">
      <alignment horizontal="right" vertical="bottom"/>
    </xf>
    <xf borderId="13" fillId="43" fontId="15" numFmtId="0" xfId="0" applyAlignment="1" applyBorder="1" applyFont="1">
      <alignment readingOrder="0"/>
    </xf>
    <xf borderId="13" fillId="0" fontId="32" numFmtId="0" xfId="0" applyAlignment="1" applyBorder="1" applyFont="1">
      <alignment readingOrder="0"/>
    </xf>
    <xf borderId="13" fillId="54" fontId="15" numFmtId="0" xfId="0" applyAlignment="1" applyBorder="1" applyFill="1" applyFont="1">
      <alignment readingOrder="0"/>
    </xf>
    <xf borderId="13" fillId="55" fontId="15" numFmtId="0" xfId="0" applyAlignment="1" applyBorder="1" applyFill="1" applyFont="1">
      <alignment readingOrder="0"/>
    </xf>
    <xf borderId="0" fillId="0" fontId="1" numFmtId="0" xfId="0" applyFont="1"/>
    <xf borderId="13" fillId="38" fontId="15" numFmtId="0" xfId="0" applyAlignment="1" applyBorder="1" applyFont="1">
      <alignment readingOrder="0"/>
    </xf>
    <xf borderId="13" fillId="56" fontId="15" numFmtId="0" xfId="0" applyAlignment="1" applyBorder="1" applyFill="1" applyFont="1">
      <alignment readingOrder="0"/>
    </xf>
    <xf borderId="13" fillId="0" fontId="33" numFmtId="0" xfId="0" applyAlignment="1" applyBorder="1" applyFont="1">
      <alignment readingOrder="0"/>
    </xf>
    <xf borderId="13" fillId="57" fontId="15" numFmtId="0" xfId="0" applyAlignment="1" applyBorder="1" applyFill="1" applyFont="1">
      <alignment readingOrder="0"/>
    </xf>
    <xf borderId="13" fillId="44" fontId="15" numFmtId="0" xfId="0" applyAlignment="1" applyBorder="1" applyFont="1">
      <alignment readingOrder="0"/>
    </xf>
    <xf borderId="13" fillId="0" fontId="34" numFmtId="0" xfId="0" applyAlignment="1" applyBorder="1" applyFont="1">
      <alignment readingOrder="0"/>
    </xf>
    <xf borderId="13" fillId="58" fontId="15" numFmtId="0" xfId="0" applyAlignment="1" applyBorder="1" applyFill="1" applyFont="1">
      <alignment readingOrder="0"/>
    </xf>
    <xf borderId="13" fillId="59" fontId="15" numFmtId="0" xfId="0" applyAlignment="1" applyBorder="1" applyFill="1" applyFont="1">
      <alignment readingOrder="0"/>
    </xf>
    <xf borderId="0" fillId="0" fontId="1" numFmtId="168" xfId="0" applyAlignment="1" applyFont="1" applyNumberFormat="1">
      <alignment readingOrder="0"/>
    </xf>
    <xf borderId="0" fillId="0" fontId="35" numFmtId="0" xfId="0" applyAlignment="1" applyFont="1">
      <alignment horizontal="center" readingOrder="0"/>
    </xf>
    <xf borderId="0" fillId="12" fontId="36" numFmtId="0" xfId="0" applyAlignment="1" applyFont="1">
      <alignment horizontal="center" readingOrder="0"/>
    </xf>
    <xf borderId="0" fillId="34" fontId="35" numFmtId="0" xfId="0" applyAlignment="1" applyFont="1">
      <alignment horizontal="center" readingOrder="0"/>
    </xf>
    <xf borderId="0" fillId="40" fontId="35" numFmtId="0" xfId="0" applyAlignment="1" applyFont="1">
      <alignment horizontal="center" readingOrder="0"/>
    </xf>
    <xf borderId="0" fillId="0" fontId="35" numFmtId="0" xfId="0" applyAlignment="1" applyFont="1">
      <alignment horizontal="center"/>
    </xf>
    <xf borderId="0" fillId="23" fontId="35" numFmtId="0" xfId="0" applyAlignment="1" applyFont="1">
      <alignment horizontal="center" readingOrder="0"/>
    </xf>
    <xf borderId="0" fillId="17" fontId="35" numFmtId="0" xfId="0" applyAlignment="1" applyFont="1">
      <alignment horizontal="center" readingOrder="0"/>
    </xf>
    <xf borderId="0" fillId="18" fontId="35" numFmtId="0" xfId="0" applyAlignment="1" applyFont="1">
      <alignment horizontal="center" readingOrder="0"/>
    </xf>
    <xf borderId="0" fillId="16" fontId="35" numFmtId="0" xfId="0" applyAlignment="1" applyFont="1">
      <alignment horizontal="center" readingOrder="0"/>
    </xf>
    <xf borderId="0" fillId="20" fontId="35" numFmtId="0" xfId="0" applyAlignment="1" applyFont="1">
      <alignment horizontal="center" readingOrder="0"/>
    </xf>
    <xf borderId="0" fillId="22" fontId="37" numFmtId="0" xfId="0" applyAlignment="1" applyFont="1">
      <alignment horizontal="center" readingOrder="0"/>
    </xf>
    <xf borderId="0" fillId="26" fontId="35" numFmtId="0" xfId="0" applyAlignment="1" applyFont="1">
      <alignment horizontal="center" readingOrder="0"/>
    </xf>
    <xf borderId="0" fillId="19" fontId="35" numFmtId="0" xfId="0" applyAlignment="1" applyFont="1">
      <alignment horizontal="center" readingOrder="0"/>
    </xf>
    <xf borderId="0" fillId="21" fontId="35" numFmtId="0" xfId="0" applyAlignment="1" applyFont="1">
      <alignment horizontal="center" readingOrder="0"/>
    </xf>
    <xf borderId="0" fillId="14" fontId="35" numFmtId="0" xfId="0" applyAlignment="1" applyFont="1">
      <alignment horizontal="center" readingOrder="0"/>
    </xf>
    <xf borderId="0" fillId="8" fontId="35" numFmtId="0" xfId="0" applyAlignment="1" applyFont="1">
      <alignment horizontal="center" readingOrder="0"/>
    </xf>
    <xf borderId="0" fillId="11" fontId="35" numFmtId="0" xfId="0" applyAlignment="1" applyFont="1">
      <alignment horizontal="center" readingOrder="0"/>
    </xf>
    <xf borderId="0" fillId="36" fontId="35" numFmtId="0" xfId="0" applyAlignment="1" applyFont="1">
      <alignment horizontal="center" readingOrder="0"/>
    </xf>
    <xf borderId="0" fillId="37" fontId="35" numFmtId="0" xfId="0" applyAlignment="1" applyFont="1">
      <alignment horizontal="center" readingOrder="0"/>
    </xf>
    <xf borderId="0" fillId="53" fontId="35" numFmtId="0" xfId="0" applyAlignment="1" applyFont="1">
      <alignment horizontal="center" readingOrder="0"/>
    </xf>
    <xf borderId="0" fillId="32" fontId="35" numFmtId="0" xfId="0" applyAlignment="1" applyFont="1">
      <alignment horizontal="center" readingOrder="0"/>
    </xf>
    <xf borderId="0" fillId="29" fontId="35" numFmtId="0" xfId="0" applyAlignment="1" applyFont="1">
      <alignment horizontal="center" readingOrder="0"/>
    </xf>
    <xf borderId="0" fillId="39" fontId="35" numFmtId="0" xfId="0" applyAlignment="1" applyFont="1">
      <alignment horizontal="center" readingOrder="0"/>
    </xf>
    <xf borderId="0" fillId="38" fontId="35" numFmtId="0" xfId="0" applyAlignment="1" applyFont="1">
      <alignment horizontal="center" readingOrder="0"/>
    </xf>
    <xf borderId="0" fillId="9" fontId="35" numFmtId="0" xfId="0" applyAlignment="1" applyFont="1">
      <alignment horizontal="center" readingOrder="0"/>
    </xf>
    <xf borderId="0" fillId="24" fontId="35" numFmtId="0" xfId="0" applyAlignment="1" applyFont="1">
      <alignment horizontal="center" readingOrder="0"/>
    </xf>
    <xf borderId="0" fillId="27" fontId="35" numFmtId="0" xfId="0" applyAlignment="1" applyFont="1">
      <alignment horizontal="center" readingOrder="0"/>
    </xf>
    <xf borderId="0" fillId="28" fontId="35" numFmtId="0" xfId="0" applyAlignment="1" applyFont="1">
      <alignment horizontal="center" readingOrder="0"/>
    </xf>
    <xf borderId="0" fillId="25" fontId="35" numFmtId="0" xfId="0" applyAlignment="1" applyFont="1">
      <alignment horizontal="center" readingOrder="0"/>
    </xf>
    <xf borderId="0" fillId="54" fontId="35" numFmtId="0" xfId="0" applyAlignment="1" applyFont="1">
      <alignment horizontal="center" readingOrder="0"/>
    </xf>
    <xf borderId="0" fillId="48" fontId="35" numFmtId="0" xfId="0" applyAlignment="1" applyFont="1">
      <alignment horizontal="center" readingOrder="0"/>
    </xf>
    <xf borderId="0" fillId="50" fontId="35" numFmtId="0" xfId="0" applyAlignment="1" applyFont="1">
      <alignment horizontal="center" readingOrder="0"/>
    </xf>
    <xf borderId="0" fillId="44" fontId="35" numFmtId="0" xfId="0" applyAlignment="1" applyFont="1">
      <alignment horizontal="center" readingOrder="0"/>
    </xf>
    <xf borderId="0" fillId="45" fontId="35" numFmtId="0" xfId="0" applyAlignment="1" applyFont="1">
      <alignment horizontal="center" readingOrder="0"/>
    </xf>
    <xf borderId="0" fillId="47" fontId="35" numFmtId="0" xfId="0" applyAlignment="1" applyFont="1">
      <alignment horizontal="center" readingOrder="0"/>
    </xf>
    <xf borderId="0" fillId="30" fontId="35" numFmtId="0" xfId="0" applyAlignment="1" applyFont="1">
      <alignment horizontal="center" readingOrder="0"/>
    </xf>
    <xf borderId="0" fillId="49" fontId="35" numFmtId="0" xfId="0" applyAlignment="1" applyFont="1">
      <alignment horizontal="center" readingOrder="0"/>
    </xf>
    <xf borderId="0" fillId="55" fontId="35" numFmtId="0" xfId="0" applyAlignment="1" applyFont="1">
      <alignment horizontal="center" readingOrder="0"/>
    </xf>
    <xf borderId="0" fillId="46" fontId="35" numFmtId="0" xfId="0" applyAlignment="1" applyFont="1">
      <alignment horizontal="center" readingOrder="0"/>
    </xf>
    <xf borderId="0" fillId="56" fontId="35" numFmtId="0" xfId="0" applyAlignment="1" applyFont="1">
      <alignment horizontal="center" readingOrder="0"/>
    </xf>
    <xf borderId="0" fillId="31" fontId="35" numFmtId="0" xfId="0" applyAlignment="1" applyFont="1">
      <alignment horizontal="center" readingOrder="0"/>
    </xf>
    <xf borderId="0" fillId="41" fontId="35" numFmtId="0" xfId="0" applyAlignment="1" applyFont="1">
      <alignment horizontal="center" readingOrder="0"/>
    </xf>
    <xf borderId="0" fillId="35" fontId="35" numFmtId="0" xfId="0" applyAlignment="1" applyFont="1">
      <alignment horizontal="center" readingOrder="0"/>
    </xf>
    <xf borderId="0" fillId="33" fontId="35" numFmtId="0" xfId="0" applyAlignment="1" applyFont="1">
      <alignment horizontal="center" readingOrder="0"/>
    </xf>
    <xf borderId="0" fillId="42" fontId="35" numFmtId="0" xfId="0" applyAlignment="1" applyFont="1">
      <alignment horizontal="center" readingOrder="0"/>
    </xf>
    <xf borderId="0" fillId="57" fontId="35" numFmtId="0" xfId="0" applyAlignment="1" applyFont="1">
      <alignment horizontal="center" readingOrder="0"/>
    </xf>
    <xf borderId="0" fillId="43" fontId="35" numFmtId="0" xfId="0" applyAlignment="1" applyFont="1">
      <alignment horizontal="center" readingOrder="0"/>
    </xf>
    <xf borderId="0" fillId="59" fontId="35" numFmtId="0" xfId="0" applyAlignment="1" applyFont="1">
      <alignment horizontal="center" readingOrder="0"/>
    </xf>
    <xf borderId="0" fillId="51" fontId="35" numFmtId="0" xfId="0" applyAlignment="1" applyFont="1">
      <alignment horizontal="center" readingOrder="0"/>
    </xf>
    <xf borderId="37" fillId="16" fontId="15" numFmtId="0" xfId="0" applyAlignment="1" applyBorder="1" applyFont="1">
      <alignment horizontal="center" readingOrder="0"/>
    </xf>
    <xf borderId="39" fillId="17" fontId="15" numFmtId="0" xfId="0" applyAlignment="1" applyBorder="1" applyFont="1">
      <alignment horizontal="center" readingOrder="0"/>
    </xf>
    <xf borderId="39" fillId="18" fontId="15" numFmtId="0" xfId="0" applyAlignment="1" applyBorder="1" applyFont="1">
      <alignment horizontal="center" readingOrder="0"/>
    </xf>
    <xf borderId="39" fillId="14" fontId="15" numFmtId="0" xfId="0" applyAlignment="1" applyBorder="1" applyFont="1">
      <alignment horizontal="center" readingOrder="0"/>
    </xf>
    <xf borderId="39" fillId="19" fontId="15" numFmtId="0" xfId="0" applyAlignment="1" applyBorder="1" applyFont="1">
      <alignment horizontal="center" readingOrder="0"/>
    </xf>
    <xf borderId="39" fillId="20" fontId="15" numFmtId="0" xfId="0" applyAlignment="1" applyBorder="1" applyFont="1">
      <alignment horizontal="center" readingOrder="0"/>
    </xf>
    <xf borderId="40" fillId="21" fontId="15" numFmtId="0" xfId="0" applyAlignment="1" applyBorder="1" applyFont="1">
      <alignment horizontal="center" readingOrder="0"/>
    </xf>
    <xf borderId="37" fillId="16" fontId="15" numFmtId="0" xfId="0" applyAlignment="1" applyBorder="1" applyFont="1">
      <alignment horizontal="center"/>
    </xf>
    <xf borderId="39" fillId="17" fontId="15" numFmtId="0" xfId="0" applyAlignment="1" applyBorder="1" applyFont="1">
      <alignment horizontal="center"/>
    </xf>
    <xf borderId="39" fillId="18" fontId="15" numFmtId="0" xfId="0" applyAlignment="1" applyBorder="1" applyFont="1">
      <alignment horizontal="center"/>
    </xf>
    <xf borderId="39" fillId="14" fontId="15" numFmtId="0" xfId="0" applyAlignment="1" applyBorder="1" applyFont="1">
      <alignment horizontal="center"/>
    </xf>
    <xf borderId="39" fillId="19" fontId="15" numFmtId="0" xfId="0" applyAlignment="1" applyBorder="1" applyFont="1">
      <alignment horizontal="center"/>
    </xf>
    <xf borderId="12" fillId="0" fontId="17" numFmtId="0" xfId="0" applyAlignment="1" applyBorder="1" applyFont="1">
      <alignment horizontal="center" readingOrder="0"/>
    </xf>
    <xf borderId="43" fillId="0" fontId="10" numFmtId="0" xfId="0" applyAlignment="1" applyBorder="1" applyFont="1">
      <alignment horizontal="center" readingOrder="0" vertical="center"/>
    </xf>
    <xf borderId="0" fillId="0" fontId="38" numFmtId="0" xfId="0" applyAlignment="1" applyFont="1">
      <alignment vertical="bottom"/>
    </xf>
    <xf borderId="44" fillId="0" fontId="1" numFmtId="0" xfId="0" applyAlignment="1" applyBorder="1" applyFont="1">
      <alignment readingOrder="0"/>
    </xf>
    <xf borderId="45" fillId="0" fontId="1" numFmtId="0" xfId="0" applyAlignment="1" applyBorder="1" applyFont="1">
      <alignment readingOrder="0"/>
    </xf>
    <xf borderId="0" fillId="0" fontId="39" numFmtId="0" xfId="0" applyAlignment="1" applyFont="1">
      <alignment readingOrder="0" shrinkToFit="0" vertical="bottom" wrapText="0"/>
    </xf>
    <xf borderId="46" fillId="0" fontId="1" numFmtId="0" xfId="0" applyAlignment="1" applyBorder="1" applyFont="1">
      <alignment readingOrder="0"/>
    </xf>
    <xf borderId="47" fillId="17" fontId="1" numFmtId="0" xfId="0" applyAlignment="1" applyBorder="1" applyFont="1">
      <alignment readingOrder="0"/>
    </xf>
    <xf borderId="26" fillId="0" fontId="18" numFmtId="0" xfId="0" applyAlignment="1" applyBorder="1" applyFont="1">
      <alignment readingOrder="0" shrinkToFit="0" vertical="bottom" wrapText="0"/>
    </xf>
    <xf borderId="6" fillId="0" fontId="18" numFmtId="0" xfId="0" applyAlignment="1" applyBorder="1" applyFont="1">
      <alignment horizontal="right" readingOrder="0" vertical="bottom"/>
    </xf>
    <xf borderId="6" fillId="0" fontId="18" numFmtId="0" xfId="0" applyAlignment="1" applyBorder="1" applyFont="1">
      <alignment horizontal="right" vertical="bottom"/>
    </xf>
    <xf borderId="0" fillId="0" fontId="40" numFmtId="0" xfId="0" applyAlignment="1" applyFont="1">
      <alignment readingOrder="0" shrinkToFit="0" vertical="bottom" wrapText="0"/>
    </xf>
    <xf borderId="26" fillId="0" fontId="18" numFmtId="0" xfId="0" applyAlignment="1" applyBorder="1" applyFont="1">
      <alignment shrinkToFit="0" vertical="bottom" wrapText="0"/>
    </xf>
    <xf borderId="13" fillId="17" fontId="41" numFmtId="0" xfId="0" applyAlignment="1" applyBorder="1" applyFont="1">
      <alignment vertical="bottom"/>
    </xf>
    <xf borderId="46" fillId="0" fontId="1" numFmtId="10" xfId="0" applyAlignment="1" applyBorder="1" applyFont="1" applyNumberFormat="1">
      <alignment readingOrder="0"/>
    </xf>
    <xf borderId="0" fillId="0" fontId="18" numFmtId="0" xfId="0" applyAlignment="1" applyFont="1">
      <alignment horizontal="right" readingOrder="0" vertical="bottom"/>
    </xf>
    <xf borderId="13" fillId="16" fontId="41" numFmtId="0" xfId="0" applyAlignment="1" applyBorder="1" applyFont="1">
      <alignment vertical="bottom"/>
    </xf>
    <xf borderId="0" fillId="0" fontId="42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horizontal="left" readingOrder="0" vertical="bottom"/>
    </xf>
    <xf borderId="6" fillId="16" fontId="1" numFmtId="0" xfId="0" applyAlignment="1" applyBorder="1" applyFont="1">
      <alignment readingOrder="0"/>
    </xf>
    <xf borderId="46" fillId="0" fontId="43" numFmtId="0" xfId="0" applyAlignment="1" applyBorder="1" applyFont="1">
      <alignment readingOrder="0"/>
    </xf>
    <xf borderId="6" fillId="20" fontId="1" numFmtId="0" xfId="0" applyAlignment="1" applyBorder="1" applyFont="1">
      <alignment readingOrder="0"/>
    </xf>
    <xf borderId="6" fillId="0" fontId="44" numFmtId="0" xfId="0" applyAlignment="1" applyBorder="1" applyFont="1">
      <alignment readingOrder="0"/>
    </xf>
    <xf borderId="46" fillId="0" fontId="1" numFmtId="0" xfId="0" applyBorder="1" applyFont="1"/>
    <xf borderId="13" fillId="20" fontId="41" numFmtId="0" xfId="0" applyAlignment="1" applyBorder="1" applyFont="1">
      <alignment vertical="bottom"/>
    </xf>
    <xf borderId="6" fillId="0" fontId="45" numFmtId="0" xfId="0" applyAlignment="1" applyBorder="1" applyFont="1">
      <alignment horizontal="left" readingOrder="0"/>
    </xf>
    <xf borderId="6" fillId="24" fontId="1" numFmtId="0" xfId="0" applyAlignment="1" applyBorder="1" applyFont="1">
      <alignment readingOrder="0"/>
    </xf>
    <xf borderId="13" fillId="24" fontId="41" numFmtId="0" xfId="0" applyAlignment="1" applyBorder="1" applyFont="1">
      <alignment vertical="bottom"/>
    </xf>
    <xf borderId="6" fillId="0" fontId="46" numFmtId="0" xfId="0" applyAlignment="1" applyBorder="1" applyFont="1">
      <alignment readingOrder="0" shrinkToFit="0" vertical="bottom" wrapText="0"/>
    </xf>
    <xf borderId="46" fillId="0" fontId="18" numFmtId="0" xfId="0" applyAlignment="1" applyBorder="1" applyFont="1">
      <alignment readingOrder="0" shrinkToFit="0" vertical="bottom" wrapText="0"/>
    </xf>
    <xf borderId="46" fillId="0" fontId="18" numFmtId="0" xfId="0" applyAlignment="1" applyBorder="1" applyFont="1">
      <alignment shrinkToFit="0" vertical="bottom" wrapText="0"/>
    </xf>
    <xf borderId="0" fillId="0" fontId="45" numFmtId="0" xfId="0" applyAlignment="1" applyFont="1">
      <alignment horizontal="left" readingOrder="0" vertical="bottom"/>
    </xf>
    <xf borderId="0" fillId="0" fontId="18" numFmtId="169" xfId="0" applyAlignment="1" applyFont="1" applyNumberFormat="1">
      <alignment horizontal="right" readingOrder="0" vertical="bottom"/>
    </xf>
    <xf borderId="6" fillId="19" fontId="1" numFmtId="0" xfId="0" applyAlignment="1" applyBorder="1" applyFont="1">
      <alignment readingOrder="0"/>
    </xf>
    <xf borderId="13" fillId="22" fontId="47" numFmtId="0" xfId="0" applyAlignment="1" applyBorder="1" applyFont="1">
      <alignment vertical="bottom"/>
    </xf>
    <xf borderId="13" fillId="25" fontId="41" numFmtId="0" xfId="0" applyAlignment="1" applyBorder="1" applyFont="1">
      <alignment vertical="bottom"/>
    </xf>
    <xf borderId="6" fillId="25" fontId="1" numFmtId="0" xfId="0" applyAlignment="1" applyBorder="1" applyFont="1">
      <alignment readingOrder="0"/>
    </xf>
    <xf borderId="26" fillId="0" fontId="18" numFmtId="166" xfId="0" applyAlignment="1" applyBorder="1" applyFont="1" applyNumberFormat="1">
      <alignment readingOrder="0" shrinkToFit="0" vertical="bottom" wrapText="0"/>
    </xf>
    <xf borderId="6" fillId="22" fontId="48" numFmtId="0" xfId="0" applyAlignment="1" applyBorder="1" applyFont="1">
      <alignment readingOrder="0"/>
    </xf>
    <xf borderId="13" fillId="19" fontId="41" numFmtId="0" xfId="0" applyAlignment="1" applyBorder="1" applyFont="1">
      <alignment vertical="bottom"/>
    </xf>
    <xf borderId="26" fillId="0" fontId="1" numFmtId="0" xfId="0" applyAlignment="1" applyBorder="1" applyFont="1">
      <alignment readingOrder="0"/>
    </xf>
    <xf borderId="26" fillId="0" fontId="1" numFmtId="0" xfId="0" applyBorder="1" applyFont="1"/>
    <xf borderId="13" fillId="28" fontId="41" numFmtId="0" xfId="0" applyAlignment="1" applyBorder="1" applyFont="1">
      <alignment vertical="bottom"/>
    </xf>
    <xf borderId="6" fillId="23" fontId="1" numFmtId="0" xfId="0" applyAlignment="1" applyBorder="1" applyFont="1">
      <alignment readingOrder="0"/>
    </xf>
    <xf borderId="26" fillId="0" fontId="18" numFmtId="167" xfId="0" applyAlignment="1" applyBorder="1" applyFont="1" applyNumberFormat="1">
      <alignment readingOrder="0" shrinkToFit="0" vertical="bottom" wrapText="0"/>
    </xf>
    <xf borderId="46" fillId="0" fontId="18" numFmtId="10" xfId="0" applyAlignment="1" applyBorder="1" applyFont="1" applyNumberFormat="1">
      <alignment readingOrder="0" shrinkToFit="0" vertical="bottom" wrapText="0"/>
    </xf>
    <xf borderId="0" fillId="0" fontId="45" numFmtId="0" xfId="0" applyAlignment="1" applyFont="1">
      <alignment horizontal="left" readingOrder="0"/>
    </xf>
    <xf borderId="6" fillId="28" fontId="1" numFmtId="0" xfId="0" applyAlignment="1" applyBorder="1" applyFont="1">
      <alignment readingOrder="0"/>
    </xf>
    <xf borderId="13" fillId="21" fontId="41" numFmtId="0" xfId="0" applyAlignment="1" applyBorder="1" applyFont="1">
      <alignment vertical="bottom"/>
    </xf>
    <xf borderId="13" fillId="18" fontId="41" numFmtId="0" xfId="0" applyAlignment="1" applyBorder="1" applyFont="1">
      <alignment vertical="bottom"/>
    </xf>
    <xf borderId="0" fillId="0" fontId="1" numFmtId="0" xfId="0" applyAlignment="1" applyFont="1">
      <alignment horizontal="left" readingOrder="0"/>
    </xf>
    <xf borderId="6" fillId="26" fontId="1" numFmtId="0" xfId="0" applyAlignment="1" applyBorder="1" applyFont="1">
      <alignment readingOrder="0"/>
    </xf>
    <xf borderId="13" fillId="27" fontId="41" numFmtId="0" xfId="0" applyAlignment="1" applyBorder="1" applyFont="1">
      <alignment vertical="bottom"/>
    </xf>
    <xf borderId="6" fillId="18" fontId="1" numFmtId="0" xfId="0" applyAlignment="1" applyBorder="1" applyFont="1">
      <alignment readingOrder="0"/>
    </xf>
    <xf borderId="13" fillId="26" fontId="41" numFmtId="0" xfId="0" applyAlignment="1" applyBorder="1" applyFont="1">
      <alignment vertical="bottom"/>
    </xf>
    <xf borderId="6" fillId="21" fontId="1" numFmtId="0" xfId="0" applyAlignment="1" applyBorder="1" applyFont="1">
      <alignment readingOrder="0"/>
    </xf>
    <xf borderId="0" fillId="0" fontId="18" numFmtId="0" xfId="0" applyAlignment="1" applyFont="1">
      <alignment shrinkToFit="0" vertical="bottom" wrapText="0"/>
    </xf>
    <xf borderId="13" fillId="23" fontId="41" numFmtId="0" xfId="0" applyAlignment="1" applyBorder="1" applyFont="1">
      <alignment vertical="bottom"/>
    </xf>
    <xf borderId="6" fillId="27" fontId="1" numFmtId="0" xfId="0" applyAlignment="1" applyBorder="1" applyFont="1">
      <alignment readingOrder="0"/>
    </xf>
    <xf borderId="13" fillId="9" fontId="41" numFmtId="0" xfId="0" applyAlignment="1" applyBorder="1" applyFont="1">
      <alignment vertical="bottom"/>
    </xf>
    <xf borderId="26" fillId="0" fontId="1" numFmtId="10" xfId="0" applyAlignment="1" applyBorder="1" applyFont="1" applyNumberFormat="1">
      <alignment readingOrder="0"/>
    </xf>
    <xf borderId="6" fillId="9" fontId="1" numFmtId="0" xfId="0" applyAlignment="1" applyBorder="1" applyFont="1">
      <alignment readingOrder="0"/>
    </xf>
    <xf borderId="6" fillId="31" fontId="18" numFmtId="0" xfId="0" applyAlignment="1" applyBorder="1" applyFont="1">
      <alignment vertical="bottom"/>
    </xf>
    <xf borderId="6" fillId="0" fontId="1" numFmtId="0" xfId="0" applyBorder="1" applyFont="1"/>
    <xf borderId="0" fillId="0" fontId="1" numFmtId="169" xfId="0" applyAlignment="1" applyFont="1" applyNumberFormat="1">
      <alignment readingOrder="0"/>
    </xf>
    <xf borderId="6" fillId="29" fontId="1" numFmtId="0" xfId="0" applyAlignment="1" applyBorder="1" applyFont="1">
      <alignment readingOrder="0"/>
    </xf>
    <xf borderId="0" fillId="0" fontId="18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readingOrder="0"/>
    </xf>
    <xf borderId="13" fillId="48" fontId="41" numFmtId="0" xfId="0" applyAlignment="1" applyBorder="1" applyFont="1">
      <alignment vertical="bottom"/>
    </xf>
    <xf borderId="6" fillId="30" fontId="18" numFmtId="0" xfId="0" applyAlignment="1" applyBorder="1" applyFont="1">
      <alignment vertical="bottom"/>
    </xf>
    <xf borderId="46" fillId="0" fontId="18" numFmtId="0" xfId="0" applyAlignment="1" applyBorder="1" applyFont="1">
      <alignment horizontal="right" readingOrder="0" vertical="bottom"/>
    </xf>
    <xf borderId="0" fillId="0" fontId="18" numFmtId="0" xfId="0" applyAlignment="1" applyFont="1">
      <alignment horizontal="right" vertical="bottom"/>
    </xf>
    <xf borderId="13" fillId="36" fontId="41" numFmtId="0" xfId="0" applyAlignment="1" applyBorder="1" applyFont="1">
      <alignment vertical="bottom"/>
    </xf>
    <xf borderId="6" fillId="37" fontId="18" numFmtId="0" xfId="0" applyAlignment="1" applyBorder="1" applyFont="1">
      <alignment vertical="bottom"/>
    </xf>
    <xf borderId="6" fillId="34" fontId="18" numFmtId="0" xfId="0" applyAlignment="1" applyBorder="1" applyFont="1">
      <alignment vertical="bottom"/>
    </xf>
    <xf borderId="48" fillId="33" fontId="15" numFmtId="0" xfId="0" applyAlignment="1" applyBorder="1" applyFont="1">
      <alignment readingOrder="0"/>
    </xf>
    <xf borderId="13" fillId="30" fontId="41" numFmtId="0" xfId="0" applyAlignment="1" applyBorder="1" applyFont="1">
      <alignment vertical="bottom"/>
    </xf>
    <xf borderId="6" fillId="35" fontId="18" numFmtId="0" xfId="0" applyAlignment="1" applyBorder="1" applyFont="1">
      <alignment vertical="bottom"/>
    </xf>
    <xf borderId="13" fillId="0" fontId="15" numFmtId="0" xfId="0" applyAlignment="1" applyBorder="1" applyFont="1">
      <alignment readingOrder="0"/>
    </xf>
    <xf borderId="13" fillId="41" fontId="41" numFmtId="0" xfId="0" applyAlignment="1" applyBorder="1" applyFont="1">
      <alignment vertical="bottom"/>
    </xf>
    <xf borderId="13" fillId="37" fontId="41" numFmtId="0" xfId="0" applyAlignment="1" applyBorder="1" applyFont="1">
      <alignment vertical="bottom"/>
    </xf>
    <xf borderId="6" fillId="36" fontId="18" numFmtId="0" xfId="0" applyAlignment="1" applyBorder="1" applyFont="1">
      <alignment vertical="bottom"/>
    </xf>
    <xf borderId="13" fillId="31" fontId="41" numFmtId="0" xfId="0" applyAlignment="1" applyBorder="1" applyFont="1">
      <alignment vertical="bottom"/>
    </xf>
    <xf borderId="6" fillId="45" fontId="18" numFmtId="0" xfId="0" applyAlignment="1" applyBorder="1" applyFont="1">
      <alignment vertical="bottom"/>
    </xf>
    <xf borderId="46" fillId="0" fontId="1" numFmtId="0" xfId="0" applyBorder="1" applyFont="1"/>
    <xf borderId="19" fillId="0" fontId="15" numFmtId="0" xfId="0" applyAlignment="1" applyBorder="1" applyFont="1">
      <alignment readingOrder="0"/>
    </xf>
    <xf borderId="13" fillId="49" fontId="41" numFmtId="0" xfId="0" applyAlignment="1" applyBorder="1" applyFont="1">
      <alignment vertical="bottom"/>
    </xf>
    <xf borderId="6" fillId="46" fontId="1" numFmtId="0" xfId="0" applyAlignment="1" applyBorder="1" applyFont="1">
      <alignment readingOrder="0"/>
    </xf>
    <xf borderId="0" fillId="56" fontId="15" numFmtId="0" xfId="0" applyAlignment="1" applyFont="1">
      <alignment readingOrder="0"/>
    </xf>
    <xf borderId="13" fillId="15" fontId="41" numFmtId="0" xfId="0" applyAlignment="1" applyBorder="1" applyFont="1">
      <alignment vertical="bottom"/>
    </xf>
    <xf borderId="6" fillId="0" fontId="49" numFmtId="0" xfId="0" applyAlignment="1" applyBorder="1" applyFont="1">
      <alignment readingOrder="0" shrinkToFit="0" vertical="bottom" wrapText="0"/>
    </xf>
    <xf borderId="0" fillId="8" fontId="15" numFmtId="0" xfId="0" applyAlignment="1" applyFont="1">
      <alignment readingOrder="0"/>
    </xf>
    <xf borderId="13" fillId="32" fontId="41" numFmtId="0" xfId="0" applyAlignment="1" applyBorder="1" applyFont="1">
      <alignment vertical="bottom"/>
    </xf>
    <xf borderId="0" fillId="48" fontId="15" numFmtId="0" xfId="0" applyAlignment="1" applyFont="1">
      <alignment readingOrder="0"/>
    </xf>
    <xf borderId="13" fillId="40" fontId="41" numFmtId="0" xfId="0" applyAlignment="1" applyBorder="1" applyFont="1">
      <alignment vertical="bottom"/>
    </xf>
    <xf borderId="0" fillId="47" fontId="15" numFmtId="0" xfId="0" applyAlignment="1" applyFont="1">
      <alignment readingOrder="0"/>
    </xf>
    <xf borderId="13" fillId="53" fontId="41" numFmtId="0" xfId="0" applyAlignment="1" applyBorder="1" applyFont="1">
      <alignment vertical="bottom"/>
    </xf>
    <xf borderId="6" fillId="0" fontId="1" numFmtId="0" xfId="0" applyBorder="1" applyFont="1"/>
    <xf borderId="0" fillId="49" fontId="15" numFmtId="0" xfId="0" applyAlignment="1" applyFont="1">
      <alignment readingOrder="0"/>
    </xf>
    <xf borderId="31" fillId="0" fontId="18" numFmtId="0" xfId="0" applyAlignment="1" applyBorder="1" applyFont="1">
      <alignment horizontal="center" readingOrder="0" vertical="bottom"/>
    </xf>
    <xf borderId="33" fillId="0" fontId="1" numFmtId="0" xfId="0" applyAlignment="1" applyBorder="1" applyFont="1">
      <alignment horizontal="center" readingOrder="0"/>
    </xf>
    <xf borderId="33" fillId="6" fontId="18" numFmtId="0" xfId="0" applyAlignment="1" applyBorder="1" applyFont="1">
      <alignment horizontal="center" readingOrder="0" vertical="bottom"/>
    </xf>
    <xf borderId="33" fillId="0" fontId="18" numFmtId="0" xfId="0" applyAlignment="1" applyBorder="1" applyFont="1">
      <alignment horizontal="center" readingOrder="0" vertical="bottom"/>
    </xf>
    <xf borderId="32" fillId="0" fontId="1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 vertical="bottom"/>
    </xf>
    <xf borderId="26" fillId="0" fontId="50" numFmtId="0" xfId="0" applyAlignment="1" applyBorder="1" applyFont="1">
      <alignment horizontal="center" readingOrder="0" vertical="bottom"/>
    </xf>
    <xf borderId="0" fillId="6" fontId="18" numFmtId="0" xfId="0" applyAlignment="1" applyFont="1">
      <alignment horizontal="center" readingOrder="0" vertical="bottom"/>
    </xf>
    <xf borderId="6" fillId="0" fontId="1" numFmtId="0" xfId="0" applyAlignment="1" applyBorder="1" applyFont="1">
      <alignment horizontal="center" readingOrder="0"/>
    </xf>
    <xf borderId="0" fillId="6" fontId="18" numFmtId="0" xfId="0" applyAlignment="1" applyFont="1">
      <alignment horizontal="center" vertical="bottom"/>
    </xf>
    <xf borderId="26" fillId="0" fontId="10" numFmtId="0" xfId="0" applyAlignment="1" applyBorder="1" applyFont="1">
      <alignment horizontal="center" readingOrder="0"/>
    </xf>
    <xf borderId="0" fillId="0" fontId="18" numFmtId="0" xfId="0" applyAlignment="1" applyFont="1">
      <alignment horizontal="center" vertical="bottom"/>
    </xf>
    <xf borderId="0" fillId="0" fontId="41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/>
    </xf>
    <xf borderId="26" fillId="0" fontId="18" numFmtId="0" xfId="0" applyAlignment="1" applyBorder="1" applyFont="1">
      <alignment horizontal="center" readingOrder="0" vertical="bottom"/>
    </xf>
    <xf borderId="35" fillId="0" fontId="18" numFmtId="0" xfId="0" applyAlignment="1" applyBorder="1" applyFont="1">
      <alignment horizontal="center" readingOrder="0" vertical="bottom"/>
    </xf>
    <xf borderId="29" fillId="6" fontId="18" numFmtId="0" xfId="0" applyAlignment="1" applyBorder="1" applyFont="1">
      <alignment horizontal="center" readingOrder="0" vertical="bottom"/>
    </xf>
    <xf borderId="29" fillId="0" fontId="18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/>
    </xf>
    <xf borderId="0" fillId="0" fontId="18" numFmtId="165" xfId="0" applyAlignment="1" applyFont="1" applyNumberFormat="1">
      <alignment horizontal="center" readingOrder="0" vertical="bottom"/>
    </xf>
    <xf borderId="0" fillId="0" fontId="51" numFmtId="0" xfId="0" applyAlignment="1" applyFont="1">
      <alignment horizontal="center" readingOrder="0"/>
    </xf>
    <xf borderId="0" fillId="0" fontId="51" numFmtId="0" xfId="0" applyAlignment="1" applyFont="1">
      <alignment horizontal="center" readingOrder="0" vertical="center"/>
    </xf>
    <xf borderId="0" fillId="6" fontId="18" numFmtId="0" xfId="0" applyAlignment="1" applyFont="1">
      <alignment horizontal="center" readingOrder="0" shrinkToFit="0" vertical="bottom" wrapText="0"/>
    </xf>
    <xf borderId="29" fillId="6" fontId="18" numFmtId="0" xfId="0" applyAlignment="1" applyBorder="1" applyFont="1">
      <alignment horizontal="center" readingOrder="0" shrinkToFit="0" vertical="bottom" wrapText="0"/>
    </xf>
    <xf borderId="0" fillId="0" fontId="52" numFmtId="0" xfId="0" applyAlignment="1" applyFont="1">
      <alignment horizontal="center" readingOrder="0" vertical="bottom"/>
    </xf>
    <xf borderId="0" fillId="0" fontId="50" numFmtId="0" xfId="0" applyAlignment="1" applyFont="1">
      <alignment horizontal="center" readingOrder="0" vertical="bottom"/>
    </xf>
    <xf borderId="0" fillId="0" fontId="50" numFmtId="0" xfId="0" applyAlignment="1" applyFont="1">
      <alignment horizontal="center" readingOrder="0"/>
    </xf>
    <xf borderId="6" fillId="6" fontId="18" numFmtId="0" xfId="0" applyAlignment="1" applyBorder="1" applyFont="1">
      <alignment horizontal="center" readingOrder="0" vertical="bottom"/>
    </xf>
    <xf borderId="6" fillId="0" fontId="18" numFmtId="0" xfId="0" applyAlignment="1" applyBorder="1" applyFont="1">
      <alignment horizontal="center" readingOrder="0" vertical="bottom"/>
    </xf>
    <xf borderId="34" fillId="6" fontId="18" numFmtId="0" xfId="0" applyAlignment="1" applyBorder="1" applyFont="1">
      <alignment horizontal="center" readingOrder="0" vertical="bottom"/>
    </xf>
    <xf borderId="49" fillId="0" fontId="1" numFmtId="0" xfId="0" applyAlignment="1" applyBorder="1" applyFont="1">
      <alignment horizontal="center" readingOrder="0"/>
    </xf>
    <xf borderId="50" fillId="0" fontId="18" numFmtId="0" xfId="0" applyAlignment="1" applyBorder="1" applyFont="1">
      <alignment horizontal="center" readingOrder="0" vertical="bottom"/>
    </xf>
    <xf borderId="51" fillId="0" fontId="1" numFmtId="0" xfId="0" applyAlignment="1" applyBorder="1" applyFont="1">
      <alignment horizontal="center" readingOrder="0"/>
    </xf>
    <xf borderId="51" fillId="6" fontId="18" numFmtId="0" xfId="0" applyAlignment="1" applyBorder="1" applyFont="1">
      <alignment horizontal="center" readingOrder="0" vertical="bottom"/>
    </xf>
    <xf borderId="51" fillId="0" fontId="18" numFmtId="0" xfId="0" applyAlignment="1" applyBorder="1" applyFont="1">
      <alignment horizontal="center" readingOrder="0" vertical="bottom"/>
    </xf>
    <xf borderId="52" fillId="0" fontId="1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center" readingOrder="0"/>
    </xf>
    <xf borderId="29" fillId="0" fontId="52" numFmtId="0" xfId="0" applyAlignment="1" applyBorder="1" applyFont="1">
      <alignment horizontal="center" readingOrder="0" vertical="bottom"/>
    </xf>
    <xf borderId="32" fillId="6" fontId="18" numFmtId="0" xfId="0" applyAlignment="1" applyBorder="1" applyFont="1">
      <alignment horizontal="center" readingOrder="0" vertical="bottom"/>
    </xf>
    <xf borderId="6" fillId="0" fontId="18" numFmtId="0" xfId="0" applyAlignment="1" applyBorder="1" applyFont="1">
      <alignment horizontal="center" readingOrder="0" vertical="bottom"/>
    </xf>
    <xf borderId="33" fillId="6" fontId="18" numFmtId="0" xfId="0" applyAlignment="1" applyBorder="1" applyFont="1">
      <alignment horizontal="center" readingOrder="0" shrinkToFit="0" vertical="bottom" wrapText="0"/>
    </xf>
    <xf borderId="32" fillId="0" fontId="18" numFmtId="0" xfId="0" applyAlignment="1" applyBorder="1" applyFont="1">
      <alignment horizontal="center" readingOrder="0" vertical="bottom"/>
    </xf>
    <xf borderId="33" fillId="0" fontId="50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9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Fantasy Points per Basho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'fantasy sheet'!$EA$3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sheet'!$EB$3:$EK$3</c:f>
              <c:numCache/>
            </c:numRef>
          </c:val>
          <c:smooth val="0"/>
        </c:ser>
        <c:ser>
          <c:idx val="1"/>
          <c:order val="1"/>
          <c:tx>
            <c:strRef>
              <c:f>'fantasy sheet'!$EA$4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sheet'!$EB$4:$EK$4</c:f>
              <c:numCache/>
            </c:numRef>
          </c:val>
          <c:smooth val="0"/>
        </c:ser>
        <c:ser>
          <c:idx val="2"/>
          <c:order val="2"/>
          <c:tx>
            <c:strRef>
              <c:f>'fantasy sheet'!$EA$5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sheet'!$EB$5:$EK$5</c:f>
              <c:numCache/>
            </c:numRef>
          </c:val>
          <c:smooth val="0"/>
        </c:ser>
        <c:ser>
          <c:idx val="3"/>
          <c:order val="3"/>
          <c:tx>
            <c:strRef>
              <c:f>'fantasy sheet'!$EA$6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sheet'!$EB$6:$EK$6</c:f>
              <c:numCache/>
            </c:numRef>
          </c:val>
          <c:smooth val="0"/>
        </c:ser>
        <c:ser>
          <c:idx val="4"/>
          <c:order val="4"/>
          <c:tx>
            <c:strRef>
              <c:f>'fantasy sheet'!$EA$7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sheet'!$EB$7:$EK$7</c:f>
              <c:numCache/>
            </c:numRef>
          </c:val>
          <c:smooth val="0"/>
        </c:ser>
        <c:ser>
          <c:idx val="5"/>
          <c:order val="5"/>
          <c:tx>
            <c:strRef>
              <c:f>'fantasy sheet'!$EA$8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sheet'!$EB$8:$EK$8</c:f>
              <c:numCache/>
            </c:numRef>
          </c:val>
          <c:smooth val="0"/>
        </c:ser>
        <c:ser>
          <c:idx val="6"/>
          <c:order val="6"/>
          <c:tx>
            <c:strRef>
              <c:f>'fantasy sheet'!$EA$9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sheet'!$EB$9:$EK$9</c:f>
              <c:numCache/>
            </c:numRef>
          </c:val>
          <c:smooth val="0"/>
        </c:ser>
        <c:ser>
          <c:idx val="7"/>
          <c:order val="7"/>
          <c:tx>
            <c:strRef>
              <c:f>'fantasy sheet'!$EA$10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sheet'!$EB$10:$EK$10</c:f>
              <c:numCache/>
            </c:numRef>
          </c:val>
          <c:smooth val="0"/>
        </c:ser>
        <c:ser>
          <c:idx val="8"/>
          <c:order val="8"/>
          <c:tx>
            <c:strRef>
              <c:f>'fantasy sheet'!$EA$11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sheet'!$EB$11:$EK$11</c:f>
              <c:numCache/>
            </c:numRef>
          </c:val>
          <c:smooth val="0"/>
        </c:ser>
        <c:ser>
          <c:idx val="9"/>
          <c:order val="9"/>
          <c:tx>
            <c:strRef>
              <c:f>'fantasy sheet'!$EA$12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sheet'!$EB$12:$EK$12</c:f>
              <c:numCache/>
            </c:numRef>
          </c:val>
          <c:smooth val="0"/>
        </c:ser>
        <c:ser>
          <c:idx val="10"/>
          <c:order val="10"/>
          <c:tx>
            <c:strRef>
              <c:f>'fantasy sheet'!$EA$13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sheet'!$EB$13:$EK$13</c:f>
              <c:numCache/>
            </c:numRef>
          </c:val>
          <c:smooth val="0"/>
        </c:ser>
        <c:ser>
          <c:idx val="11"/>
          <c:order val="11"/>
          <c:tx>
            <c:strRef>
              <c:f>'fantasy sheet'!$EA$14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sheet'!$EB$14:$EK$14</c:f>
              <c:numCache/>
            </c:numRef>
          </c:val>
          <c:smooth val="0"/>
        </c:ser>
        <c:ser>
          <c:idx val="12"/>
          <c:order val="12"/>
          <c:tx>
            <c:strRef>
              <c:f>'fantasy sheet'!$EA$15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sheet'!$EB$15:$EK$15</c:f>
              <c:numCache/>
            </c:numRef>
          </c:val>
          <c:smooth val="0"/>
        </c:ser>
        <c:ser>
          <c:idx val="13"/>
          <c:order val="13"/>
          <c:tx>
            <c:strRef>
              <c:f>'fantasy sheet'!$EA$16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sheet'!$EB$16:$EK$16</c:f>
              <c:numCache/>
            </c:numRef>
          </c:val>
          <c:smooth val="0"/>
        </c:ser>
        <c:ser>
          <c:idx val="14"/>
          <c:order val="14"/>
          <c:tx>
            <c:strRef>
              <c:f>'fantasy sheet'!$EA$17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sheet'!$EB$17:$EK$17</c:f>
              <c:numCache/>
            </c:numRef>
          </c:val>
          <c:smooth val="0"/>
        </c:ser>
        <c:ser>
          <c:idx val="15"/>
          <c:order val="15"/>
          <c:tx>
            <c:strRef>
              <c:f>'fantasy sheet'!$EA$18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sheet'!$EB$18:$EK$18</c:f>
              <c:numCache/>
            </c:numRef>
          </c:val>
          <c:smooth val="0"/>
        </c:ser>
        <c:ser>
          <c:idx val="16"/>
          <c:order val="16"/>
          <c:tx>
            <c:strRef>
              <c:f>'fantasy sheet'!$EA$19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sheet'!$EB$19:$EK$19</c:f>
              <c:numCache/>
            </c:numRef>
          </c:val>
          <c:smooth val="0"/>
        </c:ser>
        <c:ser>
          <c:idx val="17"/>
          <c:order val="17"/>
          <c:tx>
            <c:strRef>
              <c:f>'fantasy sheet'!$EA$20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sheet'!$EB$20:$EK$20</c:f>
              <c:numCache/>
            </c:numRef>
          </c:val>
          <c:smooth val="0"/>
        </c:ser>
        <c:ser>
          <c:idx val="18"/>
          <c:order val="18"/>
          <c:tx>
            <c:strRef>
              <c:f>'fantasy sheet'!$EA$21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sheet'!$EB$21:$EK$21</c:f>
              <c:numCache/>
            </c:numRef>
          </c:val>
          <c:smooth val="0"/>
        </c:ser>
        <c:ser>
          <c:idx val="19"/>
          <c:order val="19"/>
          <c:tx>
            <c:strRef>
              <c:f>'fantasy sheet'!$EA$22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sheet'!$EB$22:$EK$22</c:f>
              <c:numCache/>
            </c:numRef>
          </c:val>
          <c:smooth val="0"/>
        </c:ser>
        <c:ser>
          <c:idx val="20"/>
          <c:order val="20"/>
          <c:tx>
            <c:strRef>
              <c:f>'fantasy sheet'!$EA$23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sheet'!$EB$23:$EK$23</c:f>
              <c:numCache/>
            </c:numRef>
          </c:val>
          <c:smooth val="0"/>
        </c:ser>
        <c:ser>
          <c:idx val="21"/>
          <c:order val="21"/>
          <c:tx>
            <c:strRef>
              <c:f>'fantasy sheet'!$EA$24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sheet'!$EB$24:$EK$24</c:f>
              <c:numCache/>
            </c:numRef>
          </c:val>
          <c:smooth val="0"/>
        </c:ser>
        <c:ser>
          <c:idx val="22"/>
          <c:order val="22"/>
          <c:tx>
            <c:strRef>
              <c:f>'fantasy sheet'!$EA$25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sheet'!$EB$25:$EK$25</c:f>
              <c:numCache/>
            </c:numRef>
          </c:val>
          <c:smooth val="0"/>
        </c:ser>
        <c:ser>
          <c:idx val="23"/>
          <c:order val="23"/>
          <c:tx>
            <c:strRef>
              <c:f>'fantasy sheet'!$EA$26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sheet'!$EB$26:$EK$26</c:f>
              <c:numCache/>
            </c:numRef>
          </c:val>
          <c:smooth val="0"/>
        </c:ser>
        <c:ser>
          <c:idx val="24"/>
          <c:order val="24"/>
          <c:tx>
            <c:strRef>
              <c:f>'fantasy sheet'!$EA$27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sheet'!$EB$27:$EK$27</c:f>
              <c:numCache/>
            </c:numRef>
          </c:val>
          <c:smooth val="0"/>
        </c:ser>
        <c:ser>
          <c:idx val="25"/>
          <c:order val="25"/>
          <c:tx>
            <c:strRef>
              <c:f>'fantasy sheet'!$EA$28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sheet'!$EB$28:$EK$28</c:f>
              <c:numCache/>
            </c:numRef>
          </c:val>
          <c:smooth val="0"/>
        </c:ser>
        <c:ser>
          <c:idx val="26"/>
          <c:order val="26"/>
          <c:tx>
            <c:strRef>
              <c:f>'fantasy sheet'!$EA$29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sheet'!$EB$29:$EK$29</c:f>
              <c:numCache/>
            </c:numRef>
          </c:val>
          <c:smooth val="0"/>
        </c:ser>
        <c:ser>
          <c:idx val="27"/>
          <c:order val="27"/>
          <c:tx>
            <c:strRef>
              <c:f>'fantasy sheet'!$EA$30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sheet'!$EB$30:$EK$30</c:f>
              <c:numCache/>
            </c:numRef>
          </c:val>
          <c:smooth val="0"/>
        </c:ser>
        <c:ser>
          <c:idx val="28"/>
          <c:order val="28"/>
          <c:tx>
            <c:strRef>
              <c:f>'fantasy sheet'!$EA$31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sheet'!$EB$31:$EK$31</c:f>
              <c:numCache/>
            </c:numRef>
          </c:val>
          <c:smooth val="0"/>
        </c:ser>
        <c:ser>
          <c:idx val="29"/>
          <c:order val="29"/>
          <c:tx>
            <c:strRef>
              <c:f>'fantasy sheet'!$EA$32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sheet'!$EB$32:$EK$32</c:f>
              <c:numCache/>
            </c:numRef>
          </c:val>
          <c:smooth val="0"/>
        </c:ser>
        <c:ser>
          <c:idx val="30"/>
          <c:order val="30"/>
          <c:tx>
            <c:strRef>
              <c:f>'fantasy sheet'!$EA$33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sheet'!$EB$33:$EK$33</c:f>
              <c:numCache/>
            </c:numRef>
          </c:val>
          <c:smooth val="0"/>
        </c:ser>
        <c:ser>
          <c:idx val="31"/>
          <c:order val="31"/>
          <c:tx>
            <c:strRef>
              <c:f>'fantasy sheet'!$EA$34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sheet'!$EB$34:$EK$34</c:f>
              <c:numCache/>
            </c:numRef>
          </c:val>
          <c:smooth val="0"/>
        </c:ser>
        <c:ser>
          <c:idx val="32"/>
          <c:order val="32"/>
          <c:tx>
            <c:strRef>
              <c:f>'fantasy sheet'!$EA$35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sheet'!$EB$35:$EK$35</c:f>
              <c:numCache/>
            </c:numRef>
          </c:val>
          <c:smooth val="0"/>
        </c:ser>
        <c:ser>
          <c:idx val="33"/>
          <c:order val="33"/>
          <c:tx>
            <c:strRef>
              <c:f>'fantasy sheet'!$EA$36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sheet'!$EB$36:$EK$36</c:f>
              <c:numCache/>
            </c:numRef>
          </c:val>
          <c:smooth val="0"/>
        </c:ser>
        <c:ser>
          <c:idx val="34"/>
          <c:order val="34"/>
          <c:tx>
            <c:strRef>
              <c:f>'fantasy sheet'!$EA$37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sheet'!$EB$37:$EK$37</c:f>
              <c:numCache/>
            </c:numRef>
          </c:val>
          <c:smooth val="0"/>
        </c:ser>
        <c:ser>
          <c:idx val="35"/>
          <c:order val="35"/>
          <c:tx>
            <c:strRef>
              <c:f>'fantasy sheet'!$EA$38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sheet'!$EB$38:$EK$38</c:f>
              <c:numCache/>
            </c:numRef>
          </c:val>
          <c:smooth val="0"/>
        </c:ser>
        <c:ser>
          <c:idx val="36"/>
          <c:order val="36"/>
          <c:tx>
            <c:strRef>
              <c:f>'fantasy sheet'!$EA$39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sheet'!$EB$39:$EK$39</c:f>
              <c:numCache/>
            </c:numRef>
          </c:val>
          <c:smooth val="0"/>
        </c:ser>
        <c:ser>
          <c:idx val="37"/>
          <c:order val="37"/>
          <c:tx>
            <c:strRef>
              <c:f>'fantasy sheet'!$EA$40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sheet'!$EB$40:$EK$40</c:f>
              <c:numCache/>
            </c:numRef>
          </c:val>
          <c:smooth val="0"/>
        </c:ser>
        <c:ser>
          <c:idx val="38"/>
          <c:order val="38"/>
          <c:tx>
            <c:strRef>
              <c:f>'fantasy sheet'!$EA$41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sheet'!$EB$41:$EK$41</c:f>
              <c:numCache/>
            </c:numRef>
          </c:val>
          <c:smooth val="0"/>
        </c:ser>
        <c:ser>
          <c:idx val="39"/>
          <c:order val="39"/>
          <c:tx>
            <c:strRef>
              <c:f>'fantasy sheet'!$EA$42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sheet'!$EB$42:$EK$42</c:f>
              <c:numCache/>
            </c:numRef>
          </c:val>
          <c:smooth val="0"/>
        </c:ser>
        <c:ser>
          <c:idx val="40"/>
          <c:order val="40"/>
          <c:tx>
            <c:strRef>
              <c:f>'fantasy sheet'!$EA$43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sheet'!$EB$43:$EK$43</c:f>
              <c:numCache/>
            </c:numRef>
          </c:val>
          <c:smooth val="0"/>
        </c:ser>
        <c:ser>
          <c:idx val="41"/>
          <c:order val="41"/>
          <c:tx>
            <c:strRef>
              <c:f>'fantasy sheet'!$EA$44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sheet'!$EB$44:$EK$44</c:f>
              <c:numCache/>
            </c:numRef>
          </c:val>
          <c:smooth val="0"/>
        </c:ser>
        <c:ser>
          <c:idx val="42"/>
          <c:order val="42"/>
          <c:tx>
            <c:strRef>
              <c:f>'fantasy sheet'!$EA$45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sheet'!$EB$45:$EK$45</c:f>
              <c:numCache/>
            </c:numRef>
          </c:val>
          <c:smooth val="0"/>
        </c:ser>
        <c:ser>
          <c:idx val="43"/>
          <c:order val="43"/>
          <c:tx>
            <c:strRef>
              <c:f>'fantasy sheet'!$EA$46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sheet'!$EB$46:$EK$46</c:f>
              <c:numCache/>
            </c:numRef>
          </c:val>
          <c:smooth val="0"/>
        </c:ser>
        <c:ser>
          <c:idx val="44"/>
          <c:order val="44"/>
          <c:tx>
            <c:strRef>
              <c:f>'fantasy sheet'!$EA$47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sheet'!$EB$47:$EK$47</c:f>
              <c:numCache/>
            </c:numRef>
          </c:val>
          <c:smooth val="0"/>
        </c:ser>
        <c:ser>
          <c:idx val="45"/>
          <c:order val="45"/>
          <c:tx>
            <c:strRef>
              <c:f>'fantasy sheet'!$EA$48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sheet'!$EB$48:$EK$48</c:f>
              <c:numCache/>
            </c:numRef>
          </c:val>
          <c:smooth val="0"/>
        </c:ser>
        <c:ser>
          <c:idx val="46"/>
          <c:order val="46"/>
          <c:tx>
            <c:strRef>
              <c:f>'fantasy sheet'!$EA$49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sheet'!$EB$49:$EK$49</c:f>
              <c:numCache/>
            </c:numRef>
          </c:val>
          <c:smooth val="0"/>
        </c:ser>
        <c:ser>
          <c:idx val="47"/>
          <c:order val="47"/>
          <c:tx>
            <c:strRef>
              <c:f>'fantasy sheet'!$EA$50</c:f>
            </c:strRef>
          </c:tx>
          <c:marker>
            <c:symbol val="none"/>
          </c:marker>
          <c:val>
            <c:numRef>
              <c:f>'fantasy sheet'!$EB$50:$EK$50</c:f>
              <c:numCache/>
            </c:numRef>
          </c:val>
          <c:smooth val="0"/>
        </c:ser>
        <c:ser>
          <c:idx val="48"/>
          <c:order val="48"/>
          <c:tx>
            <c:strRef>
              <c:f>'fantasy sheet'!$EA$51</c:f>
            </c:strRef>
          </c:tx>
          <c:marker>
            <c:symbol val="none"/>
          </c:marker>
          <c:val>
            <c:numRef>
              <c:f>'fantasy sheet'!$EB$51:$EK$51</c:f>
              <c:numCache/>
            </c:numRef>
          </c:val>
          <c:smooth val="0"/>
        </c:ser>
        <c:ser>
          <c:idx val="49"/>
          <c:order val="49"/>
          <c:tx>
            <c:strRef>
              <c:f>'fantasy sheet'!$EA$52</c:f>
            </c:strRef>
          </c:tx>
          <c:marker>
            <c:symbol val="none"/>
          </c:marker>
          <c:val>
            <c:numRef>
              <c:f>'fantasy sheet'!$EB$52:$EK$52</c:f>
              <c:numCache/>
            </c:numRef>
          </c:val>
          <c:smooth val="0"/>
        </c:ser>
        <c:ser>
          <c:idx val="50"/>
          <c:order val="50"/>
          <c:tx>
            <c:strRef>
              <c:f>'fantasy sheet'!$EA$53</c:f>
            </c:strRef>
          </c:tx>
          <c:marker>
            <c:symbol val="none"/>
          </c:marker>
          <c:val>
            <c:numRef>
              <c:f>'fantasy sheet'!$EB$53:$EK$53</c:f>
              <c:numCache/>
            </c:numRef>
          </c:val>
          <c:smooth val="0"/>
        </c:ser>
        <c:ser>
          <c:idx val="51"/>
          <c:order val="51"/>
          <c:tx>
            <c:strRef>
              <c:f>'fantasy sheet'!$EA$54</c:f>
            </c:strRef>
          </c:tx>
          <c:marker>
            <c:symbol val="none"/>
          </c:marker>
          <c:val>
            <c:numRef>
              <c:f>'fantasy sheet'!$EB$54:$EK$54</c:f>
              <c:numCache/>
            </c:numRef>
          </c:val>
          <c:smooth val="0"/>
        </c:ser>
        <c:ser>
          <c:idx val="52"/>
          <c:order val="52"/>
          <c:tx>
            <c:strRef>
              <c:f>'fantasy sheet'!$EA$55</c:f>
            </c:strRef>
          </c:tx>
          <c:marker>
            <c:symbol val="none"/>
          </c:marker>
          <c:val>
            <c:numRef>
              <c:f>'fantasy sheet'!$EB$55:$EK$55</c:f>
              <c:numCache/>
            </c:numRef>
          </c:val>
          <c:smooth val="0"/>
        </c:ser>
        <c:ser>
          <c:idx val="53"/>
          <c:order val="53"/>
          <c:tx>
            <c:strRef>
              <c:f>'fantasy sheet'!$EA$56</c:f>
            </c:strRef>
          </c:tx>
          <c:marker>
            <c:symbol val="none"/>
          </c:marker>
          <c:val>
            <c:numRef>
              <c:f>'fantasy sheet'!$EB$56:$EK$56</c:f>
              <c:numCache/>
            </c:numRef>
          </c:val>
          <c:smooth val="0"/>
        </c:ser>
        <c:ser>
          <c:idx val="54"/>
          <c:order val="54"/>
          <c:tx>
            <c:strRef>
              <c:f>'fantasy sheet'!$EA$57</c:f>
            </c:strRef>
          </c:tx>
          <c:marker>
            <c:symbol val="none"/>
          </c:marker>
          <c:val>
            <c:numRef>
              <c:f>'fantasy sheet'!$EB$57:$EK$57</c:f>
              <c:numCache/>
            </c:numRef>
          </c:val>
          <c:smooth val="0"/>
        </c:ser>
        <c:ser>
          <c:idx val="55"/>
          <c:order val="55"/>
          <c:tx>
            <c:strRef>
              <c:f>'fantasy sheet'!$EA$58</c:f>
            </c:strRef>
          </c:tx>
          <c:marker>
            <c:symbol val="none"/>
          </c:marker>
          <c:val>
            <c:numRef>
              <c:f>'fantasy sheet'!$EB$58:$EK$58</c:f>
              <c:numCache/>
            </c:numRef>
          </c:val>
          <c:smooth val="0"/>
        </c:ser>
        <c:axId val="1029474664"/>
        <c:axId val="1034938721"/>
      </c:lineChart>
      <c:catAx>
        <c:axId val="102947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4938721"/>
      </c:catAx>
      <c:valAx>
        <c:axId val="1034938721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9474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'fantasy sheet'!$EN$75:$EN$110</c:f>
            </c:numRef>
          </c:xVal>
          <c:yVal>
            <c:numRef>
              <c:f>'fantasy sheet'!$EQ$75:$EQ$99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95880"/>
        <c:axId val="441898375"/>
      </c:scatterChart>
      <c:valAx>
        <c:axId val="1488695880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MK basho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1898375"/>
      </c:valAx>
      <c:valAx>
        <c:axId val="441898375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PPB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8695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Seattle!$B$89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Seattle!$B$90:$B$105</c:f>
              <c:numCache/>
            </c:numRef>
          </c:val>
          <c:smooth val="0"/>
        </c:ser>
        <c:ser>
          <c:idx val="1"/>
          <c:order val="1"/>
          <c:tx>
            <c:strRef>
              <c:f>Seattle!$C$89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Seattle!$C$90:$C$105</c:f>
              <c:numCache/>
            </c:numRef>
          </c:val>
          <c:smooth val="0"/>
        </c:ser>
        <c:ser>
          <c:idx val="2"/>
          <c:order val="2"/>
          <c:tx>
            <c:strRef>
              <c:f>Seattle!$D$89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Seattle!$D$90:$D$105</c:f>
              <c:numCache/>
            </c:numRef>
          </c:val>
          <c:smooth val="0"/>
        </c:ser>
        <c:ser>
          <c:idx val="3"/>
          <c:order val="3"/>
          <c:tx>
            <c:strRef>
              <c:f>Seattle!$E$89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Seattle!$E$90:$E$105</c:f>
              <c:numCache/>
            </c:numRef>
          </c:val>
          <c:smooth val="0"/>
        </c:ser>
        <c:ser>
          <c:idx val="4"/>
          <c:order val="4"/>
          <c:tx>
            <c:strRef>
              <c:f>Seattle!$F$89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Seattle!$F$90:$F$105</c:f>
              <c:numCache/>
            </c:numRef>
          </c:val>
          <c:smooth val="0"/>
        </c:ser>
        <c:ser>
          <c:idx val="5"/>
          <c:order val="5"/>
          <c:tx>
            <c:strRef>
              <c:f>Seattle!$G$89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Seattle!$G$90:$G$105</c:f>
              <c:numCache/>
            </c:numRef>
          </c:val>
          <c:smooth val="0"/>
        </c:ser>
        <c:ser>
          <c:idx val="6"/>
          <c:order val="6"/>
          <c:tx>
            <c:strRef>
              <c:f>Seattle!$H$89</c:f>
            </c:strRef>
          </c:tx>
          <c:marker>
            <c:symbol val="circle"/>
            <c:size val="4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Seattle!$H$90:$H$105</c:f>
              <c:numCache/>
            </c:numRef>
          </c:val>
          <c:smooth val="0"/>
        </c:ser>
        <c:ser>
          <c:idx val="7"/>
          <c:order val="7"/>
          <c:tx>
            <c:strRef>
              <c:f>Seattle!$I$89</c:f>
            </c:strRef>
          </c:tx>
          <c:marker>
            <c:symbol val="circle"/>
            <c:size val="4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Seattle!$I$90:$I$105</c:f>
              <c:numCache/>
            </c:numRef>
          </c:val>
          <c:smooth val="0"/>
        </c:ser>
        <c:axId val="2000719918"/>
        <c:axId val="2044009009"/>
      </c:lineChart>
      <c:catAx>
        <c:axId val="2000719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4009009"/>
      </c:catAx>
      <c:valAx>
        <c:axId val="2044009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0719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dewanoumi!$B$87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dewanoumi!$B$88:$B$103</c:f>
              <c:numCache/>
            </c:numRef>
          </c:val>
          <c:smooth val="0"/>
        </c:ser>
        <c:ser>
          <c:idx val="1"/>
          <c:order val="1"/>
          <c:tx>
            <c:strRef>
              <c:f>dewanoumi!$C$87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dewanoumi!$C$88:$C$103</c:f>
              <c:numCache/>
            </c:numRef>
          </c:val>
          <c:smooth val="0"/>
        </c:ser>
        <c:ser>
          <c:idx val="2"/>
          <c:order val="2"/>
          <c:tx>
            <c:strRef>
              <c:f>dewanoumi!$D$87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dewanoumi!$D$88:$D$103</c:f>
              <c:numCache/>
            </c:numRef>
          </c:val>
          <c:smooth val="0"/>
        </c:ser>
        <c:ser>
          <c:idx val="3"/>
          <c:order val="3"/>
          <c:tx>
            <c:strRef>
              <c:f>dewanoumi!$E$87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dewanoumi!$E$88:$E$103</c:f>
              <c:numCache/>
            </c:numRef>
          </c:val>
          <c:smooth val="0"/>
        </c:ser>
        <c:ser>
          <c:idx val="4"/>
          <c:order val="4"/>
          <c:tx>
            <c:strRef>
              <c:f>dewanoumi!$F$87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dewanoumi!$F$88:$F$103</c:f>
              <c:numCache/>
            </c:numRef>
          </c:val>
          <c:smooth val="0"/>
        </c:ser>
        <c:ser>
          <c:idx val="5"/>
          <c:order val="5"/>
          <c:tx>
            <c:strRef>
              <c:f>dewanoumi!$G$87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dewanoumi!$G$88:$G$103</c:f>
              <c:numCache/>
            </c:numRef>
          </c:val>
          <c:smooth val="0"/>
        </c:ser>
        <c:axId val="1532431347"/>
        <c:axId val="651967643"/>
      </c:lineChart>
      <c:catAx>
        <c:axId val="1532431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1967643"/>
      </c:catAx>
      <c:valAx>
        <c:axId val="651967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2431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'Lake City'!$B$83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City'!$B$84:$B$99</c:f>
              <c:numCache/>
            </c:numRef>
          </c:val>
          <c:smooth val="0"/>
        </c:ser>
        <c:ser>
          <c:idx val="1"/>
          <c:order val="1"/>
          <c:tx>
            <c:strRef>
              <c:f>'Lake City'!$C$83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City'!$C$84:$C$99</c:f>
              <c:numCache/>
            </c:numRef>
          </c:val>
          <c:smooth val="0"/>
        </c:ser>
        <c:ser>
          <c:idx val="2"/>
          <c:order val="2"/>
          <c:tx>
            <c:strRef>
              <c:f>'Lake City'!$D$83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City'!$D$84:$D$99</c:f>
              <c:numCache/>
            </c:numRef>
          </c:val>
          <c:smooth val="0"/>
        </c:ser>
        <c:ser>
          <c:idx val="3"/>
          <c:order val="3"/>
          <c:tx>
            <c:strRef>
              <c:f>'Lake City'!$E$83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City'!$E$84:$E$99</c:f>
              <c:numCache/>
            </c:numRef>
          </c:val>
          <c:smooth val="0"/>
        </c:ser>
        <c:ser>
          <c:idx val="4"/>
          <c:order val="4"/>
          <c:tx>
            <c:strRef>
              <c:f>'Lake City'!$F$83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City'!$F$84:$F$99</c:f>
              <c:numCache/>
            </c:numRef>
          </c:val>
          <c:smooth val="0"/>
        </c:ser>
        <c:ser>
          <c:idx val="5"/>
          <c:order val="5"/>
          <c:tx>
            <c:strRef>
              <c:f>'Lake City'!$G$83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City'!$G$84:$G$99</c:f>
              <c:numCache/>
            </c:numRef>
          </c:val>
          <c:smooth val="0"/>
        </c:ser>
        <c:axId val="791471682"/>
        <c:axId val="1590123295"/>
      </c:lineChart>
      <c:catAx>
        <c:axId val="791471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0123295"/>
      </c:catAx>
      <c:valAx>
        <c:axId val="1590123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1471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200025</xdr:rowOff>
    </xdr:from>
    <xdr:ext cx="5715000" cy="3162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95</xdr:col>
      <xdr:colOff>123825</xdr:colOff>
      <xdr:row>137</xdr:row>
      <xdr:rowOff>38100</xdr:rowOff>
    </xdr:from>
    <xdr:ext cx="31918275" cy="17840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148</xdr:col>
      <xdr:colOff>304800</xdr:colOff>
      <xdr:row>74</xdr:row>
      <xdr:rowOff>200025</xdr:rowOff>
    </xdr:from>
    <xdr:ext cx="9248775" cy="5715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304800</xdr:colOff>
      <xdr:row>0</xdr:row>
      <xdr:rowOff>171450</xdr:rowOff>
    </xdr:from>
    <xdr:ext cx="5715000" cy="3162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190500</xdr:rowOff>
    </xdr:from>
    <xdr:ext cx="5715000" cy="3162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umo.or.jp/img/sumo_data/rikishi/60x60/20080001.jpg" TargetMode="External"/><Relationship Id="rId42" Type="http://schemas.openxmlformats.org/officeDocument/2006/relationships/hyperlink" Target="http://sumo.or.jp/img/sumo_data/rikishi/60x60/20130077.jpg" TargetMode="External"/><Relationship Id="rId41" Type="http://schemas.openxmlformats.org/officeDocument/2006/relationships/hyperlink" Target="http://www.sumo.or.jp/img/sumo_data/rikishi/60x60/20170096.jpg" TargetMode="External"/><Relationship Id="rId44" Type="http://schemas.openxmlformats.org/officeDocument/2006/relationships/hyperlink" Target="http://sumo.or.jp/img/sumo_data/rikishi/60x60/20060025.jpg" TargetMode="External"/><Relationship Id="rId43" Type="http://schemas.openxmlformats.org/officeDocument/2006/relationships/hyperlink" Target="http://sumo.or.jp/img/sumo_data/rikishi/60x60/20050033.jpg" TargetMode="External"/><Relationship Id="rId46" Type="http://schemas.openxmlformats.org/officeDocument/2006/relationships/hyperlink" Target="http://sumo.or.jp/img/sumo_data/rikishi/60x60/20150081.jpg" TargetMode="External"/><Relationship Id="rId45" Type="http://schemas.openxmlformats.org/officeDocument/2006/relationships/hyperlink" Target="http://sumo.or.jp/img/sumo_data/rikishi/60x60/20080032.jpg" TargetMode="External"/><Relationship Id="rId1" Type="http://schemas.openxmlformats.org/officeDocument/2006/relationships/hyperlink" Target="http://sumo.or.jp/img/sumo_data/rikishi/60x60/20002320.jpg" TargetMode="External"/><Relationship Id="rId2" Type="http://schemas.openxmlformats.org/officeDocument/2006/relationships/hyperlink" Target="http://sumo.or.jp/img/sumo_data/rikishi/60x60/20010035.jpg" TargetMode="External"/><Relationship Id="rId3" Type="http://schemas.openxmlformats.org/officeDocument/2006/relationships/hyperlink" Target="http://sumo.or.jp/img/sumo_data/rikishi/60x60/20160019.jpg" TargetMode="External"/><Relationship Id="rId4" Type="http://schemas.openxmlformats.org/officeDocument/2006/relationships/hyperlink" Target="http://sumo.or.jp/img/sumo_data/rikishi/60x60/20140083.jpg" TargetMode="External"/><Relationship Id="rId9" Type="http://schemas.openxmlformats.org/officeDocument/2006/relationships/hyperlink" Target="http://sumo.or.jp/img/sumo_data/rikishi/60x60/20130036.jpg" TargetMode="External"/><Relationship Id="rId48" Type="http://schemas.openxmlformats.org/officeDocument/2006/relationships/hyperlink" Target="http://sumo.or.jp/img/sumo_data/rikishi/60x60/20090066.jpg" TargetMode="External"/><Relationship Id="rId47" Type="http://schemas.openxmlformats.org/officeDocument/2006/relationships/hyperlink" Target="http://sumo.or.jp/img/sumo_data/rikishi/60x60/20070085.jpg" TargetMode="External"/><Relationship Id="rId49" Type="http://schemas.openxmlformats.org/officeDocument/2006/relationships/hyperlink" Target="http://sumo.or.jp/img/sumo_data/rikishi/60x60/20160002.jpg" TargetMode="External"/><Relationship Id="rId5" Type="http://schemas.openxmlformats.org/officeDocument/2006/relationships/hyperlink" Target="http://sumo.or.jp/img/sumo_data/rikishi/60x60/20140019.jpg" TargetMode="External"/><Relationship Id="rId6" Type="http://schemas.openxmlformats.org/officeDocument/2006/relationships/hyperlink" Target="http://sumo.or.jp/img/sumo_data/rikishi/60x60/20150032.jpg" TargetMode="External"/><Relationship Id="rId7" Type="http://schemas.openxmlformats.org/officeDocument/2006/relationships/hyperlink" Target="http://sumo.or.jp/img/sumo_data/rikishi/60x60/20120003.jpg" TargetMode="External"/><Relationship Id="rId8" Type="http://schemas.openxmlformats.org/officeDocument/2006/relationships/hyperlink" Target="http://sumo.or.jp/img/sumo_data/rikishi/60x60/20050003.jpg" TargetMode="External"/><Relationship Id="rId31" Type="http://schemas.openxmlformats.org/officeDocument/2006/relationships/hyperlink" Target="http://sumo.or.jp/img/sumo_data/rikishi/60x60/20020002.jpg" TargetMode="External"/><Relationship Id="rId30" Type="http://schemas.openxmlformats.org/officeDocument/2006/relationships/hyperlink" Target="http://sumo.or.jp/img/sumo_data/rikishi/60x60/20110015.jpg" TargetMode="External"/><Relationship Id="rId33" Type="http://schemas.openxmlformats.org/officeDocument/2006/relationships/hyperlink" Target="http://sumo.or.jp/img/sumo_data/rikishi/60x60/20060091.jpg" TargetMode="External"/><Relationship Id="rId32" Type="http://schemas.openxmlformats.org/officeDocument/2006/relationships/hyperlink" Target="http://sumo.or.jp/img/sumo_data/rikishi/60x60/20170094.jpg" TargetMode="External"/><Relationship Id="rId35" Type="http://schemas.openxmlformats.org/officeDocument/2006/relationships/hyperlink" Target="http://sumo.or.jp/img/sumo_data/rikishi/60x60/20130013.jpg" TargetMode="External"/><Relationship Id="rId34" Type="http://schemas.openxmlformats.org/officeDocument/2006/relationships/hyperlink" Target="http://sumo.or.jp/img/sumo_data/rikishi/60x60/20110029.jpg" TargetMode="External"/><Relationship Id="rId37" Type="http://schemas.openxmlformats.org/officeDocument/2006/relationships/hyperlink" Target="http://sumo.or.jp/img/sumo_data/rikishi/60x60/20130059.jpg" TargetMode="External"/><Relationship Id="rId36" Type="http://schemas.openxmlformats.org/officeDocument/2006/relationships/hyperlink" Target="http://sumo.or.jp/img/sumo_data/rikishi/60x60/20150005.jpg" TargetMode="External"/><Relationship Id="rId39" Type="http://schemas.openxmlformats.org/officeDocument/2006/relationships/hyperlink" Target="http://sumo.or.jp/img/sumo_data/rikishi/60x60/20060043.jpg" TargetMode="External"/><Relationship Id="rId38" Type="http://schemas.openxmlformats.org/officeDocument/2006/relationships/hyperlink" Target="http://sumo.or.jp/img/sumo_data/rikishi/60x60/20120047.jpg" TargetMode="External"/><Relationship Id="rId20" Type="http://schemas.openxmlformats.org/officeDocument/2006/relationships/hyperlink" Target="http://sumo.or.jp/img/sumo_data/rikishi/60x60/20050022.jpg" TargetMode="External"/><Relationship Id="rId22" Type="http://schemas.openxmlformats.org/officeDocument/2006/relationships/hyperlink" Target="http://sumo.or.jp/img/sumo_data/rikishi/60x60/20060023.jpg" TargetMode="External"/><Relationship Id="rId21" Type="http://schemas.openxmlformats.org/officeDocument/2006/relationships/hyperlink" Target="http://sumo.or.jp/img/sumo_data/rikishi/60x60/20100029.jpg" TargetMode="External"/><Relationship Id="rId24" Type="http://schemas.openxmlformats.org/officeDocument/2006/relationships/hyperlink" Target="http://sumo.or.jp/img/sumo_data/rikishi/60x60/20090002.jpg" TargetMode="External"/><Relationship Id="rId23" Type="http://schemas.openxmlformats.org/officeDocument/2006/relationships/hyperlink" Target="http://sumo.or.jp/img/sumo_data/rikishi/60x60/20090067.jpg" TargetMode="External"/><Relationship Id="rId26" Type="http://schemas.openxmlformats.org/officeDocument/2006/relationships/hyperlink" Target="http://sumo.or.jp/img/sumo_data/rikishi/60x60/20170053.jpg" TargetMode="External"/><Relationship Id="rId25" Type="http://schemas.openxmlformats.org/officeDocument/2006/relationships/hyperlink" Target="http://sumo.or.jp/img/sumo_data/rikishi/60x60/20170011.jpg" TargetMode="External"/><Relationship Id="rId28" Type="http://schemas.openxmlformats.org/officeDocument/2006/relationships/hyperlink" Target="http://sumo.or.jp/img/sumo_data/rikishi/60x60/20030054.jpg" TargetMode="External"/><Relationship Id="rId27" Type="http://schemas.openxmlformats.org/officeDocument/2006/relationships/hyperlink" Target="http://sumo.or.jp/img/sumo_data/rikishi/60x60/20130005.jpg" TargetMode="External"/><Relationship Id="rId29" Type="http://schemas.openxmlformats.org/officeDocument/2006/relationships/hyperlink" Target="http://sumo.or.jp/img/sumo_data/rikishi/60x60/20070057.jpg" TargetMode="External"/><Relationship Id="rId51" Type="http://schemas.openxmlformats.org/officeDocument/2006/relationships/hyperlink" Target="http://sumo.or.jp/img/sumo_data/rikishi/60x60/20080097.jpg" TargetMode="External"/><Relationship Id="rId50" Type="http://schemas.openxmlformats.org/officeDocument/2006/relationships/hyperlink" Target="http://sumo.or.jp/img/sumo_data/rikishi/60x60/20140033.jpg" TargetMode="External"/><Relationship Id="rId53" Type="http://schemas.openxmlformats.org/officeDocument/2006/relationships/hyperlink" Target="http://sumo.or.jp/img/sumo_data/rikishi/60x60/20120049.jpg" TargetMode="External"/><Relationship Id="rId52" Type="http://schemas.openxmlformats.org/officeDocument/2006/relationships/hyperlink" Target="http://sumo.or.jp/img/sumo_data/rikishi/60x60/20140002.jpg" TargetMode="External"/><Relationship Id="rId11" Type="http://schemas.openxmlformats.org/officeDocument/2006/relationships/hyperlink" Target="http://sumo.or.jp/img/sumo_data/rikishi/60x60/20100039.jpg" TargetMode="External"/><Relationship Id="rId55" Type="http://schemas.openxmlformats.org/officeDocument/2006/relationships/hyperlink" Target="http://sumo.or.jp/img/sumo_data/rikishi/60x60/20130002.jpg" TargetMode="External"/><Relationship Id="rId10" Type="http://schemas.openxmlformats.org/officeDocument/2006/relationships/hyperlink" Target="http://sumo.or.jp/img/sumo_data/rikishi/60x60/20110008.jpg" TargetMode="External"/><Relationship Id="rId54" Type="http://schemas.openxmlformats.org/officeDocument/2006/relationships/hyperlink" Target="http://sumo.or.jp/img/sumo_data/rikishi/60x60/20060071.jpg" TargetMode="External"/><Relationship Id="rId13" Type="http://schemas.openxmlformats.org/officeDocument/2006/relationships/hyperlink" Target="http://sumo.or.jp/img/sumo_data/rikishi/60x60/20040005.jpg" TargetMode="External"/><Relationship Id="rId57" Type="http://schemas.openxmlformats.org/officeDocument/2006/relationships/hyperlink" Target="http://www.sumo.or.jp/img/sumo_data/rikishi/60x60/20170069.jpg" TargetMode="External"/><Relationship Id="rId12" Type="http://schemas.openxmlformats.org/officeDocument/2006/relationships/hyperlink" Target="http://sumo.or.jp/img/sumo_data/rikishi/60x60/20150042.jpg" TargetMode="External"/><Relationship Id="rId56" Type="http://schemas.openxmlformats.org/officeDocument/2006/relationships/hyperlink" Target="http://www.sumo.or.jp/img/sumo_data/rikishi/60x60/20130040.jpg" TargetMode="External"/><Relationship Id="rId15" Type="http://schemas.openxmlformats.org/officeDocument/2006/relationships/hyperlink" Target="http://sumo.or.jp/img/sumo_data/rikishi/60x60/20100052.jpg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sumo.or.jp/img/sumo_data/rikishi/60x60/20090065.jpg" TargetMode="External"/><Relationship Id="rId58" Type="http://schemas.openxmlformats.org/officeDocument/2006/relationships/hyperlink" Target="http://www.sumo.or.jp/img/sumo_data/rikishi/60x60/20170071.jpg" TargetMode="External"/><Relationship Id="rId17" Type="http://schemas.openxmlformats.org/officeDocument/2006/relationships/hyperlink" Target="http://sumo.or.jp/img/sumo_data/rikishi/60x60/20060028.jpg" TargetMode="External"/><Relationship Id="rId16" Type="http://schemas.openxmlformats.org/officeDocument/2006/relationships/hyperlink" Target="http://sumo.or.jp/img/sumo_data/rikishi/60x60/20160020.jpg" TargetMode="External"/><Relationship Id="rId19" Type="http://schemas.openxmlformats.org/officeDocument/2006/relationships/hyperlink" Target="http://sumo.or.jp/img/sumo_data/rikishi/60x60/20090004.jpg" TargetMode="External"/><Relationship Id="rId18" Type="http://schemas.openxmlformats.org/officeDocument/2006/relationships/hyperlink" Target="http://sumo.or.jp/img/sumo_data/rikishi/60x60/20150034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t5X3xNvFZUY?t=4m40s" TargetMode="External"/><Relationship Id="rId84" Type="http://schemas.openxmlformats.org/officeDocument/2006/relationships/hyperlink" Target="http://www.youtube.com/embed/5capscDCquU?autoplay=1" TargetMode="External"/><Relationship Id="rId83" Type="http://schemas.openxmlformats.org/officeDocument/2006/relationships/hyperlink" Target="http://www.youtube.com/embed/Nm4QCu3SE6E?start=440&amp;autoplay=1" TargetMode="External"/><Relationship Id="rId42" Type="http://schemas.openxmlformats.org/officeDocument/2006/relationships/hyperlink" Target="https://youtu.be/VPalMZNE4TQ?t=3m50s" TargetMode="External"/><Relationship Id="rId86" Type="http://schemas.openxmlformats.org/officeDocument/2006/relationships/hyperlink" Target="http://www.youtube.com/embed/vYvMN0NBccA?start=124&amp;autoplay=1" TargetMode="External"/><Relationship Id="rId41" Type="http://schemas.openxmlformats.org/officeDocument/2006/relationships/hyperlink" Target="https://youtu.be/JKRXR3OrfY4?t=5m32s" TargetMode="External"/><Relationship Id="rId85" Type="http://schemas.openxmlformats.org/officeDocument/2006/relationships/hyperlink" Target="http://www.youtube.com/embed/ljwRQQfYKvs?start=122&amp;autoplay=1" TargetMode="External"/><Relationship Id="rId44" Type="http://schemas.openxmlformats.org/officeDocument/2006/relationships/hyperlink" Target="https://youtu.be/JKRXR3OrfY4?t=3m11s" TargetMode="External"/><Relationship Id="rId88" Type="http://schemas.openxmlformats.org/officeDocument/2006/relationships/hyperlink" Target="http://www.youtube.com/embed/afjzGao5LNY?start=750&amp;autoplay=1" TargetMode="External"/><Relationship Id="rId43" Type="http://schemas.openxmlformats.org/officeDocument/2006/relationships/hyperlink" Target="https://youtu.be/2H6RExvF74Y?t=8m36s" TargetMode="External"/><Relationship Id="rId87" Type="http://schemas.openxmlformats.org/officeDocument/2006/relationships/hyperlink" Target="http://www.youtube.com/embed/EPO39qtj1Vk?autoplay=1" TargetMode="External"/><Relationship Id="rId46" Type="http://schemas.openxmlformats.org/officeDocument/2006/relationships/hyperlink" Target="https://youtu.be/KhslNZI5HWA?t=6m56s" TargetMode="External"/><Relationship Id="rId45" Type="http://schemas.openxmlformats.org/officeDocument/2006/relationships/hyperlink" Target="https://youtu.be/Qg34CGZdNyY?t=5m8s" TargetMode="External"/><Relationship Id="rId89" Type="http://schemas.openxmlformats.org/officeDocument/2006/relationships/hyperlink" Target="http://www.youtube.com/embed/RJodXh0NATg?start=158&amp;autoplay=1" TargetMode="External"/><Relationship Id="rId80" Type="http://schemas.openxmlformats.org/officeDocument/2006/relationships/hyperlink" Target="https://www.youtube.com/watch?v=qhR5O66y3is" TargetMode="External"/><Relationship Id="rId82" Type="http://schemas.openxmlformats.org/officeDocument/2006/relationships/hyperlink" Target="http://www.youtube.com/embed/xPYuc2EDtTQ?start=137&amp;autoplay=1" TargetMode="External"/><Relationship Id="rId81" Type="http://schemas.openxmlformats.org/officeDocument/2006/relationships/hyperlink" Target="https://www.youtube.com/watch?v=wVDpqrO-qJY" TargetMode="External"/><Relationship Id="rId1" Type="http://schemas.openxmlformats.org/officeDocument/2006/relationships/hyperlink" Target="https://youtu.be/cNbnjRJ_uhw?t=14m9s" TargetMode="External"/><Relationship Id="rId2" Type="http://schemas.openxmlformats.org/officeDocument/2006/relationships/hyperlink" Target="https://youtu.be/eBAQAsllhFo?t=11m46s" TargetMode="External"/><Relationship Id="rId3" Type="http://schemas.openxmlformats.org/officeDocument/2006/relationships/hyperlink" Target="https://youtu.be/XgLiLqkW6M0?t=4m50s" TargetMode="External"/><Relationship Id="rId4" Type="http://schemas.openxmlformats.org/officeDocument/2006/relationships/hyperlink" Target="https://youtu.be/iPioqHG44gA?t=11m6s" TargetMode="External"/><Relationship Id="rId9" Type="http://schemas.openxmlformats.org/officeDocument/2006/relationships/hyperlink" Target="https://youtu.be/kQ8OVhbNKCo?t=10m36s" TargetMode="External"/><Relationship Id="rId48" Type="http://schemas.openxmlformats.org/officeDocument/2006/relationships/hyperlink" Target="https://youtu.be/-unrrWzGQSY?t=44s" TargetMode="External"/><Relationship Id="rId47" Type="http://schemas.openxmlformats.org/officeDocument/2006/relationships/hyperlink" Target="https://youtu.be/r1GufSmGE-Q?t=2m33s" TargetMode="External"/><Relationship Id="rId49" Type="http://schemas.openxmlformats.org/officeDocument/2006/relationships/hyperlink" Target="https://youtu.be/KhslNZI5HWA?t=1m54s" TargetMode="External"/><Relationship Id="rId5" Type="http://schemas.openxmlformats.org/officeDocument/2006/relationships/hyperlink" Target="https://youtu.be/bDxvKwnbfEI?t=10m2s" TargetMode="External"/><Relationship Id="rId6" Type="http://schemas.openxmlformats.org/officeDocument/2006/relationships/hyperlink" Target="https://youtu.be/r1GufSmGE-Q?t=16m35s" TargetMode="External"/><Relationship Id="rId7" Type="http://schemas.openxmlformats.org/officeDocument/2006/relationships/hyperlink" Target="https://youtu.be/OYyNe5jptzo?t=4m34s" TargetMode="External"/><Relationship Id="rId8" Type="http://schemas.openxmlformats.org/officeDocument/2006/relationships/hyperlink" Target="https://youtu.be/XgzRumart44?t=3m57s" TargetMode="External"/><Relationship Id="rId73" Type="http://schemas.openxmlformats.org/officeDocument/2006/relationships/hyperlink" Target="https://youtu.be/sw2hBHIbiAc?t=8m59s" TargetMode="External"/><Relationship Id="rId72" Type="http://schemas.openxmlformats.org/officeDocument/2006/relationships/hyperlink" Target="https://youtu.be/4BIY0JnUryw?t=45s" TargetMode="External"/><Relationship Id="rId31" Type="http://schemas.openxmlformats.org/officeDocument/2006/relationships/hyperlink" Target="https://youtu.be/Lvfn0Yzzl74?t=7m30s" TargetMode="External"/><Relationship Id="rId75" Type="http://schemas.openxmlformats.org/officeDocument/2006/relationships/hyperlink" Target="https://youtu.be/oyR07Ox10jg?t=15m56s" TargetMode="External"/><Relationship Id="rId30" Type="http://schemas.openxmlformats.org/officeDocument/2006/relationships/hyperlink" Target="https://youtu.be/GmO2ICmcVww?t=4m48s" TargetMode="External"/><Relationship Id="rId74" Type="http://schemas.openxmlformats.org/officeDocument/2006/relationships/hyperlink" Target="https://youtu.be/sw2hBHIbiAc?t=1m2s" TargetMode="External"/><Relationship Id="rId33" Type="http://schemas.openxmlformats.org/officeDocument/2006/relationships/hyperlink" Target="https://youtu.be/GmO2ICmcVww?t=14m23s" TargetMode="External"/><Relationship Id="rId77" Type="http://schemas.openxmlformats.org/officeDocument/2006/relationships/hyperlink" Target="https://youtu.be/B-HDnExNKSs?t=9s" TargetMode="External"/><Relationship Id="rId32" Type="http://schemas.openxmlformats.org/officeDocument/2006/relationships/hyperlink" Target="https://youtu.be/xl3HGgSVxVM?t=7m37s" TargetMode="External"/><Relationship Id="rId76" Type="http://schemas.openxmlformats.org/officeDocument/2006/relationships/hyperlink" Target="https://youtu.be/ClRHwHZGPBs?t=6m" TargetMode="External"/><Relationship Id="rId35" Type="http://schemas.openxmlformats.org/officeDocument/2006/relationships/hyperlink" Target="https://youtu.be/kQ8OVhbNKCo?t=1m50s" TargetMode="External"/><Relationship Id="rId79" Type="http://schemas.openxmlformats.org/officeDocument/2006/relationships/hyperlink" Target="https://www.youtube.com/watch?v=smajXYUA-dE" TargetMode="External"/><Relationship Id="rId34" Type="http://schemas.openxmlformats.org/officeDocument/2006/relationships/hyperlink" Target="https://youtu.be/bDxvKwnbfEI?t=5m28s" TargetMode="External"/><Relationship Id="rId78" Type="http://schemas.openxmlformats.org/officeDocument/2006/relationships/hyperlink" Target="https://www.youtube.com/watch?v=nTJgI8xPQ0Y" TargetMode="External"/><Relationship Id="rId71" Type="http://schemas.openxmlformats.org/officeDocument/2006/relationships/hyperlink" Target="https://youtu.be/zIPHDOlU07c?t=7m16s" TargetMode="External"/><Relationship Id="rId70" Type="http://schemas.openxmlformats.org/officeDocument/2006/relationships/hyperlink" Target="https://youtu.be/KhslNZI5HWA?t=13m2s" TargetMode="External"/><Relationship Id="rId37" Type="http://schemas.openxmlformats.org/officeDocument/2006/relationships/hyperlink" Target="https://youtu.be/t5X3xNvFZUY?t=6m41s" TargetMode="External"/><Relationship Id="rId36" Type="http://schemas.openxmlformats.org/officeDocument/2006/relationships/hyperlink" Target="https://youtu.be/jhR05Gy28ks?t=16m9s" TargetMode="External"/><Relationship Id="rId39" Type="http://schemas.openxmlformats.org/officeDocument/2006/relationships/hyperlink" Target="https://youtu.be/4BIY0JnUryw?t=6m21s" TargetMode="External"/><Relationship Id="rId38" Type="http://schemas.openxmlformats.org/officeDocument/2006/relationships/hyperlink" Target="https://youtu.be/gb3o1HAAMS0?t=13m35s" TargetMode="External"/><Relationship Id="rId62" Type="http://schemas.openxmlformats.org/officeDocument/2006/relationships/hyperlink" Target="https://youtu.be/GFMpBpwymQw?t=5m58s" TargetMode="External"/><Relationship Id="rId61" Type="http://schemas.openxmlformats.org/officeDocument/2006/relationships/hyperlink" Target="https://youtu.be/Nm4QCu3SE6E?t=13m10s" TargetMode="External"/><Relationship Id="rId20" Type="http://schemas.openxmlformats.org/officeDocument/2006/relationships/hyperlink" Target="https://youtu.be/TS1oMZ6-2Vs?t=13m51s" TargetMode="External"/><Relationship Id="rId64" Type="http://schemas.openxmlformats.org/officeDocument/2006/relationships/hyperlink" Target="https://youtu.be/lPHaVLKLwUA?t=1m33s" TargetMode="External"/><Relationship Id="rId63" Type="http://schemas.openxmlformats.org/officeDocument/2006/relationships/hyperlink" Target="https://youtu.be/uIzRi7cfG5g?t=2m32s" TargetMode="External"/><Relationship Id="rId22" Type="http://schemas.openxmlformats.org/officeDocument/2006/relationships/hyperlink" Target="https://youtu.be/cNbnjRJ_uhw?t=9m42s" TargetMode="External"/><Relationship Id="rId66" Type="http://schemas.openxmlformats.org/officeDocument/2006/relationships/hyperlink" Target="https://youtu.be/iPioqHG44gA?t=7m28s" TargetMode="External"/><Relationship Id="rId21" Type="http://schemas.openxmlformats.org/officeDocument/2006/relationships/hyperlink" Target="https://youtu.be/kQ8OVhbNKCo?t=13m56s" TargetMode="External"/><Relationship Id="rId65" Type="http://schemas.openxmlformats.org/officeDocument/2006/relationships/hyperlink" Target="https://youtu.be/sw2hBHIbiAc?t=34s" TargetMode="External"/><Relationship Id="rId24" Type="http://schemas.openxmlformats.org/officeDocument/2006/relationships/hyperlink" Target="https://youtu.be/BrjnftUlKsQ?t=11m3s" TargetMode="External"/><Relationship Id="rId68" Type="http://schemas.openxmlformats.org/officeDocument/2006/relationships/hyperlink" Target="https://youtu.be/GFMpBpwymQw?t=11m2s" TargetMode="External"/><Relationship Id="rId23" Type="http://schemas.openxmlformats.org/officeDocument/2006/relationships/hyperlink" Target="https://youtu.be/zsAuxfmTM2g?t=5m51s" TargetMode="External"/><Relationship Id="rId67" Type="http://schemas.openxmlformats.org/officeDocument/2006/relationships/hyperlink" Target="https://youtu.be/smajXYUA-dE?t=12m32s" TargetMode="External"/><Relationship Id="rId60" Type="http://schemas.openxmlformats.org/officeDocument/2006/relationships/hyperlink" Target="https://youtu.be/W-DqKFrL1gs?t=50s" TargetMode="External"/><Relationship Id="rId26" Type="http://schemas.openxmlformats.org/officeDocument/2006/relationships/hyperlink" Target="https://youtu.be/eBAQAsllhFo?t=13m22s" TargetMode="External"/><Relationship Id="rId25" Type="http://schemas.openxmlformats.org/officeDocument/2006/relationships/hyperlink" Target="https://youtu.be/GmO2ICmcVww?t=6m42s" TargetMode="External"/><Relationship Id="rId69" Type="http://schemas.openxmlformats.org/officeDocument/2006/relationships/hyperlink" Target="https://youtu.be/iPioqHG44gA?t=2m41s" TargetMode="External"/><Relationship Id="rId28" Type="http://schemas.openxmlformats.org/officeDocument/2006/relationships/hyperlink" Target="https://www.youtube.com/watch?v=GE53zvfpyw4" TargetMode="External"/><Relationship Id="rId27" Type="http://schemas.openxmlformats.org/officeDocument/2006/relationships/hyperlink" Target="https://youtu.be/r1GufSmGE-Q?t=5m48s" TargetMode="External"/><Relationship Id="rId29" Type="http://schemas.openxmlformats.org/officeDocument/2006/relationships/hyperlink" Target="https://youtu.be/Nm4QCu3SE6E?t=14m30s" TargetMode="External"/><Relationship Id="rId51" Type="http://schemas.openxmlformats.org/officeDocument/2006/relationships/hyperlink" Target="https://youtu.be/cNbnjRJ_uhw?t=7m19s" TargetMode="External"/><Relationship Id="rId95" Type="http://schemas.openxmlformats.org/officeDocument/2006/relationships/drawing" Target="../drawings/drawing13.xml"/><Relationship Id="rId50" Type="http://schemas.openxmlformats.org/officeDocument/2006/relationships/hyperlink" Target="https://youtu.be/Eg2S7oqY_y8?t=2m55s" TargetMode="External"/><Relationship Id="rId94" Type="http://schemas.openxmlformats.org/officeDocument/2006/relationships/hyperlink" Target="http://www.youtube.com/embed/oMNBBnU_fTA?autoplay=1" TargetMode="External"/><Relationship Id="rId53" Type="http://schemas.openxmlformats.org/officeDocument/2006/relationships/hyperlink" Target="https://youtu.be/BrjnftUlKsQ?t=8m4s" TargetMode="External"/><Relationship Id="rId52" Type="http://schemas.openxmlformats.org/officeDocument/2006/relationships/hyperlink" Target="https://youtu.be/TS1oMZ6-2Vs?t=5m8s" TargetMode="External"/><Relationship Id="rId11" Type="http://schemas.openxmlformats.org/officeDocument/2006/relationships/hyperlink" Target="https://youtu.be/0Y-LdpN5JP4?t=1m50s" TargetMode="External"/><Relationship Id="rId55" Type="http://schemas.openxmlformats.org/officeDocument/2006/relationships/hyperlink" Target="https://youtu.be/2H6RExvF74Y?t=3m9s" TargetMode="External"/><Relationship Id="rId10" Type="http://schemas.openxmlformats.org/officeDocument/2006/relationships/hyperlink" Target="https://youtu.be/VPalMZNE4TQ?t=11m19s" TargetMode="External"/><Relationship Id="rId54" Type="http://schemas.openxmlformats.org/officeDocument/2006/relationships/hyperlink" Target="https://youtu.be/cNbnjRJ_uhw?t=4m31s" TargetMode="External"/><Relationship Id="rId13" Type="http://schemas.openxmlformats.org/officeDocument/2006/relationships/hyperlink" Target="https://youtu.be/OYyNe5jptzo?t=11m24s" TargetMode="External"/><Relationship Id="rId57" Type="http://schemas.openxmlformats.org/officeDocument/2006/relationships/hyperlink" Target="https://youtu.be/NPxASM341Xo?t=49s" TargetMode="External"/><Relationship Id="rId12" Type="http://schemas.openxmlformats.org/officeDocument/2006/relationships/hyperlink" Target="https://youtu.be/kQ8OVhbNKCo?t=3m23s" TargetMode="External"/><Relationship Id="rId56" Type="http://schemas.openxmlformats.org/officeDocument/2006/relationships/hyperlink" Target="https://youtu.be/GFMpBpwymQw?t=3m17s" TargetMode="External"/><Relationship Id="rId91" Type="http://schemas.openxmlformats.org/officeDocument/2006/relationships/hyperlink" Target="http://www.youtube.com/embed/30Rwy-OQTJM?start=187&amp;autoplay=1" TargetMode="External"/><Relationship Id="rId90" Type="http://schemas.openxmlformats.org/officeDocument/2006/relationships/hyperlink" Target="http://www.youtube.com/embed/3ZCvyoxRXLQ?start=509&amp;autoplay=1" TargetMode="External"/><Relationship Id="rId93" Type="http://schemas.openxmlformats.org/officeDocument/2006/relationships/hyperlink" Target="http://www.youtube.com/embed/xPYuc2EDtTQ?start=707&amp;autoplay=1" TargetMode="External"/><Relationship Id="rId92" Type="http://schemas.openxmlformats.org/officeDocument/2006/relationships/hyperlink" Target="http://www.youtube.com/embed/q1cRQNXCMOk?start=365&amp;autoplay=1" TargetMode="External"/><Relationship Id="rId15" Type="http://schemas.openxmlformats.org/officeDocument/2006/relationships/hyperlink" Target="https://youtu.be/gb3o1HAAMS0?t=11m53s" TargetMode="External"/><Relationship Id="rId59" Type="http://schemas.openxmlformats.org/officeDocument/2006/relationships/hyperlink" Target="https://youtu.be/sw2hBHIbiAc?t=11m21s" TargetMode="External"/><Relationship Id="rId14" Type="http://schemas.openxmlformats.org/officeDocument/2006/relationships/hyperlink" Target="https://youtu.be/qJegsysrCpw?t=14m54s" TargetMode="External"/><Relationship Id="rId58" Type="http://schemas.openxmlformats.org/officeDocument/2006/relationships/hyperlink" Target="https://youtu.be/Nm4QCu3SE6E?t=7m24s" TargetMode="External"/><Relationship Id="rId17" Type="http://schemas.openxmlformats.org/officeDocument/2006/relationships/hyperlink" Target="https://youtu.be/YkHIssDVtsk?t=9s" TargetMode="External"/><Relationship Id="rId16" Type="http://schemas.openxmlformats.org/officeDocument/2006/relationships/hyperlink" Target="https://youtu.be/NPxASM341Xo?t=5m9s" TargetMode="External"/><Relationship Id="rId19" Type="http://schemas.openxmlformats.org/officeDocument/2006/relationships/hyperlink" Target="https://youtu.be/jhR05Gy28ks?t=14m33s" TargetMode="External"/><Relationship Id="rId18" Type="http://schemas.openxmlformats.org/officeDocument/2006/relationships/hyperlink" Target="https://youtu.be/JKRXR3OrfY4?t=12m45s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p6Hq35YhpBE" TargetMode="External"/><Relationship Id="rId2" Type="http://schemas.openxmlformats.org/officeDocument/2006/relationships/hyperlink" Target="https://www.youtube.com/watch?v=lFSFxylOpRw" TargetMode="External"/><Relationship Id="rId3" Type="http://schemas.openxmlformats.org/officeDocument/2006/relationships/hyperlink" Target="https://www.youtube.com/watch?v=fVefcnuYo28" TargetMode="External"/><Relationship Id="rId4" Type="http://schemas.openxmlformats.org/officeDocument/2006/relationships/hyperlink" Target="https://www.youtube.com/watch?v=Uq3XQcLgyvM" TargetMode="External"/><Relationship Id="rId9" Type="http://schemas.openxmlformats.org/officeDocument/2006/relationships/hyperlink" Target="https://www.youtube.com/watch?v=NhB2UaDSXrA" TargetMode="External"/><Relationship Id="rId5" Type="http://schemas.openxmlformats.org/officeDocument/2006/relationships/hyperlink" Target="https://www.youtube.com/watch?v=jEhoGVD7Af8" TargetMode="External"/><Relationship Id="rId6" Type="http://schemas.openxmlformats.org/officeDocument/2006/relationships/hyperlink" Target="https://www.youtube.com/watch?v=FElOEuLbiJE" TargetMode="External"/><Relationship Id="rId7" Type="http://schemas.openxmlformats.org/officeDocument/2006/relationships/hyperlink" Target="https://www.youtube.com/watch?v=nCTio8L3ydo" TargetMode="External"/><Relationship Id="rId8" Type="http://schemas.openxmlformats.org/officeDocument/2006/relationships/hyperlink" Target="https://www.youtube.com/watch?v=H2BdIyPvbzg" TargetMode="External"/><Relationship Id="rId11" Type="http://schemas.openxmlformats.org/officeDocument/2006/relationships/hyperlink" Target="https://www.youtube.com/watch?v=w6TFi0L1i54&amp;list=PL5-Sg9qYdqj18-N8GgS9OLCzGZEzEz9Es&amp;index=16&amp;t=0s" TargetMode="External"/><Relationship Id="rId10" Type="http://schemas.openxmlformats.org/officeDocument/2006/relationships/hyperlink" Target="https://www.youtube.com/watch?v=Sg1jMdg4Vhc&amp;list=PL5-Sg9qYdqj1_e7eG62xEDwKcawTgDKDY&amp;index=4" TargetMode="External"/><Relationship Id="rId13" Type="http://schemas.openxmlformats.org/officeDocument/2006/relationships/hyperlink" Target="https://www.youtube.com/watch?v=HAK7BHd8AcI" TargetMode="External"/><Relationship Id="rId12" Type="http://schemas.openxmlformats.org/officeDocument/2006/relationships/hyperlink" Target="https://www.youtube.com/watch?v=gROf-zwlzDg&amp;list=PL5-Sg9qYdqj2kNPlYGt8ZV_DwizQqDiCM&amp;index=5&amp;t=0s" TargetMode="External"/><Relationship Id="rId15" Type="http://schemas.openxmlformats.org/officeDocument/2006/relationships/hyperlink" Target="https://www.youtube.com/watch?v=FcFS08aPbm8&amp;list=PL5-Sg9qYdqj2woL97ZH0n1o7rpJluRAYX&amp;index=3" TargetMode="External"/><Relationship Id="rId14" Type="http://schemas.openxmlformats.org/officeDocument/2006/relationships/hyperlink" Target="https://www.youtube.com/watch?v=sqzN2VDk3OY" TargetMode="External"/><Relationship Id="rId17" Type="http://schemas.openxmlformats.org/officeDocument/2006/relationships/hyperlink" Target="https://www.youtube.com/watch?v=RHxXS4kY2Vw&amp;list=PL4vCE52rElhcBgoX95eEV7lLYKzi_iS0k&amp;index=6" TargetMode="External"/><Relationship Id="rId16" Type="http://schemas.openxmlformats.org/officeDocument/2006/relationships/hyperlink" Target="https://www.youtube.com/watch?v=mOjAwNLiFx8&amp;list=PL5-Sg9qYdqj2woL97ZH0n1o7rpJluRAYX&amp;index=13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6.71"/>
    <col customWidth="1" min="2" max="2" width="4.71"/>
    <col customWidth="1" min="3" max="3" width="18.57"/>
    <col customWidth="1" min="4" max="4" width="6.86"/>
    <col customWidth="1" min="5" max="5" width="10.86"/>
    <col customWidth="1" min="6" max="6" width="9.29"/>
    <col customWidth="1" min="7" max="7" width="8.43"/>
    <col customWidth="1" min="8" max="8" width="8.29"/>
    <col customWidth="1" min="9" max="9" width="6.57"/>
    <col customWidth="1" min="10" max="10" width="11.0"/>
    <col customWidth="1" min="11" max="11" width="10.43"/>
    <col customWidth="1" min="12" max="12" width="18.57"/>
    <col customWidth="1" min="13" max="13" width="11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1" t="s">
        <v>12</v>
      </c>
    </row>
    <row r="2" ht="35.25" customHeight="1">
      <c r="A2" s="9" t="s">
        <v>13</v>
      </c>
      <c r="B2" s="10" t="s">
        <v>14</v>
      </c>
      <c r="C2" s="11" t="s">
        <v>15</v>
      </c>
      <c r="D2" s="12">
        <v>44.0</v>
      </c>
      <c r="E2" s="12">
        <v>3.0</v>
      </c>
      <c r="F2" s="10">
        <v>1.0</v>
      </c>
      <c r="G2" s="13">
        <v>2.0</v>
      </c>
      <c r="H2" s="10">
        <v>1.0</v>
      </c>
      <c r="I2" s="10">
        <v>35.0</v>
      </c>
      <c r="J2" s="10">
        <v>192.0</v>
      </c>
      <c r="K2" s="10">
        <v>151.0</v>
      </c>
      <c r="L2" s="12" t="s">
        <v>16</v>
      </c>
      <c r="M2" s="10" t="s">
        <v>17</v>
      </c>
    </row>
    <row r="3" ht="35.25" customHeight="1">
      <c r="A3" s="9" t="s">
        <v>18</v>
      </c>
      <c r="B3" s="10" t="s">
        <v>14</v>
      </c>
      <c r="C3" s="11" t="s">
        <v>19</v>
      </c>
      <c r="D3" s="12">
        <v>6.0</v>
      </c>
      <c r="E3" s="12">
        <v>2.0</v>
      </c>
      <c r="F3" s="10">
        <v>0.0</v>
      </c>
      <c r="G3" s="13">
        <v>7.0</v>
      </c>
      <c r="H3" s="10">
        <v>0.0</v>
      </c>
      <c r="I3" s="10">
        <v>35.0</v>
      </c>
      <c r="J3" s="10">
        <v>186.0</v>
      </c>
      <c r="K3" s="10">
        <v>155.0</v>
      </c>
      <c r="L3" s="12" t="s">
        <v>20</v>
      </c>
      <c r="M3" s="10" t="s">
        <v>17</v>
      </c>
    </row>
    <row r="4" ht="35.25" customHeight="1">
      <c r="A4" s="9" t="s">
        <v>21</v>
      </c>
      <c r="B4" s="10" t="s">
        <v>22</v>
      </c>
      <c r="C4" s="14" t="s">
        <v>23</v>
      </c>
      <c r="D4" s="12">
        <v>1.0</v>
      </c>
      <c r="E4" s="12">
        <v>2.0</v>
      </c>
      <c r="F4" s="10">
        <v>3.0</v>
      </c>
      <c r="G4" s="13">
        <v>1.0</v>
      </c>
      <c r="H4" s="10">
        <v>1.0</v>
      </c>
      <c r="I4" s="10">
        <v>26.0</v>
      </c>
      <c r="J4" s="10">
        <v>187.0</v>
      </c>
      <c r="K4" s="10">
        <v>174.0</v>
      </c>
      <c r="L4" s="12" t="s">
        <v>24</v>
      </c>
      <c r="M4" s="10" t="s">
        <v>25</v>
      </c>
    </row>
    <row r="5" ht="35.25" customHeight="1">
      <c r="A5" s="9" t="s">
        <v>26</v>
      </c>
      <c r="B5" s="10" t="s">
        <v>22</v>
      </c>
      <c r="C5" s="11" t="s">
        <v>27</v>
      </c>
      <c r="D5" s="12">
        <v>1.0</v>
      </c>
      <c r="E5" s="12">
        <v>3.0</v>
      </c>
      <c r="F5" s="10">
        <v>2.0</v>
      </c>
      <c r="G5" s="13">
        <v>2.0</v>
      </c>
      <c r="H5" s="10">
        <v>3.0</v>
      </c>
      <c r="I5" s="10">
        <v>24.0</v>
      </c>
      <c r="J5" s="10">
        <v>175.0</v>
      </c>
      <c r="K5" s="10">
        <v>183.0</v>
      </c>
      <c r="L5" s="12" t="s">
        <v>28</v>
      </c>
      <c r="M5" s="10" t="s">
        <v>29</v>
      </c>
    </row>
    <row r="6" ht="35.25" customHeight="1">
      <c r="A6" s="9" t="s">
        <v>30</v>
      </c>
      <c r="B6" s="10" t="s">
        <v>31</v>
      </c>
      <c r="C6" s="11" t="s">
        <v>32</v>
      </c>
      <c r="D6" s="12">
        <v>0.0</v>
      </c>
      <c r="E6" s="12">
        <v>0.0</v>
      </c>
      <c r="F6" s="10">
        <v>5.0</v>
      </c>
      <c r="G6" s="13">
        <v>0.0</v>
      </c>
      <c r="H6" s="10">
        <v>1.0</v>
      </c>
      <c r="I6" s="10">
        <v>28.0</v>
      </c>
      <c r="J6" s="10">
        <v>184.0</v>
      </c>
      <c r="K6" s="10">
        <v>170.0</v>
      </c>
      <c r="L6" s="12" t="s">
        <v>33</v>
      </c>
      <c r="M6" s="10" t="s">
        <v>34</v>
      </c>
    </row>
    <row r="7" ht="35.25" customHeight="1">
      <c r="A7" s="9" t="s">
        <v>35</v>
      </c>
      <c r="B7" s="10" t="s">
        <v>31</v>
      </c>
      <c r="C7" s="11" t="s">
        <v>36</v>
      </c>
      <c r="D7" s="12">
        <v>2.0</v>
      </c>
      <c r="E7" s="12">
        <v>6.0</v>
      </c>
      <c r="F7" s="10">
        <v>1.0</v>
      </c>
      <c r="G7" s="13">
        <v>2.0</v>
      </c>
      <c r="H7" s="10">
        <v>2.0</v>
      </c>
      <c r="I7" s="10">
        <v>27.0</v>
      </c>
      <c r="J7" s="10">
        <v>179.0</v>
      </c>
      <c r="K7" s="10">
        <v>172.0</v>
      </c>
      <c r="L7" s="12" t="s">
        <v>37</v>
      </c>
      <c r="M7" s="10" t="s">
        <v>38</v>
      </c>
    </row>
    <row r="8" ht="35.25" customHeight="1">
      <c r="A8" s="9" t="s">
        <v>39</v>
      </c>
      <c r="B8" s="10" t="s">
        <v>31</v>
      </c>
      <c r="C8" s="11" t="s">
        <v>40</v>
      </c>
      <c r="D8" s="12">
        <v>0.0</v>
      </c>
      <c r="E8" s="12">
        <v>2.0</v>
      </c>
      <c r="F8" s="10">
        <v>0.0</v>
      </c>
      <c r="G8" s="13">
        <v>0.0</v>
      </c>
      <c r="H8" s="10">
        <v>1.0</v>
      </c>
      <c r="I8" s="10">
        <v>26.0</v>
      </c>
      <c r="J8" s="10">
        <v>182.0</v>
      </c>
      <c r="K8" s="10">
        <v>161.0</v>
      </c>
      <c r="L8" s="12" t="s">
        <v>41</v>
      </c>
      <c r="M8" s="10" t="s">
        <v>42</v>
      </c>
    </row>
    <row r="9" ht="35.25" customHeight="1">
      <c r="A9" s="9" t="s">
        <v>43</v>
      </c>
      <c r="B9" s="15" t="s">
        <v>44</v>
      </c>
      <c r="C9" s="14" t="s">
        <v>45</v>
      </c>
      <c r="D9" s="12">
        <v>0.0</v>
      </c>
      <c r="E9" s="12">
        <v>1.0</v>
      </c>
      <c r="F9" s="10">
        <v>4.0</v>
      </c>
      <c r="G9" s="13">
        <v>0.0</v>
      </c>
      <c r="H9" s="10">
        <v>4.0</v>
      </c>
      <c r="I9" s="10">
        <v>35.0</v>
      </c>
      <c r="J9" s="10">
        <v>191.0</v>
      </c>
      <c r="K9" s="10">
        <v>160.0</v>
      </c>
      <c r="L9" s="12" t="s">
        <v>46</v>
      </c>
      <c r="M9" s="10" t="s">
        <v>34</v>
      </c>
    </row>
    <row r="10" ht="35.25" customHeight="1">
      <c r="A10" s="9" t="s">
        <v>47</v>
      </c>
      <c r="B10" s="10" t="s">
        <v>44</v>
      </c>
      <c r="C10" s="10" t="s">
        <v>48</v>
      </c>
      <c r="D10" s="12">
        <v>0.0</v>
      </c>
      <c r="E10" s="12">
        <v>1.0</v>
      </c>
      <c r="F10" s="10">
        <v>1.0</v>
      </c>
      <c r="G10" s="13">
        <v>3.0</v>
      </c>
      <c r="H10" s="10">
        <v>6.0</v>
      </c>
      <c r="I10" s="10">
        <v>29.0</v>
      </c>
      <c r="J10" s="10">
        <v>184.0</v>
      </c>
      <c r="K10" s="10">
        <v>148.0</v>
      </c>
      <c r="L10" s="12" t="s">
        <v>41</v>
      </c>
      <c r="M10" s="10" t="s">
        <v>49</v>
      </c>
    </row>
    <row r="11" ht="35.25" customHeight="1">
      <c r="A11" s="9" t="s">
        <v>50</v>
      </c>
      <c r="B11" s="10">
        <v>1.0</v>
      </c>
      <c r="C11" s="11" t="s">
        <v>51</v>
      </c>
      <c r="D11" s="12">
        <v>2.0</v>
      </c>
      <c r="E11" s="12">
        <v>2.0</v>
      </c>
      <c r="F11" s="10">
        <v>3.0</v>
      </c>
      <c r="G11" s="13">
        <v>1.0</v>
      </c>
      <c r="H11" s="10">
        <v>0.0</v>
      </c>
      <c r="I11" s="10">
        <v>28.0</v>
      </c>
      <c r="J11" s="10">
        <v>191.0</v>
      </c>
      <c r="K11" s="10">
        <v>173.0</v>
      </c>
      <c r="L11" s="12" t="s">
        <v>52</v>
      </c>
      <c r="M11" s="10" t="s">
        <v>29</v>
      </c>
    </row>
    <row r="12" ht="35.25" customHeight="1">
      <c r="A12" s="9" t="s">
        <v>53</v>
      </c>
      <c r="B12" s="10">
        <v>1.0</v>
      </c>
      <c r="C12" s="11" t="s">
        <v>54</v>
      </c>
      <c r="D12" s="12">
        <v>0.0</v>
      </c>
      <c r="E12" s="12">
        <v>0.0</v>
      </c>
      <c r="F12" s="10">
        <v>1.0</v>
      </c>
      <c r="G12" s="13">
        <v>0.0</v>
      </c>
      <c r="H12" s="10">
        <v>0.0</v>
      </c>
      <c r="I12" s="10">
        <v>25.0</v>
      </c>
      <c r="J12" s="10">
        <v>184.0</v>
      </c>
      <c r="K12" s="10">
        <v>163.0</v>
      </c>
      <c r="L12" s="12" t="s">
        <v>28</v>
      </c>
      <c r="M12" s="10" t="s">
        <v>55</v>
      </c>
    </row>
    <row r="13" ht="35.25" customHeight="1">
      <c r="A13" s="9" t="s">
        <v>56</v>
      </c>
      <c r="B13" s="10">
        <v>2.0</v>
      </c>
      <c r="C13" s="15" t="s">
        <v>57</v>
      </c>
      <c r="D13" s="12">
        <v>0.0</v>
      </c>
      <c r="E13" s="12">
        <v>0.0</v>
      </c>
      <c r="F13" s="10">
        <v>0.0</v>
      </c>
      <c r="G13" s="13">
        <v>2.0</v>
      </c>
      <c r="H13" s="10">
        <v>7.0</v>
      </c>
      <c r="I13" s="10">
        <v>28.0</v>
      </c>
      <c r="J13" s="10">
        <v>185.0</v>
      </c>
      <c r="K13" s="10">
        <v>162.0</v>
      </c>
      <c r="L13" s="12" t="s">
        <v>46</v>
      </c>
      <c r="M13" s="10" t="s">
        <v>49</v>
      </c>
    </row>
    <row r="14" ht="35.25" customHeight="1">
      <c r="A14" s="9" t="s">
        <v>58</v>
      </c>
      <c r="B14" s="10">
        <v>2.0</v>
      </c>
      <c r="C14" s="11" t="s">
        <v>59</v>
      </c>
      <c r="D14" s="12">
        <v>1.0</v>
      </c>
      <c r="E14" s="12">
        <v>1.0</v>
      </c>
      <c r="F14" s="10">
        <v>1.0</v>
      </c>
      <c r="G14" s="13">
        <v>1.0</v>
      </c>
      <c r="H14" s="10">
        <v>3.0</v>
      </c>
      <c r="I14" s="10">
        <v>35.0</v>
      </c>
      <c r="J14" s="10">
        <v>189.0</v>
      </c>
      <c r="K14" s="10">
        <v>168.0</v>
      </c>
      <c r="L14" s="12" t="s">
        <v>60</v>
      </c>
      <c r="M14" s="10" t="s">
        <v>38</v>
      </c>
    </row>
    <row r="15" ht="35.25" customHeight="1">
      <c r="A15" s="9" t="s">
        <v>61</v>
      </c>
      <c r="B15" s="15">
        <v>3.0</v>
      </c>
      <c r="C15" s="10" t="s">
        <v>62</v>
      </c>
      <c r="D15" s="12">
        <v>0.0</v>
      </c>
      <c r="E15" s="12">
        <v>0.0</v>
      </c>
      <c r="F15" s="10">
        <v>0.0</v>
      </c>
      <c r="G15" s="13">
        <v>5.0</v>
      </c>
      <c r="H15" s="10">
        <v>6.0</v>
      </c>
      <c r="I15" s="10">
        <v>33.0</v>
      </c>
      <c r="J15" s="10">
        <v>187.0</v>
      </c>
      <c r="K15" s="10">
        <v>155.0</v>
      </c>
      <c r="L15" s="12" t="s">
        <v>63</v>
      </c>
      <c r="M15" s="10" t="s">
        <v>38</v>
      </c>
    </row>
    <row r="16" ht="35.25" customHeight="1">
      <c r="A16" s="9" t="s">
        <v>64</v>
      </c>
      <c r="B16" s="10">
        <v>3.0</v>
      </c>
      <c r="C16" s="16" t="s">
        <v>65</v>
      </c>
      <c r="D16" s="17" t="s">
        <v>66</v>
      </c>
      <c r="E16" s="17" t="s">
        <v>66</v>
      </c>
      <c r="F16" s="18" t="s">
        <v>67</v>
      </c>
      <c r="G16" s="19" t="s">
        <v>66</v>
      </c>
      <c r="H16" s="18" t="s">
        <v>66</v>
      </c>
      <c r="I16" s="10">
        <v>25.0</v>
      </c>
      <c r="J16" s="10">
        <v>169.0</v>
      </c>
      <c r="K16" s="10">
        <v>114.0</v>
      </c>
      <c r="L16" s="20" t="s">
        <v>52</v>
      </c>
      <c r="M16" s="21" t="s">
        <v>68</v>
      </c>
    </row>
    <row r="17" ht="35.25" customHeight="1">
      <c r="A17" s="9" t="s">
        <v>69</v>
      </c>
      <c r="B17" s="10">
        <v>4.0</v>
      </c>
      <c r="C17" s="11" t="s">
        <v>70</v>
      </c>
      <c r="D17" s="12">
        <v>0.0</v>
      </c>
      <c r="E17" s="12">
        <v>0.0</v>
      </c>
      <c r="F17" s="10">
        <v>1.0</v>
      </c>
      <c r="G17" s="13">
        <v>0.0</v>
      </c>
      <c r="H17" s="10">
        <v>0.0</v>
      </c>
      <c r="I17" s="10">
        <v>26.0</v>
      </c>
      <c r="J17" s="10">
        <v>185.0</v>
      </c>
      <c r="K17" s="10">
        <v>173.0</v>
      </c>
      <c r="L17" s="12" t="s">
        <v>33</v>
      </c>
      <c r="M17" s="10" t="s">
        <v>55</v>
      </c>
    </row>
    <row r="18" ht="35.25" customHeight="1">
      <c r="A18" s="9" t="s">
        <v>71</v>
      </c>
      <c r="B18" s="10">
        <v>4.0</v>
      </c>
      <c r="C18" s="11" t="s">
        <v>72</v>
      </c>
      <c r="D18" s="12">
        <v>1.0</v>
      </c>
      <c r="E18" s="12">
        <v>2.0</v>
      </c>
      <c r="F18" s="10">
        <v>6.0</v>
      </c>
      <c r="G18" s="13">
        <v>3.0</v>
      </c>
      <c r="H18" s="10">
        <v>2.0</v>
      </c>
      <c r="I18" s="10">
        <v>32.0</v>
      </c>
      <c r="J18" s="10">
        <v>192.0</v>
      </c>
      <c r="K18" s="10">
        <v>176.0</v>
      </c>
      <c r="L18" s="12" t="s">
        <v>73</v>
      </c>
      <c r="M18" s="10" t="s">
        <v>74</v>
      </c>
    </row>
    <row r="19" ht="35.25" customHeight="1">
      <c r="A19" s="22" t="s">
        <v>75</v>
      </c>
      <c r="B19" s="10">
        <v>5.0</v>
      </c>
      <c r="C19" s="11" t="s">
        <v>76</v>
      </c>
      <c r="D19" s="12">
        <v>0.0</v>
      </c>
      <c r="E19" s="12">
        <v>0.0</v>
      </c>
      <c r="F19" s="10">
        <v>1.0</v>
      </c>
      <c r="G19" s="13">
        <v>0.0</v>
      </c>
      <c r="H19" s="10">
        <v>0.0</v>
      </c>
      <c r="I19" s="10">
        <v>24.0</v>
      </c>
      <c r="J19" s="10">
        <v>187.0</v>
      </c>
      <c r="K19" s="10">
        <v>138.0</v>
      </c>
      <c r="L19" s="12" t="s">
        <v>20</v>
      </c>
      <c r="M19" s="10" t="s">
        <v>77</v>
      </c>
    </row>
    <row r="20" ht="35.25" customHeight="1">
      <c r="A20" s="9" t="s">
        <v>78</v>
      </c>
      <c r="B20" s="10">
        <v>5.0</v>
      </c>
      <c r="C20" s="11" t="s">
        <v>79</v>
      </c>
      <c r="D20" s="12">
        <v>0.0</v>
      </c>
      <c r="E20" s="12">
        <v>0.0</v>
      </c>
      <c r="F20" s="10">
        <v>1.0</v>
      </c>
      <c r="G20" s="13">
        <v>0.0</v>
      </c>
      <c r="H20" s="10">
        <v>3.0</v>
      </c>
      <c r="I20" s="10">
        <v>33.0</v>
      </c>
      <c r="J20" s="10">
        <v>185.0</v>
      </c>
      <c r="K20" s="10">
        <v>166.0</v>
      </c>
      <c r="L20" s="12" t="s">
        <v>52</v>
      </c>
      <c r="M20" s="10" t="s">
        <v>34</v>
      </c>
    </row>
    <row r="21" ht="35.25" customHeight="1">
      <c r="A21" s="9" t="s">
        <v>80</v>
      </c>
      <c r="B21" s="15">
        <v>6.0</v>
      </c>
      <c r="C21" s="11" t="s">
        <v>81</v>
      </c>
      <c r="D21" s="12">
        <v>0.0</v>
      </c>
      <c r="E21" s="12">
        <v>3.0</v>
      </c>
      <c r="F21" s="10">
        <v>4.0</v>
      </c>
      <c r="G21" s="13">
        <v>2.0</v>
      </c>
      <c r="H21" s="10">
        <v>4.0</v>
      </c>
      <c r="I21" s="10">
        <v>30.0</v>
      </c>
      <c r="J21" s="10">
        <v>187.0</v>
      </c>
      <c r="K21" s="10">
        <v>175.0</v>
      </c>
      <c r="L21" s="12" t="s">
        <v>82</v>
      </c>
      <c r="M21" s="10" t="s">
        <v>29</v>
      </c>
    </row>
    <row r="22" ht="35.25" customHeight="1">
      <c r="A22" s="9" t="s">
        <v>83</v>
      </c>
      <c r="B22" s="10">
        <v>6.0</v>
      </c>
      <c r="C22" s="11" t="s">
        <v>84</v>
      </c>
      <c r="D22" s="12">
        <v>0.0</v>
      </c>
      <c r="E22" s="12">
        <v>0.0</v>
      </c>
      <c r="F22" s="10">
        <v>0.0</v>
      </c>
      <c r="G22" s="13">
        <v>0.0</v>
      </c>
      <c r="H22" s="10">
        <v>0.0</v>
      </c>
      <c r="I22" s="10">
        <v>26.0</v>
      </c>
      <c r="J22" s="10">
        <v>193.0</v>
      </c>
      <c r="K22" s="10">
        <v>160.0</v>
      </c>
      <c r="L22" s="12" t="s">
        <v>85</v>
      </c>
      <c r="M22" s="10" t="s">
        <v>86</v>
      </c>
    </row>
    <row r="23" ht="35.25" customHeight="1">
      <c r="A23" s="9" t="s">
        <v>87</v>
      </c>
      <c r="B23" s="10">
        <v>7.0</v>
      </c>
      <c r="C23" s="14" t="s">
        <v>88</v>
      </c>
      <c r="D23" s="12">
        <v>0.0</v>
      </c>
      <c r="E23" s="12">
        <v>0.0</v>
      </c>
      <c r="F23" s="10">
        <v>1.0</v>
      </c>
      <c r="G23" s="13">
        <v>1.0</v>
      </c>
      <c r="H23" s="10">
        <v>0.0</v>
      </c>
      <c r="I23" s="10">
        <v>29.0</v>
      </c>
      <c r="J23" s="10">
        <v>190.0</v>
      </c>
      <c r="K23" s="10">
        <v>148.0</v>
      </c>
      <c r="L23" s="12" t="s">
        <v>85</v>
      </c>
      <c r="M23" s="10" t="s">
        <v>49</v>
      </c>
    </row>
    <row r="24" ht="35.25" customHeight="1">
      <c r="A24" s="9" t="s">
        <v>89</v>
      </c>
      <c r="B24" s="10">
        <v>7.0</v>
      </c>
      <c r="C24" s="11" t="s">
        <v>90</v>
      </c>
      <c r="D24" s="12">
        <v>0.0</v>
      </c>
      <c r="E24" s="12">
        <v>0.0</v>
      </c>
      <c r="F24" s="10">
        <v>3.0</v>
      </c>
      <c r="G24" s="13">
        <v>1.0</v>
      </c>
      <c r="H24" s="10">
        <v>1.0</v>
      </c>
      <c r="I24" s="10">
        <v>34.0</v>
      </c>
      <c r="J24" s="10">
        <v>191.0</v>
      </c>
      <c r="K24" s="10">
        <v>188.0</v>
      </c>
      <c r="L24" s="12" t="s">
        <v>73</v>
      </c>
      <c r="M24" s="10" t="s">
        <v>38</v>
      </c>
    </row>
    <row r="25" ht="35.25" customHeight="1">
      <c r="A25" s="22" t="s">
        <v>91</v>
      </c>
      <c r="B25" s="10">
        <v>8.0</v>
      </c>
      <c r="C25" s="10" t="s">
        <v>92</v>
      </c>
      <c r="D25" s="12">
        <v>1.0</v>
      </c>
      <c r="E25" s="12">
        <v>1.0</v>
      </c>
      <c r="F25" s="10">
        <v>1.0</v>
      </c>
      <c r="G25" s="13">
        <v>0.0</v>
      </c>
      <c r="H25" s="10">
        <v>1.0</v>
      </c>
      <c r="I25" s="10">
        <v>34.0</v>
      </c>
      <c r="J25" s="10">
        <v>183.0</v>
      </c>
      <c r="K25" s="10">
        <v>192.0</v>
      </c>
      <c r="L25" s="12" t="s">
        <v>93</v>
      </c>
      <c r="M25" s="10" t="s">
        <v>94</v>
      </c>
    </row>
    <row r="26" ht="35.25" customHeight="1">
      <c r="A26" s="22" t="s">
        <v>95</v>
      </c>
      <c r="B26" s="10">
        <v>8.0</v>
      </c>
      <c r="C26" s="11" t="s">
        <v>96</v>
      </c>
      <c r="D26" s="12">
        <v>0.0</v>
      </c>
      <c r="E26" s="12">
        <v>0.0</v>
      </c>
      <c r="F26" s="10">
        <v>0.0</v>
      </c>
      <c r="G26" s="13">
        <v>0.0</v>
      </c>
      <c r="H26" s="10">
        <v>0.0</v>
      </c>
      <c r="I26" s="10">
        <v>25.0</v>
      </c>
      <c r="J26" s="10">
        <v>180.0</v>
      </c>
      <c r="K26" s="10">
        <v>129.0</v>
      </c>
      <c r="L26" s="12" t="s">
        <v>97</v>
      </c>
      <c r="M26" s="10" t="s">
        <v>98</v>
      </c>
    </row>
    <row r="27" ht="35.25" customHeight="1">
      <c r="A27" s="22" t="s">
        <v>99</v>
      </c>
      <c r="B27" s="10">
        <v>9.0</v>
      </c>
      <c r="C27" s="11" t="s">
        <v>100</v>
      </c>
      <c r="D27" s="12">
        <v>0.0</v>
      </c>
      <c r="E27" s="12">
        <v>0.0</v>
      </c>
      <c r="F27" s="10">
        <v>0.0</v>
      </c>
      <c r="G27" s="13">
        <v>1.0</v>
      </c>
      <c r="H27" s="10">
        <v>0.0</v>
      </c>
      <c r="I27" s="10">
        <v>25.0</v>
      </c>
      <c r="J27" s="10">
        <v>169.0</v>
      </c>
      <c r="K27" s="10">
        <v>92.0</v>
      </c>
      <c r="L27" s="12" t="s">
        <v>16</v>
      </c>
      <c r="M27" s="10" t="s">
        <v>86</v>
      </c>
    </row>
    <row r="28" ht="35.25" customHeight="1">
      <c r="A28" s="9" t="s">
        <v>101</v>
      </c>
      <c r="B28" s="10">
        <v>9.0</v>
      </c>
      <c r="C28" s="10" t="s">
        <v>102</v>
      </c>
      <c r="D28" s="12">
        <v>0.0</v>
      </c>
      <c r="E28" s="12">
        <v>1.0</v>
      </c>
      <c r="F28" s="10">
        <v>3.0</v>
      </c>
      <c r="G28" s="13">
        <v>0.0</v>
      </c>
      <c r="H28" s="10">
        <v>2.0</v>
      </c>
      <c r="I28" s="10">
        <v>24.0</v>
      </c>
      <c r="J28" s="10">
        <v>177.0</v>
      </c>
      <c r="K28" s="10">
        <v>157.0</v>
      </c>
      <c r="L28" s="12" t="s">
        <v>103</v>
      </c>
      <c r="M28" s="10" t="s">
        <v>49</v>
      </c>
    </row>
    <row r="29" ht="35.25" customHeight="1">
      <c r="A29" s="9" t="s">
        <v>104</v>
      </c>
      <c r="B29" s="10">
        <v>10.0</v>
      </c>
      <c r="C29" s="11" t="s">
        <v>105</v>
      </c>
      <c r="D29" s="12">
        <v>0.0</v>
      </c>
      <c r="E29" s="12">
        <v>0.0</v>
      </c>
      <c r="F29" s="10">
        <v>1.0</v>
      </c>
      <c r="G29" s="13">
        <v>0.0</v>
      </c>
      <c r="H29" s="10">
        <v>1.0</v>
      </c>
      <c r="I29" s="10">
        <v>33.0</v>
      </c>
      <c r="J29" s="10">
        <v>182.0</v>
      </c>
      <c r="K29" s="10">
        <v>139.0</v>
      </c>
      <c r="L29" s="12" t="s">
        <v>63</v>
      </c>
      <c r="M29" s="10" t="s">
        <v>55</v>
      </c>
    </row>
    <row r="30" ht="35.25" customHeight="1">
      <c r="A30" s="9" t="s">
        <v>106</v>
      </c>
      <c r="B30" s="10">
        <v>10.0</v>
      </c>
      <c r="C30" s="11" t="s">
        <v>107</v>
      </c>
      <c r="D30" s="12">
        <v>0.0</v>
      </c>
      <c r="E30" s="12">
        <v>0.0</v>
      </c>
      <c r="F30" s="10">
        <v>0.0</v>
      </c>
      <c r="G30" s="13">
        <v>0.0</v>
      </c>
      <c r="H30" s="10">
        <v>0.0</v>
      </c>
      <c r="I30" s="10">
        <v>28.0</v>
      </c>
      <c r="J30" s="10">
        <v>177.0</v>
      </c>
      <c r="K30" s="10">
        <v>131.0</v>
      </c>
      <c r="L30" s="12" t="s">
        <v>108</v>
      </c>
      <c r="M30" s="10" t="s">
        <v>109</v>
      </c>
    </row>
    <row r="31" ht="35.25" customHeight="1">
      <c r="A31" s="9" t="s">
        <v>110</v>
      </c>
      <c r="B31" s="10">
        <v>11.0</v>
      </c>
      <c r="C31" s="11" t="s">
        <v>111</v>
      </c>
      <c r="D31" s="12">
        <v>0.0</v>
      </c>
      <c r="E31" s="12">
        <v>0.0</v>
      </c>
      <c r="F31" s="10">
        <v>0.0</v>
      </c>
      <c r="G31" s="13">
        <v>1.0</v>
      </c>
      <c r="H31" s="10">
        <v>3.0</v>
      </c>
      <c r="I31" s="10">
        <v>31.0</v>
      </c>
      <c r="J31" s="10">
        <v>181.0</v>
      </c>
      <c r="K31" s="10">
        <v>171.0</v>
      </c>
      <c r="L31" s="12" t="s">
        <v>112</v>
      </c>
      <c r="M31" s="10" t="s">
        <v>49</v>
      </c>
    </row>
    <row r="32" ht="35.25" customHeight="1">
      <c r="A32" s="9" t="s">
        <v>113</v>
      </c>
      <c r="B32" s="10">
        <v>11.0</v>
      </c>
      <c r="C32" s="11" t="s">
        <v>114</v>
      </c>
      <c r="D32" s="12">
        <v>1.0</v>
      </c>
      <c r="E32" s="12">
        <v>3.0</v>
      </c>
      <c r="F32" s="10">
        <v>0.0</v>
      </c>
      <c r="G32" s="13">
        <v>4.0</v>
      </c>
      <c r="H32" s="10">
        <v>3.0</v>
      </c>
      <c r="I32" s="10">
        <v>36.0</v>
      </c>
      <c r="J32" s="10">
        <v>181.0</v>
      </c>
      <c r="K32" s="10">
        <v>186.0</v>
      </c>
      <c r="L32" s="12" t="s">
        <v>108</v>
      </c>
      <c r="M32" s="10" t="s">
        <v>74</v>
      </c>
    </row>
    <row r="33" ht="35.25" customHeight="1">
      <c r="A33" s="22" t="s">
        <v>115</v>
      </c>
      <c r="B33" s="10">
        <v>12.0</v>
      </c>
      <c r="C33" s="11" t="s">
        <v>116</v>
      </c>
      <c r="D33" s="12">
        <v>0.0</v>
      </c>
      <c r="E33" s="12">
        <v>0.0</v>
      </c>
      <c r="F33" s="10">
        <v>0.0</v>
      </c>
      <c r="G33" s="13">
        <v>0.0</v>
      </c>
      <c r="H33" s="10">
        <v>0.0</v>
      </c>
      <c r="I33" s="10">
        <v>21.0</v>
      </c>
      <c r="J33" s="10">
        <v>191.0</v>
      </c>
      <c r="K33" s="10">
        <v>156.0</v>
      </c>
      <c r="L33" s="12" t="s">
        <v>108</v>
      </c>
      <c r="M33" s="10" t="s">
        <v>117</v>
      </c>
    </row>
    <row r="34" ht="35.25" customHeight="1">
      <c r="A34" s="9" t="s">
        <v>118</v>
      </c>
      <c r="B34" s="10">
        <v>12.0</v>
      </c>
      <c r="C34" s="11" t="s">
        <v>119</v>
      </c>
      <c r="D34" s="12">
        <v>0.0</v>
      </c>
      <c r="E34" s="12">
        <v>0.0</v>
      </c>
      <c r="F34" s="10">
        <v>3.0</v>
      </c>
      <c r="G34" s="13">
        <v>0.0</v>
      </c>
      <c r="H34" s="10">
        <v>0.0</v>
      </c>
      <c r="I34" s="10">
        <v>33.0</v>
      </c>
      <c r="J34" s="10">
        <v>195.0</v>
      </c>
      <c r="K34" s="10">
        <v>192.0</v>
      </c>
      <c r="L34" s="12" t="s">
        <v>120</v>
      </c>
      <c r="M34" s="10" t="s">
        <v>38</v>
      </c>
    </row>
    <row r="35" ht="35.25" customHeight="1">
      <c r="A35" s="9" t="s">
        <v>121</v>
      </c>
      <c r="B35" s="10">
        <v>13.0</v>
      </c>
      <c r="C35" s="11" t="s">
        <v>122</v>
      </c>
      <c r="D35" s="12">
        <v>0.0</v>
      </c>
      <c r="E35" s="12">
        <v>0.0</v>
      </c>
      <c r="F35" s="10">
        <v>0.0</v>
      </c>
      <c r="G35" s="13">
        <v>0.0</v>
      </c>
      <c r="H35" s="10">
        <v>0.0</v>
      </c>
      <c r="I35" s="10">
        <v>25.0</v>
      </c>
      <c r="J35" s="10">
        <v>180.0</v>
      </c>
      <c r="K35" s="10">
        <v>151.0</v>
      </c>
      <c r="L35" s="12" t="s">
        <v>123</v>
      </c>
      <c r="M35" s="10" t="s">
        <v>94</v>
      </c>
    </row>
    <row r="36" ht="35.25" customHeight="1">
      <c r="A36" s="9" t="s">
        <v>124</v>
      </c>
      <c r="B36" s="10">
        <v>13.0</v>
      </c>
      <c r="C36" s="14" t="s">
        <v>125</v>
      </c>
      <c r="D36" s="12">
        <v>0.0</v>
      </c>
      <c r="E36" s="12">
        <v>0.0</v>
      </c>
      <c r="F36" s="10">
        <v>1.0</v>
      </c>
      <c r="G36" s="13">
        <v>0.0</v>
      </c>
      <c r="H36" s="10">
        <v>0.0</v>
      </c>
      <c r="I36" s="10">
        <v>30.0</v>
      </c>
      <c r="J36" s="10">
        <v>174.0</v>
      </c>
      <c r="K36" s="10">
        <v>110.0</v>
      </c>
      <c r="L36" s="12" t="s">
        <v>16</v>
      </c>
      <c r="M36" s="10" t="s">
        <v>126</v>
      </c>
    </row>
    <row r="37" ht="35.25" customHeight="1">
      <c r="A37" s="22" t="s">
        <v>127</v>
      </c>
      <c r="B37" s="10">
        <v>14.0</v>
      </c>
      <c r="C37" s="11" t="s">
        <v>128</v>
      </c>
      <c r="D37" s="12">
        <v>0.0</v>
      </c>
      <c r="E37" s="12">
        <v>0.0</v>
      </c>
      <c r="F37" s="10">
        <v>0.0</v>
      </c>
      <c r="G37" s="10">
        <v>0.0</v>
      </c>
      <c r="H37" s="12">
        <v>0.0</v>
      </c>
      <c r="I37" s="10">
        <v>28.0</v>
      </c>
      <c r="J37" s="10">
        <v>175.0</v>
      </c>
      <c r="K37" s="10">
        <v>131.0</v>
      </c>
      <c r="L37" s="12" t="s">
        <v>41</v>
      </c>
      <c r="M37" s="10" t="s">
        <v>129</v>
      </c>
    </row>
    <row r="38" ht="35.25" customHeight="1">
      <c r="A38" s="9" t="s">
        <v>130</v>
      </c>
      <c r="B38" s="10">
        <v>14.0</v>
      </c>
      <c r="C38" s="11" t="s">
        <v>131</v>
      </c>
      <c r="D38" s="12">
        <v>0.0</v>
      </c>
      <c r="E38" s="12">
        <v>0.0</v>
      </c>
      <c r="F38" s="10">
        <v>2.0</v>
      </c>
      <c r="G38" s="13">
        <v>0.0</v>
      </c>
      <c r="H38" s="10">
        <v>2.0</v>
      </c>
      <c r="I38" s="10">
        <v>26.0</v>
      </c>
      <c r="J38" s="10">
        <v>188.0</v>
      </c>
      <c r="K38" s="10">
        <v>149.0</v>
      </c>
      <c r="L38" s="12" t="s">
        <v>132</v>
      </c>
      <c r="M38" s="10" t="s">
        <v>133</v>
      </c>
    </row>
    <row r="39" ht="35.25" customHeight="1">
      <c r="A39" s="22" t="s">
        <v>134</v>
      </c>
      <c r="B39" s="10">
        <v>15.0</v>
      </c>
      <c r="C39" s="11" t="s">
        <v>135</v>
      </c>
      <c r="D39" s="12">
        <v>0.0</v>
      </c>
      <c r="E39" s="12">
        <v>0.0</v>
      </c>
      <c r="F39" s="10">
        <v>1.0</v>
      </c>
      <c r="G39" s="13">
        <v>0.0</v>
      </c>
      <c r="H39" s="10">
        <v>0.0</v>
      </c>
      <c r="I39" s="10">
        <v>31.0</v>
      </c>
      <c r="J39" s="10">
        <v>179.0</v>
      </c>
      <c r="K39" s="10">
        <v>160.0</v>
      </c>
      <c r="L39" s="12" t="s">
        <v>93</v>
      </c>
      <c r="M39" s="10" t="s">
        <v>136</v>
      </c>
    </row>
    <row r="40" ht="35.25" customHeight="1">
      <c r="A40" s="9" t="s">
        <v>137</v>
      </c>
      <c r="B40" s="10">
        <v>15.0</v>
      </c>
      <c r="C40" s="11" t="s">
        <v>138</v>
      </c>
      <c r="D40" s="12">
        <v>0.0</v>
      </c>
      <c r="E40" s="12">
        <v>1.0</v>
      </c>
      <c r="F40" s="10">
        <v>3.0</v>
      </c>
      <c r="G40" s="13">
        <v>0.0</v>
      </c>
      <c r="H40" s="10">
        <v>5.0</v>
      </c>
      <c r="I40" s="10">
        <v>36.0</v>
      </c>
      <c r="J40" s="10">
        <v>177.0</v>
      </c>
      <c r="K40" s="10">
        <v>132.0</v>
      </c>
      <c r="L40" s="12" t="s">
        <v>139</v>
      </c>
      <c r="M40" s="10" t="s">
        <v>49</v>
      </c>
    </row>
    <row r="41" ht="35.25" customHeight="1">
      <c r="A41" s="9" t="s">
        <v>140</v>
      </c>
      <c r="B41" s="10">
        <v>16.0</v>
      </c>
      <c r="C41" s="11" t="s">
        <v>141</v>
      </c>
      <c r="D41" s="12">
        <v>0.0</v>
      </c>
      <c r="E41" s="12">
        <v>0.0</v>
      </c>
      <c r="F41" s="10">
        <v>1.0</v>
      </c>
      <c r="G41" s="13">
        <v>0.0</v>
      </c>
      <c r="H41" s="10">
        <v>0.0</v>
      </c>
      <c r="I41" s="10">
        <v>30.0</v>
      </c>
      <c r="J41" s="10">
        <v>184.0</v>
      </c>
      <c r="K41" s="10">
        <v>151.0</v>
      </c>
      <c r="L41" s="12" t="s">
        <v>120</v>
      </c>
      <c r="M41" s="10" t="s">
        <v>98</v>
      </c>
    </row>
    <row r="42" ht="35.25" customHeight="1">
      <c r="A42" s="22" t="s">
        <v>142</v>
      </c>
      <c r="B42" s="10">
        <v>16.0</v>
      </c>
      <c r="C42" s="11" t="s">
        <v>143</v>
      </c>
      <c r="D42" s="12">
        <v>0.0</v>
      </c>
      <c r="E42" s="12">
        <v>0.0</v>
      </c>
      <c r="F42" s="10">
        <v>0.0</v>
      </c>
      <c r="G42" s="10">
        <v>0.0</v>
      </c>
      <c r="H42" s="12">
        <v>0.0</v>
      </c>
      <c r="I42" s="10">
        <v>21.0</v>
      </c>
      <c r="J42" s="10">
        <v>186.0</v>
      </c>
      <c r="K42" s="10">
        <v>131.0</v>
      </c>
      <c r="L42" s="12" t="s">
        <v>123</v>
      </c>
      <c r="M42" s="10" t="s">
        <v>144</v>
      </c>
    </row>
    <row r="43" ht="35.25" customHeight="1">
      <c r="A43" s="9" t="s">
        <v>145</v>
      </c>
      <c r="B43" s="10">
        <v>17.0</v>
      </c>
      <c r="C43" s="11" t="s">
        <v>146</v>
      </c>
      <c r="D43" s="12">
        <v>0.0</v>
      </c>
      <c r="E43" s="12">
        <v>2.0</v>
      </c>
      <c r="F43" s="10">
        <v>1.0</v>
      </c>
      <c r="G43" s="13">
        <v>0.0</v>
      </c>
      <c r="H43" s="10">
        <v>8.0</v>
      </c>
      <c r="I43" s="10">
        <v>27.0</v>
      </c>
      <c r="J43" s="10">
        <v>192.0</v>
      </c>
      <c r="K43" s="10">
        <v>198.0</v>
      </c>
      <c r="L43" s="12" t="s">
        <v>147</v>
      </c>
      <c r="M43" s="10" t="s">
        <v>38</v>
      </c>
    </row>
    <row r="44" ht="35.25" customHeight="1">
      <c r="A44" s="9" t="s">
        <v>148</v>
      </c>
      <c r="B44" s="10" t="s">
        <v>149</v>
      </c>
      <c r="C44" s="11" t="s">
        <v>150</v>
      </c>
      <c r="D44" s="12">
        <v>0.0</v>
      </c>
      <c r="E44" s="12">
        <v>0.0</v>
      </c>
      <c r="F44" s="10">
        <v>4.0</v>
      </c>
      <c r="G44" s="13">
        <v>0.0</v>
      </c>
      <c r="H44" s="10">
        <v>5.0</v>
      </c>
      <c r="I44" s="10">
        <v>33.0</v>
      </c>
      <c r="J44" s="10">
        <v>195.0</v>
      </c>
      <c r="K44" s="10">
        <v>171.0</v>
      </c>
      <c r="L44" s="12" t="s">
        <v>151</v>
      </c>
      <c r="M44" s="10" t="s">
        <v>34</v>
      </c>
    </row>
    <row r="45" ht="35.25" customHeight="1">
      <c r="A45" s="9" t="s">
        <v>152</v>
      </c>
      <c r="B45" s="10" t="s">
        <v>149</v>
      </c>
      <c r="C45" s="11" t="s">
        <v>153</v>
      </c>
      <c r="D45" s="12">
        <v>0.0</v>
      </c>
      <c r="E45" s="12">
        <v>0.0</v>
      </c>
      <c r="F45" s="10">
        <v>0.0</v>
      </c>
      <c r="G45" s="13">
        <v>0.0</v>
      </c>
      <c r="H45" s="10">
        <v>1.0</v>
      </c>
      <c r="I45" s="10">
        <v>29.0</v>
      </c>
      <c r="J45" s="10">
        <v>185.0</v>
      </c>
      <c r="K45" s="10">
        <v>170.0</v>
      </c>
      <c r="L45" s="12" t="s">
        <v>151</v>
      </c>
      <c r="M45" s="10" t="s">
        <v>154</v>
      </c>
    </row>
    <row r="46" ht="34.5" customHeight="1">
      <c r="A46" s="9" t="s">
        <v>155</v>
      </c>
      <c r="B46" s="10" t="s">
        <v>156</v>
      </c>
      <c r="C46" s="14" t="s">
        <v>157</v>
      </c>
      <c r="D46" s="12">
        <v>0.0</v>
      </c>
      <c r="E46" s="12">
        <v>1.0</v>
      </c>
      <c r="F46" s="10">
        <v>0.0</v>
      </c>
      <c r="G46" s="13">
        <v>0.0</v>
      </c>
      <c r="H46" s="10">
        <v>1.0</v>
      </c>
      <c r="I46" s="10">
        <v>29.0</v>
      </c>
      <c r="J46" s="10">
        <v>175.0</v>
      </c>
      <c r="K46" s="10">
        <v>177.0</v>
      </c>
      <c r="L46" s="12" t="s">
        <v>108</v>
      </c>
      <c r="M46" s="10" t="s">
        <v>38</v>
      </c>
    </row>
    <row r="47" ht="35.25" customHeight="1">
      <c r="A47" s="22" t="s">
        <v>158</v>
      </c>
      <c r="B47" s="10" t="s">
        <v>156</v>
      </c>
      <c r="C47" s="11" t="s">
        <v>159</v>
      </c>
      <c r="D47" s="12">
        <v>0.0</v>
      </c>
      <c r="E47" s="12">
        <v>0.0</v>
      </c>
      <c r="F47" s="10">
        <v>0.0</v>
      </c>
      <c r="G47" s="13">
        <v>0.0</v>
      </c>
      <c r="H47" s="10">
        <v>0.0</v>
      </c>
      <c r="I47" s="10">
        <v>22.0</v>
      </c>
      <c r="J47" s="10">
        <v>189.0</v>
      </c>
      <c r="K47" s="10">
        <v>169.0</v>
      </c>
      <c r="L47" s="12" t="s">
        <v>108</v>
      </c>
      <c r="M47" s="10" t="s">
        <v>160</v>
      </c>
    </row>
    <row r="48" ht="35.25" customHeight="1">
      <c r="A48" s="9" t="s">
        <v>161</v>
      </c>
      <c r="B48" s="10" t="s">
        <v>162</v>
      </c>
      <c r="C48" s="11" t="s">
        <v>163</v>
      </c>
      <c r="D48" s="12">
        <v>0.0</v>
      </c>
      <c r="E48" s="12">
        <v>0.0</v>
      </c>
      <c r="F48" s="10">
        <v>0.0</v>
      </c>
      <c r="G48" s="13">
        <v>0.0</v>
      </c>
      <c r="H48" s="10">
        <v>0.0</v>
      </c>
      <c r="I48" s="10">
        <v>29.0</v>
      </c>
      <c r="J48" s="10">
        <v>179.0</v>
      </c>
      <c r="K48" s="10">
        <v>190.0</v>
      </c>
      <c r="L48" s="12" t="s">
        <v>112</v>
      </c>
      <c r="M48" s="10" t="s">
        <v>164</v>
      </c>
    </row>
    <row r="49" ht="35.25" customHeight="1">
      <c r="A49" s="9" t="s">
        <v>165</v>
      </c>
      <c r="B49" s="10" t="s">
        <v>166</v>
      </c>
      <c r="C49" s="11" t="s">
        <v>167</v>
      </c>
      <c r="D49" s="12">
        <v>0.0</v>
      </c>
      <c r="E49" s="12">
        <v>0.0</v>
      </c>
      <c r="F49" s="10">
        <v>0.0</v>
      </c>
      <c r="G49" s="13">
        <v>0.0</v>
      </c>
      <c r="H49" s="10">
        <v>0.0</v>
      </c>
      <c r="I49" s="10">
        <v>28.0</v>
      </c>
      <c r="J49" s="10">
        <v>184.0</v>
      </c>
      <c r="K49" s="10">
        <v>133.0</v>
      </c>
      <c r="L49" s="12" t="s">
        <v>112</v>
      </c>
      <c r="M49" s="10" t="s">
        <v>94</v>
      </c>
    </row>
    <row r="50" ht="35.25" customHeight="1">
      <c r="A50" s="9" t="s">
        <v>168</v>
      </c>
      <c r="B50" s="10" t="s">
        <v>166</v>
      </c>
      <c r="C50" s="14" t="s">
        <v>169</v>
      </c>
      <c r="D50" s="12">
        <v>0.0</v>
      </c>
      <c r="E50" s="12">
        <v>0.0</v>
      </c>
      <c r="F50" s="10">
        <v>0.0</v>
      </c>
      <c r="G50" s="13">
        <v>0.0</v>
      </c>
      <c r="H50" s="10">
        <v>0.0</v>
      </c>
      <c r="I50" s="10">
        <v>26.0</v>
      </c>
      <c r="J50" s="10">
        <v>185.0</v>
      </c>
      <c r="K50" s="10">
        <v>185.0</v>
      </c>
      <c r="L50" s="12" t="s">
        <v>41</v>
      </c>
      <c r="M50" s="10" t="s">
        <v>170</v>
      </c>
    </row>
    <row r="51" ht="35.25" customHeight="1">
      <c r="A51" s="9" t="s">
        <v>171</v>
      </c>
      <c r="B51" s="10" t="s">
        <v>172</v>
      </c>
      <c r="C51" s="11" t="s">
        <v>173</v>
      </c>
      <c r="D51" s="12">
        <v>0.0</v>
      </c>
      <c r="E51" s="12">
        <v>0.0</v>
      </c>
      <c r="F51" s="10">
        <v>0.0</v>
      </c>
      <c r="G51" s="13">
        <v>0.0</v>
      </c>
      <c r="H51" s="10">
        <v>0.0</v>
      </c>
      <c r="I51" s="10">
        <v>28.0</v>
      </c>
      <c r="J51" s="10">
        <v>174.0</v>
      </c>
      <c r="K51" s="10">
        <v>162.0</v>
      </c>
      <c r="L51" s="12" t="s">
        <v>41</v>
      </c>
      <c r="M51" s="10" t="s">
        <v>164</v>
      </c>
    </row>
    <row r="52" ht="35.25" customHeight="1">
      <c r="A52" s="9" t="s">
        <v>174</v>
      </c>
      <c r="B52" s="10" t="s">
        <v>175</v>
      </c>
      <c r="C52" s="11" t="s">
        <v>176</v>
      </c>
      <c r="D52" s="12">
        <v>0.0</v>
      </c>
      <c r="E52" s="12">
        <v>0.0</v>
      </c>
      <c r="F52" s="10">
        <v>0.0</v>
      </c>
      <c r="G52" s="13">
        <v>0.0</v>
      </c>
      <c r="H52" s="10">
        <v>0.0</v>
      </c>
      <c r="I52" s="10">
        <v>33.0</v>
      </c>
      <c r="J52" s="10">
        <v>192.0</v>
      </c>
      <c r="K52" s="10">
        <v>147.0</v>
      </c>
      <c r="L52" s="12" t="s">
        <v>177</v>
      </c>
      <c r="M52" s="10" t="s">
        <v>129</v>
      </c>
    </row>
    <row r="53" ht="36.0" customHeight="1">
      <c r="A53" s="9" t="s">
        <v>178</v>
      </c>
      <c r="B53" s="10" t="s">
        <v>179</v>
      </c>
      <c r="C53" s="11" t="s">
        <v>180</v>
      </c>
      <c r="D53" s="12">
        <v>0.0</v>
      </c>
      <c r="E53" s="12">
        <v>0.0</v>
      </c>
      <c r="F53" s="10">
        <v>1.0</v>
      </c>
      <c r="G53" s="13">
        <v>0.0</v>
      </c>
      <c r="H53" s="10">
        <v>0.0</v>
      </c>
      <c r="I53" s="10">
        <v>28.0</v>
      </c>
      <c r="J53" s="10">
        <v>184.0</v>
      </c>
      <c r="K53" s="10">
        <v>175.0</v>
      </c>
      <c r="L53" s="12" t="s">
        <v>41</v>
      </c>
      <c r="M53" s="10" t="s">
        <v>109</v>
      </c>
    </row>
    <row r="54" ht="35.25" customHeight="1">
      <c r="A54" s="9" t="s">
        <v>181</v>
      </c>
      <c r="B54" s="10" t="s">
        <v>182</v>
      </c>
      <c r="C54" s="14" t="s">
        <v>183</v>
      </c>
      <c r="D54" s="12">
        <v>0.0</v>
      </c>
      <c r="E54" s="12">
        <v>0.0</v>
      </c>
      <c r="F54" s="10">
        <v>0.0</v>
      </c>
      <c r="G54" s="13">
        <v>0.0</v>
      </c>
      <c r="H54" s="10">
        <v>0.0</v>
      </c>
      <c r="I54" s="10">
        <v>30.0</v>
      </c>
      <c r="J54" s="10">
        <v>185.0</v>
      </c>
      <c r="K54" s="10">
        <v>175.0</v>
      </c>
      <c r="L54" s="12" t="s">
        <v>93</v>
      </c>
      <c r="M54" s="10" t="s">
        <v>184</v>
      </c>
    </row>
    <row r="55" ht="35.25" customHeight="1">
      <c r="A55" s="9" t="s">
        <v>185</v>
      </c>
      <c r="B55" s="10" t="s">
        <v>186</v>
      </c>
      <c r="C55" s="11" t="s">
        <v>187</v>
      </c>
      <c r="D55" s="12">
        <v>0.0</v>
      </c>
      <c r="E55" s="12">
        <v>0.0</v>
      </c>
      <c r="F55" s="10">
        <v>1.0</v>
      </c>
      <c r="G55" s="13">
        <v>0.0</v>
      </c>
      <c r="H55" s="10">
        <v>1.0</v>
      </c>
      <c r="I55" s="10">
        <v>28.0</v>
      </c>
      <c r="J55" s="10">
        <v>182.0</v>
      </c>
      <c r="K55" s="10">
        <v>145.0</v>
      </c>
      <c r="L55" s="12" t="s">
        <v>112</v>
      </c>
      <c r="M55" s="10" t="s">
        <v>188</v>
      </c>
    </row>
    <row r="56" ht="35.25" customHeight="1">
      <c r="A56" s="9" t="s">
        <v>189</v>
      </c>
      <c r="B56" s="10" t="s">
        <v>190</v>
      </c>
      <c r="C56" s="11" t="s">
        <v>191</v>
      </c>
      <c r="D56" s="12">
        <v>0.0</v>
      </c>
      <c r="E56" s="12">
        <v>0.0</v>
      </c>
      <c r="F56" s="10">
        <v>0.0</v>
      </c>
      <c r="G56" s="13">
        <v>0.0</v>
      </c>
      <c r="H56" s="10">
        <v>0.0</v>
      </c>
      <c r="I56" s="10">
        <v>25.0</v>
      </c>
      <c r="J56" s="10">
        <v>183.0</v>
      </c>
      <c r="K56" s="10">
        <v>180.0</v>
      </c>
      <c r="L56" s="12" t="s">
        <v>41</v>
      </c>
      <c r="M56" s="10" t="s">
        <v>192</v>
      </c>
    </row>
    <row r="57" ht="34.5" customHeight="1">
      <c r="A57" s="9" t="s">
        <v>193</v>
      </c>
      <c r="B57" s="10" t="s">
        <v>194</v>
      </c>
      <c r="C57" s="23" t="s">
        <v>195</v>
      </c>
      <c r="D57" s="12">
        <v>0.0</v>
      </c>
      <c r="E57" s="12">
        <v>0.0</v>
      </c>
      <c r="F57" s="10">
        <v>0.0</v>
      </c>
      <c r="G57" s="13">
        <v>0.0</v>
      </c>
      <c r="H57" s="10">
        <v>0.0</v>
      </c>
      <c r="I57" s="10">
        <v>22.0</v>
      </c>
      <c r="J57" s="10">
        <v>191.0</v>
      </c>
      <c r="K57" s="10">
        <v>172.0</v>
      </c>
      <c r="L57" s="12" t="s">
        <v>28</v>
      </c>
      <c r="M57" s="10" t="s">
        <v>196</v>
      </c>
    </row>
    <row r="58" ht="32.25" customHeight="1">
      <c r="A58" s="24" t="s">
        <v>197</v>
      </c>
      <c r="B58" s="10" t="s">
        <v>198</v>
      </c>
      <c r="C58" s="11" t="s">
        <v>199</v>
      </c>
      <c r="D58" s="12">
        <v>0.0</v>
      </c>
      <c r="E58" s="12">
        <v>0.0</v>
      </c>
      <c r="F58" s="10">
        <v>0.0</v>
      </c>
      <c r="G58" s="13">
        <v>0.0</v>
      </c>
      <c r="H58" s="10">
        <v>0.0</v>
      </c>
      <c r="I58" s="10">
        <v>25.0</v>
      </c>
      <c r="J58" s="10">
        <v>187.0</v>
      </c>
      <c r="K58" s="10">
        <v>178.0</v>
      </c>
      <c r="L58" s="12" t="s">
        <v>200</v>
      </c>
      <c r="M58" s="10" t="s">
        <v>196</v>
      </c>
    </row>
    <row r="59" ht="35.25" customHeight="1">
      <c r="A59" s="9" t="s">
        <v>201</v>
      </c>
      <c r="B59" s="10" t="s">
        <v>202</v>
      </c>
      <c r="C59" s="11" t="s">
        <v>203</v>
      </c>
      <c r="D59" s="12">
        <v>0.0</v>
      </c>
      <c r="E59" s="12">
        <v>1.0</v>
      </c>
      <c r="F59" s="10">
        <v>0.0</v>
      </c>
      <c r="G59" s="13">
        <v>0.0</v>
      </c>
      <c r="H59" s="10">
        <v>2.0</v>
      </c>
      <c r="I59" s="10">
        <v>24.0</v>
      </c>
      <c r="J59" s="10">
        <v>183.0</v>
      </c>
      <c r="K59" s="10">
        <v>180.0</v>
      </c>
      <c r="L59" s="12" t="s">
        <v>200</v>
      </c>
      <c r="M59" s="10" t="s">
        <v>77</v>
      </c>
    </row>
    <row r="60" ht="35.25" customHeight="1">
      <c r="C60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  <row r="1001">
      <c r="C1001" s="25"/>
    </row>
    <row r="1002">
      <c r="C1002" s="25"/>
    </row>
    <row r="1003">
      <c r="C1003" s="25"/>
    </row>
  </sheetData>
  <conditionalFormatting sqref="I2:I59">
    <cfRule type="colorScale" priority="1">
      <colorScale>
        <cfvo type="min"/>
        <cfvo type="max"/>
        <color rgb="FFFFFFFF"/>
        <color rgb="FFFFE599"/>
      </colorScale>
    </cfRule>
  </conditionalFormatting>
  <conditionalFormatting sqref="J2:J5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2:K59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</hyperlinks>
  <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86"/>
    <col customWidth="1" min="5" max="5" width="0.86"/>
  </cols>
  <sheetData>
    <row r="1">
      <c r="A1" s="23" t="str">
        <f>IFERROR(__xludf.DUMMYFUNCTION("IMPORTHTML(""http://sumodb.sumogames.de/"",""table"",1)"),"Result")</f>
        <v>Result</v>
      </c>
      <c r="B1" t="str">
        <f>IFERROR(__xludf.DUMMYFUNCTION("""COMPUTED_VALUE"""),"East")</f>
        <v>East</v>
      </c>
      <c r="C1" t="str">
        <f>IFERROR(__xludf.DUMMYFUNCTION("""COMPUTED_VALUE"""),"Rank")</f>
        <v>Rank</v>
      </c>
      <c r="D1" t="str">
        <f>IFERROR(__xludf.DUMMYFUNCTION("""COMPUTED_VALUE"""),"West")</f>
        <v>West</v>
      </c>
      <c r="E1" t="str">
        <f>IFERROR(__xludf.DUMMYFUNCTION("""COMPUTED_VALUE"""),"Result")</f>
        <v>Result</v>
      </c>
    </row>
    <row r="2">
      <c r="A2" t="str">
        <f>IFERROR(__xludf.DUMMYFUNCTION("""COMPUTED_VALUE"""),"0-0")</f>
        <v>0-0</v>
      </c>
      <c r="B2" t="str">
        <f>IFERROR(__xludf.DUMMYFUNCTION("""COMPUTED_VALUE"""),"Hakuho")</f>
        <v>Hakuho</v>
      </c>
      <c r="C2" t="str">
        <f>IFERROR(__xludf.DUMMYFUNCTION("""COMPUTED_VALUE"""),"Y")</f>
        <v>Y</v>
      </c>
      <c r="D2" t="str">
        <f>IFERROR(__xludf.DUMMYFUNCTION("""COMPUTED_VALUE"""),"Kakuryu")</f>
        <v>Kakuryu</v>
      </c>
      <c r="E2" t="str">
        <f>IFERROR(__xludf.DUMMYFUNCTION("""COMPUTED_VALUE"""),"0-0")</f>
        <v>0-0</v>
      </c>
    </row>
    <row r="3">
      <c r="A3" t="str">
        <f>IFERROR(__xludf.DUMMYFUNCTION("""COMPUTED_VALUE"""),"0-0")</f>
        <v>0-0</v>
      </c>
      <c r="B3" t="str">
        <f>IFERROR(__xludf.DUMMYFUNCTION("""COMPUTED_VALUE"""),"Asanoyama")</f>
        <v>Asanoyama</v>
      </c>
      <c r="C3" t="str">
        <f>IFERROR(__xludf.DUMMYFUNCTION("""COMPUTED_VALUE"""),"O")</f>
        <v>O</v>
      </c>
      <c r="D3" t="str">
        <f>IFERROR(__xludf.DUMMYFUNCTION("""COMPUTED_VALUE"""),"Takakeisho")</f>
        <v>Takakeisho</v>
      </c>
      <c r="E3" t="str">
        <f>IFERROR(__xludf.DUMMYFUNCTION("""COMPUTED_VALUE"""),"0-0")</f>
        <v>0-0</v>
      </c>
    </row>
    <row r="4">
      <c r="A4" t="str">
        <f>IFERROR(__xludf.DUMMYFUNCTION("""COMPUTED_VALUE"""),"0-0")</f>
        <v>0-0</v>
      </c>
      <c r="B4" t="str">
        <f>IFERROR(__xludf.DUMMYFUNCTION("""COMPUTED_VALUE"""),"Shodai")</f>
        <v>Shodai</v>
      </c>
      <c r="C4" t="str">
        <f>IFERROR(__xludf.DUMMYFUNCTION("""COMPUTED_VALUE"""),"S")</f>
        <v>S</v>
      </c>
      <c r="D4" t="str">
        <f>IFERROR(__xludf.DUMMYFUNCTION("""COMPUTED_VALUE"""),"Mitakeumi")</f>
        <v>Mitakeumi</v>
      </c>
      <c r="E4" t="str">
        <f>IFERROR(__xludf.DUMMYFUNCTION("""COMPUTED_VALUE"""),"0-0")</f>
        <v>0-0</v>
      </c>
    </row>
    <row r="5">
      <c r="A5" t="str">
        <f>IFERROR(__xludf.DUMMYFUNCTION("""COMPUTED_VALUE"""),"0-0")</f>
        <v>0-0</v>
      </c>
      <c r="B5" t="str">
        <f>IFERROR(__xludf.DUMMYFUNCTION("""COMPUTED_VALUE"""),"Daieisho")</f>
        <v>Daieisho</v>
      </c>
      <c r="C5" t="str">
        <f>IFERROR(__xludf.DUMMYFUNCTION("""COMPUTED_VALUE"""),"S")</f>
        <v>S</v>
      </c>
    </row>
    <row r="6">
      <c r="A6" t="str">
        <f>IFERROR(__xludf.DUMMYFUNCTION("""COMPUTED_VALUE"""),"0-0")</f>
        <v>0-0</v>
      </c>
      <c r="B6" t="str">
        <f>IFERROR(__xludf.DUMMYFUNCTION("""COMPUTED_VALUE"""),"Okinoumi")</f>
        <v>Okinoumi</v>
      </c>
      <c r="C6" t="str">
        <f>IFERROR(__xludf.DUMMYFUNCTION("""COMPUTED_VALUE"""),"K")</f>
        <v>K</v>
      </c>
      <c r="D6" t="str">
        <f>IFERROR(__xludf.DUMMYFUNCTION("""COMPUTED_VALUE"""),"Endo")</f>
        <v>Endo</v>
      </c>
      <c r="E6" t="str">
        <f>IFERROR(__xludf.DUMMYFUNCTION("""COMPUTED_VALUE"""),"0-0")</f>
        <v>0-0</v>
      </c>
    </row>
    <row r="7">
      <c r="A7" t="str">
        <f>IFERROR(__xludf.DUMMYFUNCTION("""COMPUTED_VALUE"""),"0-0")</f>
        <v>0-0</v>
      </c>
      <c r="B7" t="str">
        <f>IFERROR(__xludf.DUMMYFUNCTION("""COMPUTED_VALUE"""),"Terunofuji")</f>
        <v>Terunofuji</v>
      </c>
      <c r="C7" t="str">
        <f>IFERROR(__xludf.DUMMYFUNCTION("""COMPUTED_VALUE"""),"M1")</f>
        <v>M1</v>
      </c>
      <c r="D7" t="str">
        <f>IFERROR(__xludf.DUMMYFUNCTION("""COMPUTED_VALUE"""),"Takanosho")</f>
        <v>Takanosho</v>
      </c>
      <c r="E7" t="str">
        <f>IFERROR(__xludf.DUMMYFUNCTION("""COMPUTED_VALUE"""),"0-0")</f>
        <v>0-0</v>
      </c>
    </row>
    <row r="8">
      <c r="A8" t="str">
        <f>IFERROR(__xludf.DUMMYFUNCTION("""COMPUTED_VALUE"""),"0-0")</f>
        <v>0-0</v>
      </c>
      <c r="B8" t="str">
        <f>IFERROR(__xludf.DUMMYFUNCTION("""COMPUTED_VALUE"""),"Hokutofuji")</f>
        <v>Hokutofuji</v>
      </c>
      <c r="C8" t="str">
        <f>IFERROR(__xludf.DUMMYFUNCTION("""COMPUTED_VALUE"""),"M2")</f>
        <v>M2</v>
      </c>
      <c r="D8" t="str">
        <f>IFERROR(__xludf.DUMMYFUNCTION("""COMPUTED_VALUE"""),"Tamawashi")</f>
        <v>Tamawashi</v>
      </c>
      <c r="E8" t="str">
        <f>IFERROR(__xludf.DUMMYFUNCTION("""COMPUTED_VALUE"""),"0-0")</f>
        <v>0-0</v>
      </c>
    </row>
    <row r="9">
      <c r="A9" t="str">
        <f>IFERROR(__xludf.DUMMYFUNCTION("""COMPUTED_VALUE"""),"0-0")</f>
        <v>0-0</v>
      </c>
      <c r="B9" t="str">
        <f>IFERROR(__xludf.DUMMYFUNCTION("""COMPUTED_VALUE"""),"Myogiryu")</f>
        <v>Myogiryu</v>
      </c>
      <c r="C9" t="str">
        <f>IFERROR(__xludf.DUMMYFUNCTION("""COMPUTED_VALUE"""),"M3")</f>
        <v>M3</v>
      </c>
      <c r="D9" t="str">
        <f>IFERROR(__xludf.DUMMYFUNCTION("""COMPUTED_VALUE"""),"Terutsuyoshi")</f>
        <v>Terutsuyoshi</v>
      </c>
      <c r="E9" t="str">
        <f>IFERROR(__xludf.DUMMYFUNCTION("""COMPUTED_VALUE"""),"0-0")</f>
        <v>0-0</v>
      </c>
    </row>
    <row r="10">
      <c r="A10" t="str">
        <f>IFERROR(__xludf.DUMMYFUNCTION("""COMPUTED_VALUE"""),"0-0")</f>
        <v>0-0</v>
      </c>
      <c r="B10" t="str">
        <f>IFERROR(__xludf.DUMMYFUNCTION("""COMPUTED_VALUE"""),"Yutakayama")</f>
        <v>Yutakayama</v>
      </c>
      <c r="C10" t="str">
        <f>IFERROR(__xludf.DUMMYFUNCTION("""COMPUTED_VALUE"""),"M4")</f>
        <v>M4</v>
      </c>
      <c r="D10" t="str">
        <f>IFERROR(__xludf.DUMMYFUNCTION("""COMPUTED_VALUE"""),"Tochinoshin")</f>
        <v>Tochinoshin</v>
      </c>
      <c r="E10" t="str">
        <f>IFERROR(__xludf.DUMMYFUNCTION("""COMPUTED_VALUE"""),"0-0")</f>
        <v>0-0</v>
      </c>
    </row>
    <row r="11">
      <c r="A11" t="str">
        <f>IFERROR(__xludf.DUMMYFUNCTION("""COMPUTED_VALUE"""),"0-0")</f>
        <v>0-0</v>
      </c>
      <c r="B11" t="str">
        <f>IFERROR(__xludf.DUMMYFUNCTION("""COMPUTED_VALUE"""),"Kiribayama")</f>
        <v>Kiribayama</v>
      </c>
      <c r="C11" t="str">
        <f>IFERROR(__xludf.DUMMYFUNCTION("""COMPUTED_VALUE"""),"M5")</f>
        <v>M5</v>
      </c>
      <c r="D11" t="str">
        <f>IFERROR(__xludf.DUMMYFUNCTION("""COMPUTED_VALUE"""),"Takarafuji")</f>
        <v>Takarafuji</v>
      </c>
      <c r="E11" t="str">
        <f>IFERROR(__xludf.DUMMYFUNCTION("""COMPUTED_VALUE"""),"0-0")</f>
        <v>0-0</v>
      </c>
    </row>
    <row r="12">
      <c r="A12" t="str">
        <f>IFERROR(__xludf.DUMMYFUNCTION("""COMPUTED_VALUE"""),"0-0")</f>
        <v>0-0</v>
      </c>
      <c r="B12" t="str">
        <f>IFERROR(__xludf.DUMMYFUNCTION("""COMPUTED_VALUE"""),"Takayasu")</f>
        <v>Takayasu</v>
      </c>
      <c r="C12" t="str">
        <f>IFERROR(__xludf.DUMMYFUNCTION("""COMPUTED_VALUE"""),"M6")</f>
        <v>M6</v>
      </c>
      <c r="D12" t="str">
        <f>IFERROR(__xludf.DUMMYFUNCTION("""COMPUTED_VALUE"""),"Kagayaki")</f>
        <v>Kagayaki</v>
      </c>
      <c r="E12" t="str">
        <f>IFERROR(__xludf.DUMMYFUNCTION("""COMPUTED_VALUE"""),"0-0")</f>
        <v>0-0</v>
      </c>
    </row>
    <row r="13">
      <c r="A13" t="str">
        <f>IFERROR(__xludf.DUMMYFUNCTION("""COMPUTED_VALUE"""),"0-0")</f>
        <v>0-0</v>
      </c>
      <c r="B13" t="str">
        <f>IFERROR(__xludf.DUMMYFUNCTION("""COMPUTED_VALUE"""),"Ryuden")</f>
        <v>Ryuden</v>
      </c>
      <c r="C13" t="str">
        <f>IFERROR(__xludf.DUMMYFUNCTION("""COMPUTED_VALUE"""),"M7")</f>
        <v>M7</v>
      </c>
      <c r="D13" t="str">
        <f>IFERROR(__xludf.DUMMYFUNCTION("""COMPUTED_VALUE"""),"Aoiyama")</f>
        <v>Aoiyama</v>
      </c>
      <c r="E13" t="str">
        <f>IFERROR(__xludf.DUMMYFUNCTION("""COMPUTED_VALUE"""),"0-0")</f>
        <v>0-0</v>
      </c>
    </row>
    <row r="14">
      <c r="A14" t="str">
        <f>IFERROR(__xludf.DUMMYFUNCTION("""COMPUTED_VALUE"""),"0-0")</f>
        <v>0-0</v>
      </c>
      <c r="B14" t="str">
        <f>IFERROR(__xludf.DUMMYFUNCTION("""COMPUTED_VALUE"""),"Tokushoryu")</f>
        <v>Tokushoryu</v>
      </c>
      <c r="C14" t="str">
        <f>IFERROR(__xludf.DUMMYFUNCTION("""COMPUTED_VALUE"""),"M8")</f>
        <v>M8</v>
      </c>
      <c r="D14" t="str">
        <f>IFERROR(__xludf.DUMMYFUNCTION("""COMPUTED_VALUE"""),"Wakatakakage")</f>
        <v>Wakatakakage</v>
      </c>
      <c r="E14" t="str">
        <f>IFERROR(__xludf.DUMMYFUNCTION("""COMPUTED_VALUE"""),"0-0")</f>
        <v>0-0</v>
      </c>
    </row>
    <row r="15">
      <c r="A15" t="str">
        <f>IFERROR(__xludf.DUMMYFUNCTION("""COMPUTED_VALUE"""),"0-0")</f>
        <v>0-0</v>
      </c>
      <c r="B15" t="str">
        <f>IFERROR(__xludf.DUMMYFUNCTION("""COMPUTED_VALUE"""),"Enho")</f>
        <v>Enho</v>
      </c>
      <c r="C15" t="str">
        <f>IFERROR(__xludf.DUMMYFUNCTION("""COMPUTED_VALUE"""),"M9")</f>
        <v>M9</v>
      </c>
      <c r="D15" t="str">
        <f>IFERROR(__xludf.DUMMYFUNCTION("""COMPUTED_VALUE"""),"Onosho")</f>
        <v>Onosho</v>
      </c>
      <c r="E15" t="str">
        <f>IFERROR(__xludf.DUMMYFUNCTION("""COMPUTED_VALUE"""),"0-0")</f>
        <v>0-0</v>
      </c>
    </row>
    <row r="16">
      <c r="A16" t="str">
        <f>IFERROR(__xludf.DUMMYFUNCTION("""COMPUTED_VALUE"""),"0-0")</f>
        <v>0-0</v>
      </c>
      <c r="B16" t="str">
        <f>IFERROR(__xludf.DUMMYFUNCTION("""COMPUTED_VALUE"""),"Sadanoumi")</f>
        <v>Sadanoumi</v>
      </c>
      <c r="C16" t="str">
        <f>IFERROR(__xludf.DUMMYFUNCTION("""COMPUTED_VALUE"""),"M10")</f>
        <v>M10</v>
      </c>
      <c r="D16" t="str">
        <f>IFERROR(__xludf.DUMMYFUNCTION("""COMPUTED_VALUE"""),"Kotoeko")</f>
        <v>Kotoeko</v>
      </c>
      <c r="E16" t="str">
        <f>IFERROR(__xludf.DUMMYFUNCTION("""COMPUTED_VALUE"""),"0-0")</f>
        <v>0-0</v>
      </c>
    </row>
    <row r="17">
      <c r="A17" t="str">
        <f>IFERROR(__xludf.DUMMYFUNCTION("""COMPUTED_VALUE"""),"0-0")</f>
        <v>0-0</v>
      </c>
      <c r="B17" t="str">
        <f>IFERROR(__xludf.DUMMYFUNCTION("""COMPUTED_VALUE"""),"Chiyotairyu")</f>
        <v>Chiyotairyu</v>
      </c>
      <c r="C17" t="str">
        <f>IFERROR(__xludf.DUMMYFUNCTION("""COMPUTED_VALUE"""),"M11")</f>
        <v>M11</v>
      </c>
      <c r="D17" t="str">
        <f>IFERROR(__xludf.DUMMYFUNCTION("""COMPUTED_VALUE"""),"Kotoshogiku")</f>
        <v>Kotoshogiku</v>
      </c>
      <c r="E17" t="str">
        <f>IFERROR(__xludf.DUMMYFUNCTION("""COMPUTED_VALUE"""),"0-0")</f>
        <v>0-0</v>
      </c>
    </row>
    <row r="18">
      <c r="A18" t="str">
        <f>IFERROR(__xludf.DUMMYFUNCTION("""COMPUTED_VALUE"""),"0-0")</f>
        <v>0-0</v>
      </c>
      <c r="B18" t="str">
        <f>IFERROR(__xludf.DUMMYFUNCTION("""COMPUTED_VALUE"""),"Kotoshoho")</f>
        <v>Kotoshoho</v>
      </c>
      <c r="C18" t="str">
        <f>IFERROR(__xludf.DUMMYFUNCTION("""COMPUTED_VALUE"""),"M12")</f>
        <v>M12</v>
      </c>
      <c r="D18" t="str">
        <f>IFERROR(__xludf.DUMMYFUNCTION("""COMPUTED_VALUE"""),"Kaisei")</f>
        <v>Kaisei</v>
      </c>
      <c r="E18" t="str">
        <f>IFERROR(__xludf.DUMMYFUNCTION("""COMPUTED_VALUE"""),"0-0")</f>
        <v>0-0</v>
      </c>
    </row>
    <row r="19">
      <c r="A19" t="str">
        <f>IFERROR(__xludf.DUMMYFUNCTION("""COMPUTED_VALUE"""),"0-0")</f>
        <v>0-0</v>
      </c>
      <c r="B19" t="str">
        <f>IFERROR(__xludf.DUMMYFUNCTION("""COMPUTED_VALUE"""),"Meisei")</f>
        <v>Meisei</v>
      </c>
      <c r="C19" t="str">
        <f>IFERROR(__xludf.DUMMYFUNCTION("""COMPUTED_VALUE"""),"M13")</f>
        <v>M13</v>
      </c>
      <c r="D19" t="str">
        <f>IFERROR(__xludf.DUMMYFUNCTION("""COMPUTED_VALUE"""),"Ishiura")</f>
        <v>Ishiura</v>
      </c>
      <c r="E19" t="str">
        <f>IFERROR(__xludf.DUMMYFUNCTION("""COMPUTED_VALUE"""),"0-0")</f>
        <v>0-0</v>
      </c>
    </row>
    <row r="20">
      <c r="A20" t="str">
        <f>IFERROR(__xludf.DUMMYFUNCTION("""COMPUTED_VALUE"""),"0-0")</f>
        <v>0-0</v>
      </c>
      <c r="B20" t="str">
        <f>IFERROR(__xludf.DUMMYFUNCTION("""COMPUTED_VALUE"""),"Tobizaru")</f>
        <v>Tobizaru</v>
      </c>
      <c r="C20" t="str">
        <f>IFERROR(__xludf.DUMMYFUNCTION("""COMPUTED_VALUE"""),"M14")</f>
        <v>M14</v>
      </c>
      <c r="D20" t="str">
        <f>IFERROR(__xludf.DUMMYFUNCTION("""COMPUTED_VALUE"""),"Abi")</f>
        <v>Abi</v>
      </c>
      <c r="E20" t="str">
        <f>IFERROR(__xludf.DUMMYFUNCTION("""COMPUTED_VALUE"""),"0-0")</f>
        <v>0-0</v>
      </c>
    </row>
    <row r="21">
      <c r="A21" t="str">
        <f>IFERROR(__xludf.DUMMYFUNCTION("""COMPUTED_VALUE"""),"0-0")</f>
        <v>0-0</v>
      </c>
      <c r="B21" t="str">
        <f>IFERROR(__xludf.DUMMYFUNCTION("""COMPUTED_VALUE"""),"Shimanoumi")</f>
        <v>Shimanoumi</v>
      </c>
      <c r="C21" t="str">
        <f>IFERROR(__xludf.DUMMYFUNCTION("""COMPUTED_VALUE"""),"M15")</f>
        <v>M15</v>
      </c>
      <c r="D21" t="str">
        <f>IFERROR(__xludf.DUMMYFUNCTION("""COMPUTED_VALUE"""),"Shohozan")</f>
        <v>Shohozan</v>
      </c>
      <c r="E21" t="str">
        <f>IFERROR(__xludf.DUMMYFUNCTION("""COMPUTED_VALUE"""),"0-0")</f>
        <v>0-0</v>
      </c>
    </row>
    <row r="22">
      <c r="A22" t="str">
        <f>IFERROR(__xludf.DUMMYFUNCTION("""COMPUTED_VALUE"""),"0-0")</f>
        <v>0-0</v>
      </c>
      <c r="B22" t="str">
        <f>IFERROR(__xludf.DUMMYFUNCTION("""COMPUTED_VALUE"""),"Kyokutaisei")</f>
        <v>Kyokutaisei</v>
      </c>
      <c r="C22" t="str">
        <f>IFERROR(__xludf.DUMMYFUNCTION("""COMPUTED_VALUE"""),"M16")</f>
        <v>M16</v>
      </c>
      <c r="D22" t="str">
        <f>IFERROR(__xludf.DUMMYFUNCTION("""COMPUTED_VALUE"""),"Hoshoryu")</f>
        <v>Hoshoryu</v>
      </c>
      <c r="E22" t="str">
        <f>IFERROR(__xludf.DUMMYFUNCTION("""COMPUTED_VALUE"""),"0-0")</f>
        <v>0-0</v>
      </c>
    </row>
    <row r="23">
      <c r="A23" t="str">
        <f>IFERROR(__xludf.DUMMYFUNCTION("""COMPUTED_VALUE"""),"0-0")</f>
        <v>0-0</v>
      </c>
      <c r="B23" t="str">
        <f>IFERROR(__xludf.DUMMYFUNCTION("""COMPUTED_VALUE"""),"Ichinojo")</f>
        <v>Ichinojo</v>
      </c>
      <c r="C23" t="str">
        <f>IFERROR(__xludf.DUMMYFUNCTION("""COMPUTED_VALUE"""),"M17")</f>
        <v>M17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29"/>
    <col customWidth="1" min="2" max="16" width="10.14"/>
    <col customWidth="1" min="17" max="17" width="5.57"/>
    <col customWidth="1" min="18" max="18" width="0.43"/>
    <col customWidth="1" min="19" max="21" width="10.14"/>
    <col customWidth="1" min="22" max="22" width="11.57"/>
    <col customWidth="1" min="23" max="23" width="0.86"/>
    <col customWidth="1" min="24" max="24" width="7.86"/>
    <col customWidth="1" min="25" max="25" width="11.0"/>
    <col customWidth="1" min="27" max="33" width="10.14"/>
    <col customWidth="1" min="34" max="34" width="10.57"/>
    <col customWidth="1" min="35" max="36" width="10.29"/>
    <col customWidth="1" min="37" max="37" width="10.86"/>
    <col customWidth="1" min="38" max="38" width="9.71"/>
    <col customWidth="1" min="39" max="39" width="9.0"/>
    <col customWidth="1" min="40" max="51" width="3.0"/>
    <col customWidth="1" min="52" max="52" width="6.29"/>
    <col customWidth="1" min="53" max="53" width="3.0"/>
    <col customWidth="1" min="54" max="54" width="9.57"/>
    <col customWidth="1" min="55" max="55" width="0.43"/>
    <col customWidth="1" min="56" max="56" width="6.71"/>
    <col customWidth="1" min="57" max="57" width="3.0"/>
    <col customWidth="1" min="58" max="58" width="11.0"/>
    <col customWidth="1" min="59" max="65" width="3.0"/>
  </cols>
  <sheetData>
    <row r="1">
      <c r="A1" s="2" t="s">
        <v>206</v>
      </c>
      <c r="B1" s="385">
        <v>1.0</v>
      </c>
      <c r="C1" s="386">
        <v>2.0</v>
      </c>
      <c r="D1" s="386">
        <v>3.0</v>
      </c>
      <c r="E1" s="386">
        <v>4.0</v>
      </c>
      <c r="F1" s="386">
        <v>5.0</v>
      </c>
      <c r="G1" s="386">
        <v>6.0</v>
      </c>
      <c r="H1" s="386">
        <v>7.0</v>
      </c>
      <c r="I1" s="386">
        <v>8.0</v>
      </c>
      <c r="J1" s="386">
        <v>9.0</v>
      </c>
      <c r="K1" s="386">
        <v>10.0</v>
      </c>
      <c r="L1" s="386">
        <v>11.0</v>
      </c>
      <c r="M1" s="386">
        <v>12.0</v>
      </c>
      <c r="N1" s="386">
        <v>13.0</v>
      </c>
      <c r="O1" s="386">
        <v>14.0</v>
      </c>
      <c r="P1" s="387">
        <v>15.0</v>
      </c>
      <c r="Q1" s="386" t="s">
        <v>350</v>
      </c>
      <c r="R1" s="386" t="s">
        <v>434</v>
      </c>
      <c r="S1" s="23" t="s">
        <v>434</v>
      </c>
      <c r="T1" s="23"/>
      <c r="U1" s="23"/>
      <c r="AE1" s="270"/>
      <c r="AF1" s="250"/>
      <c r="AG1" s="388"/>
      <c r="AH1" s="389"/>
      <c r="AI1" s="390"/>
      <c r="AJ1" s="391"/>
      <c r="AK1" s="392"/>
      <c r="AL1" s="393"/>
      <c r="AM1" s="394"/>
      <c r="AN1" s="395"/>
      <c r="AO1" s="396"/>
      <c r="AP1" s="397"/>
      <c r="AQ1" s="398"/>
      <c r="AR1" s="399"/>
      <c r="AS1" s="400"/>
      <c r="AT1" s="401"/>
      <c r="AU1" s="402"/>
      <c r="AV1" s="403"/>
      <c r="AW1" s="404"/>
      <c r="AX1" s="405"/>
      <c r="AY1" s="197"/>
      <c r="AZ1" s="406"/>
      <c r="BA1" s="407"/>
      <c r="BB1" s="408"/>
      <c r="BC1" s="409"/>
      <c r="BD1" s="410"/>
      <c r="BE1" s="411"/>
      <c r="BF1" s="412"/>
      <c r="BG1" s="413"/>
      <c r="BH1" s="414"/>
      <c r="BI1" s="415"/>
      <c r="BJ1" s="416"/>
      <c r="BK1" s="417"/>
      <c r="BL1" s="418"/>
      <c r="BM1" s="419"/>
    </row>
    <row r="2">
      <c r="A2" s="158" t="s">
        <v>15</v>
      </c>
      <c r="B2" s="420"/>
      <c r="C2" s="421"/>
      <c r="D2" s="421"/>
      <c r="E2" s="421"/>
      <c r="F2" s="421"/>
      <c r="G2" s="421"/>
      <c r="H2" s="421"/>
      <c r="I2" s="421"/>
      <c r="J2" s="422"/>
      <c r="K2" s="421"/>
      <c r="L2" s="421"/>
      <c r="M2" s="421"/>
      <c r="N2" s="421"/>
      <c r="O2" s="421"/>
      <c r="P2" s="169"/>
      <c r="AE2">
        <f>countcoloredcells(B2:P2,AE1)</f>
        <v>0</v>
      </c>
      <c r="AF2">
        <f>countcoloredcells(B2:P2,AF1)</f>
        <v>0</v>
      </c>
      <c r="AG2">
        <f>countcoloredcells(B2:P2,AG1)</f>
        <v>0</v>
      </c>
      <c r="AH2">
        <f>countcoloredcells(B2:P2,AH1)</f>
        <v>0</v>
      </c>
      <c r="AI2">
        <f>countcoloredcells(B2:P2,AI1)</f>
        <v>0</v>
      </c>
      <c r="AJ2">
        <f>countcoloredcells(B2:P2,AJ1)</f>
        <v>0</v>
      </c>
      <c r="AK2">
        <f>countcoloredcells(B2:P2,AK1)</f>
        <v>0</v>
      </c>
      <c r="AL2">
        <f>countcoloredcells(B2:P2,AL1)</f>
        <v>0</v>
      </c>
      <c r="AM2">
        <f>countcoloredcells(B2:P2,AM1)</f>
        <v>0</v>
      </c>
      <c r="AN2">
        <f>countcoloredcells(B2:P2,AN1)</f>
        <v>0</v>
      </c>
      <c r="AO2">
        <f>countcoloredcells(B2:P2,AO1)</f>
        <v>0</v>
      </c>
      <c r="AP2">
        <f>countcoloredcells(B2:P2,AP1)</f>
        <v>0</v>
      </c>
      <c r="AQ2">
        <f>countcoloredcells(B2:P2,AQ1)</f>
        <v>0</v>
      </c>
      <c r="AR2">
        <f>countcoloredcells(B2:P2,AR1)</f>
        <v>0</v>
      </c>
      <c r="AS2">
        <f>countcoloredcells(B2:P2,AS1)</f>
        <v>0</v>
      </c>
      <c r="AT2">
        <f>countcoloredcells(B2:P2,AT1)</f>
        <v>0</v>
      </c>
      <c r="AU2">
        <f>countcoloredcells(B2:P2,AU1)</f>
        <v>0</v>
      </c>
      <c r="AV2">
        <f>countcoloredcells(B2:P2,AV1)</f>
        <v>0</v>
      </c>
      <c r="AW2">
        <f>countcoloredcells(B2:P2,AW1)</f>
        <v>0</v>
      </c>
      <c r="AX2">
        <f>countcoloredcells(B2:P2,AX1)</f>
        <v>0</v>
      </c>
      <c r="AZ2">
        <f>countcoloredcells(B2:P2,AZ1)</f>
        <v>0</v>
      </c>
      <c r="BA2">
        <f>countcoloredcells(B2:P2,BA1)</f>
        <v>0</v>
      </c>
      <c r="BB2">
        <f>countcoloredcells(B2:P2,BB1)</f>
        <v>0</v>
      </c>
      <c r="BC2">
        <f>countcoloredcells(B2:P2,BC1)</f>
        <v>0</v>
      </c>
      <c r="BD2">
        <f>countcoloredcells(B2:P2,BD1)</f>
        <v>0</v>
      </c>
      <c r="BE2">
        <f>countcoloredcells(B2:P2,BE1)</f>
        <v>0</v>
      </c>
      <c r="BF2">
        <f>countcoloredcells(B2:P2,BF1)</f>
        <v>0</v>
      </c>
      <c r="BG2">
        <f>countcoloredcells(AF2:AT2,BG1)</f>
        <v>0</v>
      </c>
    </row>
    <row r="3">
      <c r="A3" s="158" t="s">
        <v>19</v>
      </c>
      <c r="B3" s="420"/>
      <c r="C3" s="421"/>
      <c r="D3" s="421"/>
      <c r="E3" s="421"/>
      <c r="F3" s="421"/>
      <c r="G3" s="421"/>
      <c r="H3" s="421"/>
      <c r="I3" s="421"/>
      <c r="J3" s="422"/>
      <c r="K3" s="421"/>
      <c r="L3" s="421"/>
      <c r="M3" s="421"/>
      <c r="N3" s="421"/>
      <c r="O3" s="421"/>
      <c r="P3" s="229"/>
      <c r="AE3">
        <f>countcoloredcells(B3:P3,AE1)</f>
        <v>0</v>
      </c>
      <c r="AF3">
        <f>countcoloredcells(B3:P3,AF1)</f>
        <v>0</v>
      </c>
    </row>
    <row r="4">
      <c r="A4" s="167" t="s">
        <v>27</v>
      </c>
      <c r="B4" s="420"/>
      <c r="C4" s="421"/>
      <c r="D4" s="421"/>
      <c r="E4" s="421"/>
      <c r="F4" s="421"/>
      <c r="G4" s="421"/>
      <c r="H4" s="421"/>
      <c r="I4" s="421"/>
      <c r="J4" s="422"/>
      <c r="K4" s="421"/>
      <c r="L4" s="421"/>
      <c r="M4" s="422"/>
      <c r="N4" s="421"/>
      <c r="O4" s="421"/>
      <c r="P4" s="229"/>
      <c r="AE4">
        <f t="shared" ref="AE4:AF4" si="1">countcoloredcells(B4:P4,AE1)</f>
        <v>0</v>
      </c>
      <c r="AF4">
        <f t="shared" si="1"/>
        <v>0</v>
      </c>
    </row>
    <row r="5">
      <c r="A5" s="167" t="s">
        <v>23</v>
      </c>
      <c r="B5" s="420"/>
      <c r="C5" s="421"/>
      <c r="D5" s="421"/>
      <c r="E5" s="421"/>
      <c r="F5" s="421"/>
      <c r="G5" s="421"/>
      <c r="H5" s="421"/>
      <c r="I5" s="421"/>
      <c r="J5" s="422"/>
      <c r="K5" s="421"/>
      <c r="L5" s="421"/>
      <c r="M5" s="422"/>
      <c r="N5" s="421"/>
      <c r="O5" s="421"/>
      <c r="P5" s="229"/>
      <c r="AE5">
        <f t="shared" ref="AE5:AF5" si="2">countcoloredcells(B5:P5,AE1)</f>
        <v>0</v>
      </c>
      <c r="AF5">
        <f t="shared" si="2"/>
        <v>0</v>
      </c>
    </row>
    <row r="6">
      <c r="A6" s="167" t="s">
        <v>32</v>
      </c>
      <c r="B6" s="420"/>
      <c r="C6" s="421"/>
      <c r="D6" s="421"/>
      <c r="E6" s="421"/>
      <c r="F6" s="423"/>
      <c r="G6" s="421"/>
      <c r="H6" s="421"/>
      <c r="I6" s="421"/>
      <c r="J6" s="421"/>
      <c r="K6" s="421"/>
      <c r="L6" s="421"/>
      <c r="M6" s="421"/>
      <c r="N6" s="421"/>
      <c r="O6" s="421"/>
      <c r="P6" s="229"/>
      <c r="AE6">
        <f t="shared" ref="AE6:AF6" si="3">countcoloredcells(B6:P6,AE1)</f>
        <v>0</v>
      </c>
      <c r="AF6">
        <f t="shared" si="3"/>
        <v>0</v>
      </c>
    </row>
    <row r="7">
      <c r="A7" s="167" t="s">
        <v>36</v>
      </c>
      <c r="B7" s="420"/>
      <c r="C7" s="421"/>
      <c r="D7" s="421"/>
      <c r="E7" s="421"/>
      <c r="F7" s="421"/>
      <c r="G7" s="421"/>
      <c r="H7" s="421"/>
      <c r="I7" s="421"/>
      <c r="J7" s="422"/>
      <c r="K7" s="421"/>
      <c r="L7" s="421"/>
      <c r="M7" s="422"/>
      <c r="N7" s="421"/>
      <c r="O7" s="421"/>
      <c r="P7" s="229"/>
      <c r="AE7">
        <f t="shared" ref="AE7:AF7" si="4">countcoloredcells(B7:P7,AE1)</f>
        <v>0</v>
      </c>
      <c r="AF7">
        <f t="shared" si="4"/>
        <v>0</v>
      </c>
    </row>
    <row r="8">
      <c r="A8" s="167" t="s">
        <v>40</v>
      </c>
      <c r="B8" s="420"/>
      <c r="H8" s="421"/>
      <c r="I8" s="421"/>
      <c r="J8" s="422"/>
      <c r="K8" s="421"/>
      <c r="L8" s="421"/>
      <c r="M8" s="422"/>
      <c r="N8" s="421"/>
      <c r="O8" s="421"/>
      <c r="P8" s="169"/>
      <c r="AE8">
        <f t="shared" ref="AE8:AF8" si="5">countcoloredcells(B8:P8,AE1)</f>
        <v>0</v>
      </c>
      <c r="AF8">
        <f t="shared" si="5"/>
        <v>0</v>
      </c>
    </row>
    <row r="9">
      <c r="A9" s="167" t="s">
        <v>45</v>
      </c>
      <c r="B9" s="420"/>
      <c r="C9" s="421"/>
      <c r="D9" s="421"/>
      <c r="E9" s="421"/>
      <c r="F9" s="421"/>
      <c r="G9" s="421"/>
      <c r="H9" s="421"/>
      <c r="I9" s="421"/>
      <c r="J9" s="422"/>
      <c r="K9" s="421"/>
      <c r="L9" s="421"/>
      <c r="M9" s="421"/>
      <c r="N9" s="421"/>
      <c r="O9" s="421"/>
      <c r="P9" s="169"/>
      <c r="AE9">
        <f t="shared" ref="AE9:AF9" si="6">countcoloredcells(B9:P9,AE1)</f>
        <v>0</v>
      </c>
      <c r="AF9">
        <f t="shared" si="6"/>
        <v>0</v>
      </c>
    </row>
    <row r="10">
      <c r="A10" s="167" t="s">
        <v>48</v>
      </c>
      <c r="B10" s="420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2"/>
      <c r="N10" s="421"/>
      <c r="O10" s="421"/>
      <c r="P10" s="169"/>
      <c r="AE10">
        <f t="shared" ref="AE10:AF10" si="7">countcoloredcells(B10:P10,AE1)</f>
        <v>0</v>
      </c>
      <c r="AF10">
        <f t="shared" si="7"/>
        <v>0</v>
      </c>
    </row>
    <row r="11">
      <c r="A11" s="167" t="s">
        <v>70</v>
      </c>
      <c r="B11" s="420"/>
      <c r="C11" s="421"/>
      <c r="D11" s="421"/>
      <c r="E11" s="421"/>
      <c r="F11" s="421"/>
      <c r="G11" s="421"/>
      <c r="H11" s="421"/>
      <c r="I11" s="421"/>
      <c r="J11" s="422"/>
      <c r="K11" s="421"/>
      <c r="L11" s="421"/>
      <c r="M11" s="422"/>
      <c r="N11" s="421"/>
      <c r="O11" s="421"/>
      <c r="P11" s="229"/>
      <c r="AE11">
        <f t="shared" ref="AE11:AF11" si="8">countcoloredcells(B11:P11,AE1)</f>
        <v>0</v>
      </c>
      <c r="AF11">
        <f t="shared" si="8"/>
        <v>0</v>
      </c>
    </row>
    <row r="12">
      <c r="A12" s="158" t="s">
        <v>54</v>
      </c>
      <c r="B12" s="420"/>
      <c r="C12" s="421"/>
      <c r="D12" s="421"/>
      <c r="E12" s="421"/>
      <c r="F12" s="421"/>
      <c r="G12" s="421"/>
      <c r="H12" s="421"/>
      <c r="I12" s="421"/>
      <c r="J12" s="422"/>
      <c r="K12" s="422"/>
      <c r="L12" s="421"/>
      <c r="M12" s="422"/>
      <c r="N12" s="421"/>
      <c r="O12" s="421"/>
      <c r="P12" s="169"/>
      <c r="AE12">
        <f t="shared" ref="AE12:AF12" si="9">countcoloredcells(B12:P12,AE1)</f>
        <v>0</v>
      </c>
      <c r="AF12">
        <f t="shared" si="9"/>
        <v>0</v>
      </c>
    </row>
    <row r="13">
      <c r="A13" s="158" t="s">
        <v>102</v>
      </c>
      <c r="B13" s="420"/>
      <c r="C13" s="421"/>
      <c r="D13" s="421"/>
      <c r="E13" s="421"/>
      <c r="F13" s="421"/>
      <c r="G13" s="421"/>
      <c r="H13" s="421"/>
      <c r="I13" s="421"/>
      <c r="J13" s="422"/>
      <c r="K13" s="421"/>
      <c r="L13" s="421"/>
      <c r="M13" s="422"/>
      <c r="N13" s="421"/>
      <c r="O13" s="421"/>
      <c r="P13" s="229"/>
      <c r="AE13">
        <f t="shared" ref="AE13:AF13" si="10">countcoloredcells(B13:P13,AE1)</f>
        <v>0</v>
      </c>
      <c r="AF13">
        <f t="shared" si="10"/>
        <v>0</v>
      </c>
    </row>
    <row r="14">
      <c r="A14" s="158" t="s">
        <v>79</v>
      </c>
      <c r="B14" s="420"/>
      <c r="C14" s="421"/>
      <c r="D14" s="421"/>
      <c r="E14" s="421"/>
      <c r="F14" s="421"/>
      <c r="G14" s="421"/>
      <c r="H14" s="421"/>
      <c r="I14" s="421"/>
      <c r="J14" s="422"/>
      <c r="K14" s="421"/>
      <c r="L14" s="421"/>
      <c r="M14" s="421"/>
      <c r="N14" s="421"/>
      <c r="O14" s="421"/>
      <c r="P14" s="169"/>
      <c r="AE14">
        <f t="shared" ref="AE14:AF14" si="11">countcoloredcells(B14:P14,AE1)</f>
        <v>0</v>
      </c>
      <c r="AF14">
        <f t="shared" si="11"/>
        <v>0</v>
      </c>
    </row>
    <row r="15">
      <c r="A15" s="158" t="s">
        <v>76</v>
      </c>
      <c r="B15" s="420"/>
      <c r="C15" s="421"/>
      <c r="D15" s="421"/>
      <c r="E15" s="421"/>
      <c r="F15" s="421"/>
      <c r="G15" s="421"/>
      <c r="H15" s="421"/>
      <c r="I15" s="421"/>
      <c r="J15" s="422"/>
      <c r="K15" s="421"/>
      <c r="L15" s="421"/>
      <c r="M15" s="424"/>
      <c r="N15" s="421"/>
      <c r="O15" s="421"/>
      <c r="P15" s="169"/>
      <c r="AE15">
        <f t="shared" ref="AE15:AF15" si="12">countcoloredcells(B15:P15,AE1)</f>
        <v>0</v>
      </c>
      <c r="AF15">
        <f t="shared" si="12"/>
        <v>0</v>
      </c>
    </row>
    <row r="16">
      <c r="A16" s="158" t="s">
        <v>84</v>
      </c>
      <c r="B16" s="420"/>
      <c r="C16" s="421"/>
      <c r="D16" s="421"/>
      <c r="E16" s="421"/>
      <c r="F16" s="421"/>
      <c r="G16" s="421"/>
      <c r="H16" s="422"/>
      <c r="I16" s="421"/>
      <c r="J16" s="422"/>
      <c r="K16" s="421"/>
      <c r="L16" s="421"/>
      <c r="M16" s="421"/>
      <c r="N16" s="421"/>
      <c r="O16" s="421"/>
      <c r="P16" s="169"/>
      <c r="AE16">
        <f t="shared" ref="AE16:AF16" si="13">countcoloredcells(B16:P16,AE1)</f>
        <v>0</v>
      </c>
      <c r="AF16">
        <f t="shared" si="13"/>
        <v>0</v>
      </c>
    </row>
    <row r="17">
      <c r="A17" s="158" t="s">
        <v>90</v>
      </c>
      <c r="B17" s="420"/>
      <c r="C17" s="421"/>
      <c r="D17" s="421"/>
      <c r="E17" s="421"/>
      <c r="F17" s="421"/>
      <c r="G17" s="421"/>
      <c r="H17" s="421"/>
      <c r="I17" s="421"/>
      <c r="J17" s="422"/>
      <c r="K17" s="421"/>
      <c r="L17" s="421"/>
      <c r="M17" s="421"/>
      <c r="N17" s="421"/>
      <c r="O17" s="421"/>
      <c r="P17" s="229"/>
      <c r="AE17">
        <f t="shared" ref="AE17:AF17" si="14">countcoloredcells(B17:P17,AE1)</f>
        <v>0</v>
      </c>
      <c r="AF17">
        <f t="shared" si="14"/>
        <v>0</v>
      </c>
    </row>
    <row r="18">
      <c r="A18" s="158" t="s">
        <v>131</v>
      </c>
      <c r="B18" s="420"/>
      <c r="C18" s="421"/>
      <c r="D18" s="421"/>
      <c r="E18" s="421"/>
      <c r="F18" s="421"/>
      <c r="G18" s="421"/>
      <c r="H18" s="421"/>
      <c r="I18" s="421"/>
      <c r="J18" s="422"/>
      <c r="K18" s="421"/>
      <c r="L18" s="421"/>
      <c r="M18" s="422"/>
      <c r="N18" s="421"/>
      <c r="O18" s="421"/>
      <c r="P18" s="169"/>
      <c r="AE18">
        <f t="shared" ref="AE18:AF18" si="15">countcoloredcells(B18:P18,AE1)</f>
        <v>0</v>
      </c>
      <c r="AF18">
        <f t="shared" si="15"/>
        <v>0</v>
      </c>
    </row>
    <row r="19">
      <c r="A19" s="158" t="s">
        <v>57</v>
      </c>
      <c r="B19" s="420"/>
      <c r="C19" s="421"/>
      <c r="D19" s="421"/>
      <c r="E19" s="421"/>
      <c r="F19" s="421"/>
      <c r="G19" s="421"/>
      <c r="H19" s="421"/>
      <c r="I19" s="423"/>
      <c r="J19" s="421"/>
      <c r="K19" s="421"/>
      <c r="L19" s="421"/>
      <c r="M19" s="421"/>
      <c r="N19" s="421"/>
      <c r="O19" s="421"/>
      <c r="P19" s="169"/>
      <c r="AE19">
        <f t="shared" ref="AE19:AF19" si="16">countcoloredcells(B19:P19,AE1)</f>
        <v>0</v>
      </c>
      <c r="AF19">
        <f t="shared" si="16"/>
        <v>0</v>
      </c>
    </row>
    <row r="20">
      <c r="A20" s="158" t="s">
        <v>100</v>
      </c>
      <c r="B20" s="420"/>
      <c r="C20" s="421"/>
      <c r="D20" s="421"/>
      <c r="E20" s="421"/>
      <c r="F20" s="421"/>
      <c r="G20" s="421"/>
      <c r="H20" s="421"/>
      <c r="I20" s="421"/>
      <c r="J20" s="422"/>
      <c r="K20" s="421"/>
      <c r="L20" s="421"/>
      <c r="M20" s="421"/>
      <c r="N20" s="421"/>
      <c r="O20" s="421"/>
      <c r="P20" s="229"/>
      <c r="AE20">
        <f t="shared" ref="AE20:AF20" si="17">countcoloredcells(B20:P20,AE1)</f>
        <v>0</v>
      </c>
      <c r="AF20">
        <f t="shared" si="17"/>
        <v>0</v>
      </c>
    </row>
    <row r="21">
      <c r="A21" s="158" t="s">
        <v>88</v>
      </c>
      <c r="B21" s="420"/>
      <c r="C21" s="421"/>
      <c r="D21" s="421"/>
      <c r="E21" s="421"/>
      <c r="F21" s="421"/>
      <c r="G21" s="421"/>
      <c r="H21" s="422"/>
      <c r="I21" s="421"/>
      <c r="J21" s="422"/>
      <c r="K21" s="421"/>
      <c r="L21" s="421"/>
      <c r="M21" s="421"/>
      <c r="N21" s="421"/>
      <c r="O21" s="421"/>
      <c r="P21" s="169"/>
      <c r="AE21">
        <f>countcoloredcells(B21:P21,AE1)</f>
        <v>0</v>
      </c>
      <c r="AF21">
        <f>countcoloredcells(H21:Q21,AF1)</f>
        <v>0</v>
      </c>
    </row>
    <row r="22">
      <c r="A22" s="158" t="s">
        <v>65</v>
      </c>
      <c r="B22" s="420"/>
      <c r="C22" s="421"/>
      <c r="D22" s="421"/>
      <c r="E22" s="421"/>
      <c r="F22" s="421"/>
      <c r="G22" s="421"/>
      <c r="H22" s="421"/>
      <c r="I22" s="421"/>
      <c r="J22" s="422"/>
      <c r="K22" s="421"/>
      <c r="L22" s="421"/>
      <c r="M22" s="422"/>
      <c r="N22" s="421"/>
      <c r="O22" s="421"/>
      <c r="P22" s="169"/>
      <c r="AE22">
        <f t="shared" ref="AE22:AF22" si="18">countcoloredcells(B22:P22,AE1)</f>
        <v>0</v>
      </c>
      <c r="AF22">
        <f t="shared" si="18"/>
        <v>0</v>
      </c>
    </row>
    <row r="23">
      <c r="A23" s="158" t="s">
        <v>92</v>
      </c>
      <c r="B23" s="420"/>
      <c r="C23" s="421"/>
      <c r="D23" s="421"/>
      <c r="E23" s="421"/>
      <c r="F23" s="421"/>
      <c r="G23" s="421"/>
      <c r="H23" s="421"/>
      <c r="I23" s="421"/>
      <c r="J23" s="422"/>
      <c r="K23" s="421"/>
      <c r="L23" s="421"/>
      <c r="M23" s="421"/>
      <c r="N23" s="421"/>
      <c r="O23" s="421"/>
      <c r="P23" s="229"/>
      <c r="AE23">
        <f t="shared" ref="AE23:AF23" si="19">countcoloredcells(B23:P23,AE1)</f>
        <v>0</v>
      </c>
      <c r="AF23">
        <f t="shared" si="19"/>
        <v>0</v>
      </c>
    </row>
    <row r="24">
      <c r="A24" s="158" t="s">
        <v>125</v>
      </c>
      <c r="B24" s="420"/>
      <c r="C24" s="421"/>
      <c r="D24" s="421"/>
      <c r="E24" s="421"/>
      <c r="F24" s="421"/>
      <c r="G24" s="421"/>
      <c r="H24" s="421"/>
      <c r="I24" s="423"/>
      <c r="J24" s="421"/>
      <c r="K24" s="421"/>
      <c r="L24" s="421"/>
      <c r="M24" s="422"/>
      <c r="N24" s="421"/>
      <c r="O24" s="421"/>
      <c r="P24" s="229"/>
      <c r="AE24">
        <f t="shared" ref="AE24:AF24" si="20">countcoloredcells(B24:P24,AE1)</f>
        <v>0</v>
      </c>
      <c r="AF24">
        <f t="shared" si="20"/>
        <v>0</v>
      </c>
    </row>
    <row r="25">
      <c r="A25" s="158" t="s">
        <v>111</v>
      </c>
      <c r="B25" s="420"/>
      <c r="C25" s="421"/>
      <c r="D25" s="421"/>
      <c r="E25" s="421"/>
      <c r="F25" s="421"/>
      <c r="G25" s="421"/>
      <c r="H25" s="421"/>
      <c r="I25" s="421"/>
      <c r="J25" s="422"/>
      <c r="K25" s="421"/>
      <c r="L25" s="421"/>
      <c r="M25" s="422"/>
      <c r="N25" s="421"/>
      <c r="O25" s="421"/>
      <c r="P25" s="229"/>
      <c r="AE25">
        <f t="shared" ref="AE25:AF25" si="21">countcoloredcells(B25:P25,AE1)</f>
        <v>0</v>
      </c>
      <c r="AF25">
        <f t="shared" si="21"/>
        <v>0</v>
      </c>
    </row>
    <row r="26">
      <c r="A26" s="158" t="s">
        <v>59</v>
      </c>
      <c r="B26" s="420"/>
      <c r="C26" s="421"/>
      <c r="D26" s="421"/>
      <c r="E26" s="421"/>
      <c r="F26" s="421"/>
      <c r="G26" s="421"/>
      <c r="H26" s="421"/>
      <c r="I26" s="421"/>
      <c r="J26" s="422"/>
      <c r="K26" s="421"/>
      <c r="L26" s="421"/>
      <c r="M26" s="422"/>
      <c r="N26" s="421"/>
      <c r="O26" s="421"/>
      <c r="P26" s="229"/>
      <c r="AE26">
        <f t="shared" ref="AE26:AF26" si="22">countcoloredcells(B26:P26,AE1)</f>
        <v>0</v>
      </c>
      <c r="AF26">
        <f t="shared" si="22"/>
        <v>0</v>
      </c>
    </row>
    <row r="27">
      <c r="A27" s="158" t="s">
        <v>150</v>
      </c>
      <c r="B27" s="420"/>
      <c r="C27" s="425"/>
      <c r="D27" s="421"/>
      <c r="E27" s="421"/>
      <c r="F27" s="421"/>
      <c r="G27" s="421"/>
      <c r="H27" s="421"/>
      <c r="I27" s="421"/>
      <c r="J27" s="422"/>
      <c r="K27" s="421"/>
      <c r="L27" s="421"/>
      <c r="M27" s="421"/>
      <c r="N27" s="421"/>
      <c r="O27" s="421"/>
      <c r="P27" s="169"/>
      <c r="AE27">
        <f t="shared" ref="AE27:AF27" si="23">countcoloredcells(B27:P27,AE1)</f>
        <v>0</v>
      </c>
      <c r="AF27">
        <f t="shared" si="23"/>
        <v>0</v>
      </c>
    </row>
    <row r="28">
      <c r="A28" s="158" t="s">
        <v>119</v>
      </c>
      <c r="B28" s="420"/>
      <c r="C28" s="421"/>
      <c r="D28" s="421"/>
      <c r="E28" s="421"/>
      <c r="F28" s="421"/>
      <c r="G28" s="421"/>
      <c r="H28" s="421"/>
      <c r="I28" s="421"/>
      <c r="J28" s="422"/>
      <c r="K28" s="421"/>
      <c r="L28" s="421"/>
      <c r="M28" s="421"/>
      <c r="N28" s="421"/>
      <c r="O28" s="421"/>
      <c r="P28" s="229"/>
      <c r="AE28">
        <f t="shared" ref="AE28:AF28" si="24">countcoloredcells(B28:P28,AE1)</f>
        <v>0</v>
      </c>
      <c r="AF28">
        <f t="shared" si="24"/>
        <v>0</v>
      </c>
    </row>
    <row r="29">
      <c r="A29" s="158" t="s">
        <v>62</v>
      </c>
      <c r="B29" s="420"/>
      <c r="C29" s="421"/>
      <c r="D29" s="421"/>
      <c r="E29" s="421"/>
      <c r="F29" s="421"/>
      <c r="G29" s="421"/>
      <c r="H29" s="421"/>
      <c r="I29" s="421"/>
      <c r="J29" s="422"/>
      <c r="K29" s="421"/>
      <c r="L29" s="421"/>
      <c r="M29" s="422"/>
      <c r="N29" s="421"/>
      <c r="O29" s="421"/>
      <c r="P29" s="229"/>
      <c r="AE29">
        <f t="shared" ref="AE29:AF29" si="25">countcoloredcells(B29:P29,AE1)</f>
        <v>0</v>
      </c>
      <c r="AF29">
        <f t="shared" si="25"/>
        <v>0</v>
      </c>
    </row>
    <row r="30">
      <c r="A30" s="158" t="s">
        <v>135</v>
      </c>
      <c r="B30" s="420"/>
      <c r="C30" s="421"/>
      <c r="D30" s="421"/>
      <c r="E30" s="421"/>
      <c r="F30" s="421"/>
      <c r="G30" s="421"/>
      <c r="H30" s="421"/>
      <c r="I30" s="421"/>
      <c r="J30" s="422"/>
      <c r="K30" s="421"/>
      <c r="L30" s="421"/>
      <c r="M30" s="421"/>
      <c r="N30" s="421"/>
      <c r="O30" s="421"/>
      <c r="P30" s="229"/>
      <c r="AE30">
        <f t="shared" ref="AE30:AF30" si="26">countcoloredcells(B30:P30,AE1)</f>
        <v>0</v>
      </c>
      <c r="AF30">
        <f t="shared" si="26"/>
        <v>0</v>
      </c>
    </row>
    <row r="31">
      <c r="A31" s="158" t="s">
        <v>72</v>
      </c>
      <c r="B31" s="420"/>
      <c r="C31" s="421"/>
      <c r="D31" s="421"/>
      <c r="E31" s="421"/>
      <c r="F31" s="421"/>
      <c r="G31" s="421"/>
      <c r="H31" s="421"/>
      <c r="I31" s="421"/>
      <c r="J31" s="421"/>
      <c r="K31" s="421"/>
      <c r="L31" s="421"/>
      <c r="M31" s="422"/>
      <c r="N31" s="421"/>
      <c r="O31" s="421"/>
      <c r="P31" s="229"/>
      <c r="AE31">
        <f t="shared" ref="AE31:AF31" si="27">countcoloredcells(B31:P31,AE1)</f>
        <v>0</v>
      </c>
      <c r="AF31">
        <f t="shared" si="27"/>
        <v>0</v>
      </c>
    </row>
    <row r="32">
      <c r="A32" s="158" t="s">
        <v>105</v>
      </c>
      <c r="B32" s="420"/>
      <c r="C32" s="421"/>
      <c r="D32" s="421"/>
      <c r="E32" s="421"/>
      <c r="F32" s="421"/>
      <c r="G32" s="421"/>
      <c r="H32" s="421"/>
      <c r="I32" s="421"/>
      <c r="J32" s="422"/>
      <c r="K32" s="421"/>
      <c r="L32" s="421"/>
      <c r="M32" s="422"/>
      <c r="N32" s="421"/>
      <c r="O32" s="421"/>
      <c r="P32" s="229"/>
      <c r="AE32">
        <f t="shared" ref="AE32:AF32" si="28">countcoloredcells(B32:P32,AE1)</f>
        <v>0</v>
      </c>
      <c r="AF32">
        <f t="shared" si="28"/>
        <v>0</v>
      </c>
    </row>
    <row r="33">
      <c r="A33" s="158" t="s">
        <v>138</v>
      </c>
      <c r="B33" s="420"/>
      <c r="C33" s="421"/>
      <c r="D33" s="421"/>
      <c r="E33" s="421"/>
      <c r="F33" s="421"/>
      <c r="G33" s="421"/>
      <c r="H33" s="421"/>
      <c r="I33" s="423"/>
      <c r="J33" s="421"/>
      <c r="K33" s="421"/>
      <c r="L33" s="421"/>
      <c r="M33" s="421"/>
      <c r="N33" s="421"/>
      <c r="O33" s="421"/>
      <c r="P33" s="169"/>
      <c r="AE33">
        <f t="shared" ref="AE33:AF33" si="29">countcoloredcells(B33:P33,AE1)</f>
        <v>0</v>
      </c>
      <c r="AF33">
        <f t="shared" si="29"/>
        <v>0</v>
      </c>
    </row>
    <row r="34">
      <c r="A34" s="158" t="s">
        <v>81</v>
      </c>
      <c r="B34" s="420"/>
      <c r="C34" s="421"/>
      <c r="D34" s="421"/>
      <c r="E34" s="421"/>
      <c r="F34" s="421"/>
      <c r="G34" s="421"/>
      <c r="H34" s="421"/>
      <c r="I34" s="421"/>
      <c r="J34" s="422"/>
      <c r="K34" s="421"/>
      <c r="L34" s="421"/>
      <c r="M34" s="422"/>
      <c r="N34" s="421"/>
      <c r="O34" s="421"/>
      <c r="P34" s="169"/>
      <c r="AE34">
        <f t="shared" ref="AE34:AF34" si="30">countcoloredcells(B34:P34,AE1)</f>
        <v>0</v>
      </c>
      <c r="AF34">
        <f t="shared" si="30"/>
        <v>0</v>
      </c>
    </row>
    <row r="35">
      <c r="A35" s="158" t="s">
        <v>159</v>
      </c>
      <c r="B35" s="420"/>
      <c r="C35" s="421"/>
      <c r="D35" s="421"/>
      <c r="E35" s="421"/>
      <c r="F35" s="421"/>
      <c r="G35" s="421"/>
      <c r="H35" s="421"/>
      <c r="I35" s="421"/>
      <c r="J35" s="422"/>
      <c r="K35" s="421"/>
      <c r="L35" s="421"/>
      <c r="M35" s="422"/>
      <c r="N35" s="421"/>
      <c r="O35" s="421"/>
      <c r="P35" s="229"/>
      <c r="AE35">
        <f t="shared" ref="AE35:AF35" si="31">countcoloredcells(B35:P35,AE1)</f>
        <v>0</v>
      </c>
      <c r="AF35">
        <f t="shared" si="31"/>
        <v>0</v>
      </c>
    </row>
    <row r="36">
      <c r="A36" s="158" t="s">
        <v>114</v>
      </c>
      <c r="B36" s="420"/>
      <c r="C36" s="421"/>
      <c r="D36" s="421"/>
      <c r="E36" s="421"/>
      <c r="F36" s="421"/>
      <c r="G36" s="421"/>
      <c r="H36" s="421"/>
      <c r="I36" s="423"/>
      <c r="J36" s="421"/>
      <c r="K36" s="421"/>
      <c r="L36" s="421"/>
      <c r="M36" s="422"/>
      <c r="N36" s="421"/>
      <c r="O36" s="421"/>
      <c r="P36" s="229"/>
      <c r="AE36">
        <f>countcoloredcells(B36:P36,AE1)</f>
        <v>0</v>
      </c>
      <c r="AF36">
        <f>countcoloredcells(E36:Q36,AF1)</f>
        <v>0</v>
      </c>
    </row>
    <row r="37">
      <c r="A37" s="158" t="s">
        <v>96</v>
      </c>
      <c r="B37" s="420"/>
      <c r="C37" s="421"/>
      <c r="D37" s="421"/>
      <c r="E37" s="421"/>
      <c r="F37" s="421"/>
      <c r="G37" s="421"/>
      <c r="H37" s="421"/>
      <c r="I37" s="421"/>
      <c r="J37" s="422"/>
      <c r="K37" s="421"/>
      <c r="L37" s="421"/>
      <c r="M37" s="422"/>
      <c r="N37" s="421"/>
      <c r="O37" s="421"/>
      <c r="P37" s="229"/>
      <c r="AE37">
        <f t="shared" ref="AE37:AF37" si="32">countcoloredcells(B37:P37,AE1)</f>
        <v>0</v>
      </c>
      <c r="AF37">
        <f t="shared" si="32"/>
        <v>0</v>
      </c>
    </row>
    <row r="38">
      <c r="A38" s="158" t="s">
        <v>116</v>
      </c>
      <c r="B38" s="420"/>
      <c r="C38" s="421"/>
      <c r="D38" s="421"/>
      <c r="E38" s="421"/>
      <c r="F38" s="421"/>
      <c r="G38" s="421"/>
      <c r="H38" s="421"/>
      <c r="I38" s="421"/>
      <c r="J38" s="422"/>
      <c r="K38" s="421"/>
      <c r="L38" s="421"/>
      <c r="M38" s="421"/>
      <c r="N38" s="421"/>
      <c r="O38" s="421"/>
      <c r="P38" s="229"/>
      <c r="AE38">
        <f t="shared" ref="AE38:AF38" si="33">countcoloredcells(B38:P38,AE1)</f>
        <v>0</v>
      </c>
      <c r="AF38">
        <f t="shared" si="33"/>
        <v>0</v>
      </c>
    </row>
    <row r="39">
      <c r="A39" s="181" t="s">
        <v>163</v>
      </c>
      <c r="E39" s="421"/>
      <c r="F39" s="421"/>
      <c r="G39" s="421"/>
      <c r="H39" s="421"/>
      <c r="I39" s="426"/>
      <c r="J39" s="422"/>
      <c r="K39" s="421"/>
      <c r="L39" s="421"/>
      <c r="M39" s="422"/>
      <c r="N39" s="421"/>
      <c r="O39" s="421"/>
      <c r="P39" s="169"/>
      <c r="AE39">
        <f t="shared" ref="AE39:AF39" si="34">countcoloredcells(B39:P39,AE1)</f>
        <v>0</v>
      </c>
      <c r="AF39">
        <f t="shared" si="34"/>
        <v>0</v>
      </c>
    </row>
    <row r="40">
      <c r="A40" s="158" t="s">
        <v>153</v>
      </c>
      <c r="B40" s="420"/>
      <c r="C40" s="421"/>
      <c r="D40" s="421"/>
      <c r="E40" s="421"/>
      <c r="F40" s="423"/>
      <c r="G40" s="421"/>
      <c r="H40" s="421"/>
      <c r="I40" s="421"/>
      <c r="J40" s="422"/>
      <c r="K40" s="421"/>
      <c r="L40" s="421"/>
      <c r="M40" s="422"/>
      <c r="N40" s="421"/>
      <c r="O40" s="421"/>
      <c r="P40" s="229"/>
      <c r="AE40">
        <f t="shared" ref="AE40:AF40" si="35">countcoloredcells(B40:P40,AE1)</f>
        <v>0</v>
      </c>
      <c r="AF40">
        <f t="shared" si="35"/>
        <v>0</v>
      </c>
    </row>
    <row r="41">
      <c r="A41" s="158" t="s">
        <v>107</v>
      </c>
      <c r="B41" s="420"/>
      <c r="C41" s="421"/>
      <c r="D41" s="421"/>
      <c r="E41" s="421"/>
      <c r="F41" s="421"/>
      <c r="G41" s="421"/>
      <c r="H41" s="421"/>
      <c r="I41" s="421"/>
      <c r="J41" s="422"/>
      <c r="K41" s="421"/>
      <c r="L41" s="421"/>
      <c r="M41" s="422"/>
      <c r="N41" s="421"/>
      <c r="O41" s="421"/>
      <c r="P41" s="229"/>
      <c r="AE41">
        <f t="shared" ref="AE41:AF41" si="36">countcoloredcells(B41:P41,AE1)</f>
        <v>0</v>
      </c>
      <c r="AF41">
        <f t="shared" si="36"/>
        <v>0</v>
      </c>
    </row>
    <row r="42">
      <c r="A42" s="158" t="s">
        <v>51</v>
      </c>
      <c r="B42" s="420"/>
      <c r="C42" s="421"/>
      <c r="D42" s="421"/>
      <c r="E42" s="421"/>
      <c r="F42" s="421"/>
      <c r="G42" s="421"/>
      <c r="H42" s="421"/>
      <c r="I42" s="426"/>
      <c r="J42" s="422"/>
      <c r="K42" s="421"/>
      <c r="L42" s="421"/>
      <c r="M42" s="421"/>
      <c r="N42" s="421"/>
      <c r="O42" s="421"/>
      <c r="P42" s="169"/>
      <c r="AE42">
        <f t="shared" ref="AE42:AF42" si="37">countcoloredcells(B42:P42,AE1)</f>
        <v>0</v>
      </c>
      <c r="AF42">
        <f t="shared" si="37"/>
        <v>0</v>
      </c>
    </row>
    <row r="43">
      <c r="A43" s="158" t="s">
        <v>157</v>
      </c>
      <c r="B43" s="420"/>
      <c r="C43" s="421"/>
      <c r="D43" s="421"/>
      <c r="E43" s="421"/>
      <c r="F43" s="421"/>
      <c r="G43" s="421"/>
      <c r="H43" s="421"/>
      <c r="I43" s="421"/>
      <c r="J43" s="422"/>
      <c r="K43" s="421"/>
      <c r="L43" s="421"/>
      <c r="M43" s="421"/>
      <c r="N43" s="421"/>
      <c r="O43" s="421"/>
      <c r="P43" s="169"/>
      <c r="AE43">
        <f t="shared" ref="AE43:AF43" si="38">countcoloredcells(B43:P43,AE1)</f>
        <v>0</v>
      </c>
      <c r="AF43">
        <f t="shared" si="38"/>
        <v>0</v>
      </c>
    </row>
    <row r="44" ht="5.25" customHeight="1">
      <c r="A44" s="206"/>
      <c r="B44" s="427"/>
      <c r="C44" s="99"/>
      <c r="D44" s="427"/>
      <c r="E44" s="427" t="s">
        <v>111</v>
      </c>
      <c r="F44" s="99"/>
      <c r="G44" s="427" t="s">
        <v>62</v>
      </c>
      <c r="H44" s="427" t="s">
        <v>88</v>
      </c>
      <c r="I44" s="427" t="s">
        <v>57</v>
      </c>
      <c r="J44" s="427"/>
      <c r="K44" s="427"/>
      <c r="L44" s="427" t="s">
        <v>246</v>
      </c>
      <c r="M44" s="427" t="s">
        <v>153</v>
      </c>
      <c r="N44" s="427"/>
      <c r="O44" s="427"/>
      <c r="P44" s="428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</row>
    <row r="45">
      <c r="A45" s="199" t="s">
        <v>435</v>
      </c>
      <c r="B45" s="429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212">
        <v>81.0</v>
      </c>
      <c r="R45">
        <f>Q45/sum(KIMARITE!k_total)*100</f>
        <v>28.125</v>
      </c>
      <c r="S45" s="23">
        <f t="shared" ref="S45:S82" si="39">ROUND(R45,2)</f>
        <v>28.13</v>
      </c>
      <c r="T45" s="23" t="s">
        <v>436</v>
      </c>
      <c r="U45">
        <v>29.804000000000002</v>
      </c>
      <c r="V45" s="23" t="s">
        <v>437</v>
      </c>
      <c r="W45">
        <f>SUM(AA45:AK45)/ALL_KIMARITE_SUM</f>
        <v>0.2510327296</v>
      </c>
      <c r="X45">
        <f t="shared" ref="X45:X69" si="40">ROUND(W45,4)*100</f>
        <v>25.1</v>
      </c>
      <c r="AA45" s="23">
        <v>66.0</v>
      </c>
      <c r="AB45" s="23">
        <v>77.0</v>
      </c>
      <c r="AC45" s="23">
        <v>70.0</v>
      </c>
      <c r="AD45">
        <v>70.0</v>
      </c>
      <c r="AE45">
        <v>68.0</v>
      </c>
      <c r="AF45">
        <v>68.0</v>
      </c>
      <c r="AG45">
        <v>66.0</v>
      </c>
      <c r="AH45">
        <v>76.0</v>
      </c>
      <c r="AI45">
        <v>79.0</v>
      </c>
      <c r="AJ45" s="23">
        <v>75.0</v>
      </c>
      <c r="AK45" s="198">
        <v>75.0</v>
      </c>
      <c r="AL45" s="198">
        <v>70.0</v>
      </c>
      <c r="AM45" s="198">
        <v>79.0</v>
      </c>
      <c r="AV45" s="23" t="s">
        <v>438</v>
      </c>
      <c r="BA45" s="198"/>
      <c r="BB45">
        <v>33403.0</v>
      </c>
      <c r="BC45">
        <f t="shared" ref="BC45:BC132" si="41">BB45/112076</f>
        <v>0.2980388308</v>
      </c>
      <c r="BD45">
        <f t="shared" ref="BD45:BD132" si="42">ROUND(BC45,5)*100</f>
        <v>29.804</v>
      </c>
      <c r="BF45">
        <v>33403.0</v>
      </c>
    </row>
    <row r="46">
      <c r="A46" s="200" t="s">
        <v>439</v>
      </c>
      <c r="B46" s="429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212">
        <v>53.0</v>
      </c>
      <c r="R46">
        <f>Q46/sum(KIMARITE!k_total)*100</f>
        <v>18.40277778</v>
      </c>
      <c r="S46" s="23">
        <f t="shared" si="39"/>
        <v>18.4</v>
      </c>
      <c r="U46">
        <v>15.506</v>
      </c>
      <c r="V46" s="23" t="s">
        <v>440</v>
      </c>
      <c r="W46">
        <f>SUM(AA46:AK46)/ALL_KIMARITE_SUM</f>
        <v>0.254845885</v>
      </c>
      <c r="X46">
        <f t="shared" si="40"/>
        <v>25.48</v>
      </c>
      <c r="AA46" s="23">
        <v>70.0</v>
      </c>
      <c r="AB46" s="23">
        <v>69.0</v>
      </c>
      <c r="AC46" s="23">
        <v>71.0</v>
      </c>
      <c r="AD46">
        <v>82.0</v>
      </c>
      <c r="AE46">
        <v>72.0</v>
      </c>
      <c r="AF46">
        <v>72.0</v>
      </c>
      <c r="AG46">
        <v>86.0</v>
      </c>
      <c r="AH46">
        <v>81.0</v>
      </c>
      <c r="AI46">
        <v>62.0</v>
      </c>
      <c r="AJ46" s="23">
        <v>66.0</v>
      </c>
      <c r="AK46" s="198">
        <v>71.0</v>
      </c>
      <c r="AL46" s="198">
        <v>68.0</v>
      </c>
      <c r="AM46" s="198">
        <v>77.0</v>
      </c>
      <c r="AV46" s="23" t="s">
        <v>441</v>
      </c>
      <c r="BA46" s="198"/>
      <c r="BB46">
        <v>17379.0</v>
      </c>
      <c r="BC46">
        <f t="shared" si="41"/>
        <v>0.1550644206</v>
      </c>
      <c r="BD46">
        <f t="shared" si="42"/>
        <v>15.506</v>
      </c>
      <c r="BF46">
        <v>17379.0</v>
      </c>
    </row>
    <row r="47">
      <c r="A47" s="204" t="s">
        <v>442</v>
      </c>
      <c r="B47" s="429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212">
        <v>33.0</v>
      </c>
      <c r="R47">
        <f>Q47/sum(KIMARITE!k_total)*100</f>
        <v>11.45833333</v>
      </c>
      <c r="S47" s="23">
        <f t="shared" si="39"/>
        <v>11.46</v>
      </c>
      <c r="T47" s="23"/>
      <c r="U47">
        <v>6.696000000000001</v>
      </c>
      <c r="V47" s="23" t="s">
        <v>443</v>
      </c>
      <c r="W47">
        <f>SUM(AA47:AK47)/ALL_KIMARITE_SUM</f>
        <v>0.09596441055</v>
      </c>
      <c r="X47">
        <f t="shared" si="40"/>
        <v>9.6</v>
      </c>
      <c r="AA47" s="23">
        <v>33.0</v>
      </c>
      <c r="AB47" s="23">
        <v>26.0</v>
      </c>
      <c r="AC47" s="23">
        <v>19.0</v>
      </c>
      <c r="AD47">
        <v>24.0</v>
      </c>
      <c r="AE47">
        <v>30.0</v>
      </c>
      <c r="AF47">
        <v>21.0</v>
      </c>
      <c r="AG47">
        <v>37.0</v>
      </c>
      <c r="AH47">
        <v>30.0</v>
      </c>
      <c r="AI47">
        <v>27.0</v>
      </c>
      <c r="AJ47" s="23">
        <v>31.0</v>
      </c>
      <c r="AK47" s="198">
        <v>24.0</v>
      </c>
      <c r="AL47" s="198">
        <v>29.0</v>
      </c>
      <c r="AM47" s="198">
        <v>22.0</v>
      </c>
      <c r="AV47" s="23" t="s">
        <v>444</v>
      </c>
      <c r="BA47" s="198"/>
      <c r="BB47">
        <v>7505.0</v>
      </c>
      <c r="BC47">
        <f t="shared" si="41"/>
        <v>0.06696348906</v>
      </c>
      <c r="BD47">
        <f t="shared" si="42"/>
        <v>6.696</v>
      </c>
      <c r="BF47">
        <v>7505.0</v>
      </c>
    </row>
    <row r="48">
      <c r="A48" s="203" t="s">
        <v>445</v>
      </c>
      <c r="B48" s="429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212">
        <v>17.0</v>
      </c>
      <c r="R48">
        <f>Q48/sum(KIMARITE!k_total)*100</f>
        <v>5.902777778</v>
      </c>
      <c r="S48" s="23">
        <f t="shared" si="39"/>
        <v>5.9</v>
      </c>
      <c r="T48" s="23"/>
      <c r="U48">
        <v>6.455</v>
      </c>
      <c r="V48" s="23" t="s">
        <v>446</v>
      </c>
      <c r="W48">
        <f>SUM(AA48:AK48)/ALL_KIMARITE_SUM</f>
        <v>0.04194470925</v>
      </c>
      <c r="X48">
        <f t="shared" si="40"/>
        <v>4.19</v>
      </c>
      <c r="AA48" s="23">
        <v>14.0</v>
      </c>
      <c r="AB48" s="23">
        <v>13.0</v>
      </c>
      <c r="AC48" s="23">
        <v>14.0</v>
      </c>
      <c r="AD48">
        <v>10.0</v>
      </c>
      <c r="AE48">
        <v>13.0</v>
      </c>
      <c r="AF48">
        <v>16.0</v>
      </c>
      <c r="AG48">
        <v>15.0</v>
      </c>
      <c r="AH48">
        <v>10.0</v>
      </c>
      <c r="AI48">
        <v>9.0</v>
      </c>
      <c r="AJ48" s="23">
        <v>9.0</v>
      </c>
      <c r="AK48" s="198">
        <v>9.0</v>
      </c>
      <c r="AL48" s="198">
        <v>9.0</v>
      </c>
      <c r="AM48" s="198">
        <v>17.0</v>
      </c>
      <c r="BA48" s="198"/>
      <c r="BB48">
        <v>7234.0</v>
      </c>
      <c r="BC48">
        <f t="shared" si="41"/>
        <v>0.06454548699</v>
      </c>
      <c r="BD48">
        <f t="shared" si="42"/>
        <v>6.455</v>
      </c>
      <c r="BF48">
        <v>7234.0</v>
      </c>
    </row>
    <row r="49">
      <c r="A49" s="205" t="s">
        <v>447</v>
      </c>
      <c r="B49" s="429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212">
        <v>3.0</v>
      </c>
      <c r="R49">
        <f>Q49/sum(KIMARITE!k_total)*100</f>
        <v>1.041666667</v>
      </c>
      <c r="S49" s="23">
        <f t="shared" si="39"/>
        <v>1.04</v>
      </c>
      <c r="T49" s="23"/>
      <c r="U49">
        <v>5.609999999999999</v>
      </c>
      <c r="W49">
        <f>SUM(AA49:AK49)/ALL_KIMARITE_SUM</f>
        <v>0.02414998411</v>
      </c>
      <c r="X49">
        <f t="shared" si="40"/>
        <v>2.41</v>
      </c>
      <c r="AA49" s="23">
        <v>4.0</v>
      </c>
      <c r="AB49" s="23">
        <v>8.0</v>
      </c>
      <c r="AC49" s="23">
        <v>7.0</v>
      </c>
      <c r="AD49">
        <v>10.0</v>
      </c>
      <c r="AE49">
        <v>10.0</v>
      </c>
      <c r="AF49">
        <v>8.0</v>
      </c>
      <c r="AG49">
        <v>7.0</v>
      </c>
      <c r="AH49">
        <v>8.0</v>
      </c>
      <c r="AI49">
        <v>5.0</v>
      </c>
      <c r="AJ49" s="23">
        <v>3.0</v>
      </c>
      <c r="AK49" s="198">
        <v>6.0</v>
      </c>
      <c r="AL49" s="198">
        <v>6.0</v>
      </c>
      <c r="AM49" s="198">
        <v>2.0</v>
      </c>
      <c r="AV49" s="23" t="s">
        <v>448</v>
      </c>
      <c r="BA49" s="198"/>
      <c r="BB49">
        <v>6287.0</v>
      </c>
      <c r="BC49">
        <f t="shared" si="41"/>
        <v>0.05609586352</v>
      </c>
      <c r="BD49">
        <f t="shared" si="42"/>
        <v>5.61</v>
      </c>
      <c r="BF49">
        <v>6287.0</v>
      </c>
    </row>
    <row r="50">
      <c r="A50" s="430" t="s">
        <v>449</v>
      </c>
      <c r="B50" s="429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212">
        <v>34.0</v>
      </c>
      <c r="R50">
        <f>Q50/sum(KIMARITE!k_total)*100</f>
        <v>11.80555556</v>
      </c>
      <c r="S50" s="23">
        <f t="shared" si="39"/>
        <v>11.81</v>
      </c>
      <c r="T50" s="23"/>
      <c r="U50">
        <v>4.534</v>
      </c>
      <c r="W50">
        <f>SUM(AA50:AK50)/ALL_KIMARITE_SUM</f>
        <v>0.07244995234</v>
      </c>
      <c r="X50">
        <f t="shared" si="40"/>
        <v>7.24</v>
      </c>
      <c r="AA50" s="23">
        <v>17.0</v>
      </c>
      <c r="AB50" s="23">
        <v>16.0</v>
      </c>
      <c r="AC50" s="23">
        <v>19.0</v>
      </c>
      <c r="AD50">
        <v>31.0</v>
      </c>
      <c r="AE50">
        <v>22.0</v>
      </c>
      <c r="AF50">
        <v>19.0</v>
      </c>
      <c r="AG50">
        <v>24.0</v>
      </c>
      <c r="AH50">
        <v>16.0</v>
      </c>
      <c r="AI50">
        <v>17.0</v>
      </c>
      <c r="AJ50" s="23">
        <v>24.0</v>
      </c>
      <c r="AK50" s="198">
        <v>23.0</v>
      </c>
      <c r="AL50" s="198">
        <v>27.0</v>
      </c>
      <c r="AM50" s="198">
        <v>21.0</v>
      </c>
      <c r="BA50" s="198"/>
      <c r="BB50">
        <v>5082.0</v>
      </c>
      <c r="BC50">
        <f t="shared" si="41"/>
        <v>0.0453442307</v>
      </c>
      <c r="BD50">
        <f t="shared" si="42"/>
        <v>4.534</v>
      </c>
      <c r="BF50">
        <v>5082.0</v>
      </c>
    </row>
    <row r="51">
      <c r="A51" s="431" t="s">
        <v>450</v>
      </c>
      <c r="B51" s="429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212">
        <v>9.0</v>
      </c>
      <c r="R51">
        <f>Q51/sum(KIMARITE!k_total)*100</f>
        <v>3.125</v>
      </c>
      <c r="S51" s="23">
        <f t="shared" si="39"/>
        <v>3.13</v>
      </c>
      <c r="T51" s="23"/>
      <c r="U51">
        <v>3.526</v>
      </c>
      <c r="W51">
        <f>SUM(AA51:AK51)/ALL_KIMARITE_SUM</f>
        <v>0.04289799809</v>
      </c>
      <c r="X51">
        <f t="shared" si="40"/>
        <v>4.29</v>
      </c>
      <c r="AA51" s="23">
        <v>15.0</v>
      </c>
      <c r="AB51" s="23">
        <v>17.0</v>
      </c>
      <c r="AC51" s="23">
        <v>13.0</v>
      </c>
      <c r="AD51">
        <v>15.0</v>
      </c>
      <c r="AE51">
        <v>9.0</v>
      </c>
      <c r="AF51">
        <v>10.0</v>
      </c>
      <c r="AG51">
        <v>14.0</v>
      </c>
      <c r="AH51">
        <v>11.0</v>
      </c>
      <c r="AI51">
        <v>16.0</v>
      </c>
      <c r="AJ51" s="23">
        <v>6.0</v>
      </c>
      <c r="AK51" s="198">
        <v>9.0</v>
      </c>
      <c r="AL51" s="198">
        <v>8.0</v>
      </c>
      <c r="AM51" s="198">
        <v>9.0</v>
      </c>
      <c r="AU51" s="23">
        <v>275.0</v>
      </c>
      <c r="BA51" s="198"/>
      <c r="BB51">
        <v>3952.0</v>
      </c>
      <c r="BC51">
        <f t="shared" si="41"/>
        <v>0.03526178664</v>
      </c>
      <c r="BD51">
        <f t="shared" si="42"/>
        <v>3.526</v>
      </c>
      <c r="BF51">
        <v>3952.0</v>
      </c>
    </row>
    <row r="52">
      <c r="A52" s="432" t="s">
        <v>451</v>
      </c>
      <c r="B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212">
        <v>6.0</v>
      </c>
      <c r="R52">
        <f>Q52/sum(KIMARITE!k_total)*100</f>
        <v>2.083333333</v>
      </c>
      <c r="S52" s="23">
        <f t="shared" si="39"/>
        <v>2.08</v>
      </c>
      <c r="T52" s="23"/>
      <c r="U52">
        <v>2.8930000000000002</v>
      </c>
      <c r="W52">
        <f>SUM(AA52:AK52)/ALL_KIMARITE_SUM</f>
        <v>0.01843025103</v>
      </c>
      <c r="X52">
        <f t="shared" si="40"/>
        <v>1.84</v>
      </c>
      <c r="AA52" s="23">
        <v>9.0</v>
      </c>
      <c r="AB52" s="23">
        <v>7.0</v>
      </c>
      <c r="AC52" s="23">
        <v>8.0</v>
      </c>
      <c r="AD52">
        <v>3.0</v>
      </c>
      <c r="AE52">
        <v>10.0</v>
      </c>
      <c r="AF52">
        <v>3.0</v>
      </c>
      <c r="AG52">
        <v>4.0</v>
      </c>
      <c r="AH52">
        <v>5.0</v>
      </c>
      <c r="AI52">
        <v>3.0</v>
      </c>
      <c r="AJ52" s="23">
        <v>4.0</v>
      </c>
      <c r="AK52" s="198">
        <v>2.0</v>
      </c>
      <c r="AL52" s="198">
        <v>5.0</v>
      </c>
      <c r="AM52" s="198">
        <v>9.0</v>
      </c>
      <c r="AU52" s="23">
        <v>835.0</v>
      </c>
      <c r="BA52" s="198"/>
      <c r="BB52">
        <v>3242.0</v>
      </c>
      <c r="BC52">
        <f t="shared" si="41"/>
        <v>0.02892679967</v>
      </c>
      <c r="BD52">
        <f t="shared" si="42"/>
        <v>2.893</v>
      </c>
      <c r="BF52">
        <v>3242.0</v>
      </c>
    </row>
    <row r="53">
      <c r="A53" s="433" t="s">
        <v>452</v>
      </c>
      <c r="B53" s="429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212">
        <v>5.0</v>
      </c>
      <c r="R53">
        <f>Q53/sum(KIMARITE!k_total)*100</f>
        <v>1.736111111</v>
      </c>
      <c r="S53" s="23">
        <f t="shared" si="39"/>
        <v>1.74</v>
      </c>
      <c r="T53" s="23"/>
      <c r="U53">
        <v>2.656</v>
      </c>
      <c r="W53">
        <f>SUM(AA53:AK53)/ALL_KIMARITE_SUM</f>
        <v>0.012392755</v>
      </c>
      <c r="X53">
        <f t="shared" si="40"/>
        <v>1.24</v>
      </c>
      <c r="AA53" s="23">
        <v>4.0</v>
      </c>
      <c r="AB53" s="23">
        <v>3.0</v>
      </c>
      <c r="AC53" s="23">
        <v>4.0</v>
      </c>
      <c r="AD53">
        <v>5.0</v>
      </c>
      <c r="AE53">
        <v>5.0</v>
      </c>
      <c r="AF53">
        <v>1.0</v>
      </c>
      <c r="AG53">
        <v>3.0</v>
      </c>
      <c r="AH53">
        <v>2.0</v>
      </c>
      <c r="AI53">
        <v>2.0</v>
      </c>
      <c r="AJ53" s="23">
        <v>5.0</v>
      </c>
      <c r="AK53" s="198">
        <v>5.0</v>
      </c>
      <c r="AL53" s="198">
        <v>6.0</v>
      </c>
      <c r="AM53" s="198">
        <v>9.0</v>
      </c>
      <c r="AU53" s="23">
        <v>12.0</v>
      </c>
      <c r="BA53" s="198"/>
      <c r="BB53">
        <v>2977.0</v>
      </c>
      <c r="BC53">
        <f t="shared" si="41"/>
        <v>0.0265623327</v>
      </c>
      <c r="BD53">
        <f t="shared" si="42"/>
        <v>2.656</v>
      </c>
      <c r="BF53">
        <v>2977.0</v>
      </c>
    </row>
    <row r="54">
      <c r="A54" s="434" t="s">
        <v>453</v>
      </c>
      <c r="B54" s="429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212">
        <v>13.0</v>
      </c>
      <c r="R54">
        <f>Q54/sum(KIMARITE!k_total)*100</f>
        <v>4.513888889</v>
      </c>
      <c r="S54" s="23">
        <f t="shared" si="39"/>
        <v>4.51</v>
      </c>
      <c r="T54" s="23"/>
      <c r="U54">
        <v>2.6020000000000003</v>
      </c>
      <c r="W54">
        <f>SUM(AA54:AK54)/ALL_KIMARITE_SUM</f>
        <v>0.0416269463</v>
      </c>
      <c r="X54">
        <f t="shared" si="40"/>
        <v>4.16</v>
      </c>
      <c r="AA54" s="23">
        <v>7.0</v>
      </c>
      <c r="AB54" s="23">
        <v>11.0</v>
      </c>
      <c r="AC54" s="23">
        <v>10.0</v>
      </c>
      <c r="AD54">
        <v>19.0</v>
      </c>
      <c r="AE54">
        <v>6.0</v>
      </c>
      <c r="AF54">
        <v>16.0</v>
      </c>
      <c r="AG54">
        <v>7.0</v>
      </c>
      <c r="AH54">
        <v>12.0</v>
      </c>
      <c r="AI54">
        <v>13.0</v>
      </c>
      <c r="AJ54" s="23">
        <v>13.0</v>
      </c>
      <c r="AK54" s="198">
        <v>17.0</v>
      </c>
      <c r="AL54" s="198">
        <v>11.0</v>
      </c>
      <c r="AM54" s="198">
        <v>12.0</v>
      </c>
      <c r="AU54" s="23">
        <v>12.0</v>
      </c>
      <c r="BA54" s="198"/>
      <c r="BB54">
        <v>2916.0</v>
      </c>
      <c r="BC54">
        <f t="shared" si="41"/>
        <v>0.02601805917</v>
      </c>
      <c r="BD54">
        <f t="shared" si="42"/>
        <v>2.602</v>
      </c>
      <c r="BF54">
        <v>2916.0</v>
      </c>
    </row>
    <row r="55">
      <c r="A55" s="435" t="s">
        <v>454</v>
      </c>
      <c r="B55" s="429"/>
      <c r="D55" s="198"/>
      <c r="E55" s="198"/>
      <c r="F55" s="198"/>
      <c r="G55" s="436"/>
      <c r="H55" s="436"/>
      <c r="I55" s="436"/>
      <c r="J55" s="198"/>
      <c r="K55" s="335"/>
      <c r="L55" s="436"/>
      <c r="M55" s="335"/>
      <c r="N55" s="198"/>
      <c r="O55" s="198"/>
      <c r="P55" s="198"/>
      <c r="Q55" s="437">
        <f>sum(B55:P55)</f>
        <v>0</v>
      </c>
      <c r="R55">
        <f>Q55/sum(KIMARITE!k_total)*100</f>
        <v>0</v>
      </c>
      <c r="S55" s="23">
        <f t="shared" si="39"/>
        <v>0</v>
      </c>
      <c r="T55" s="23"/>
      <c r="U55">
        <v>2.472</v>
      </c>
      <c r="W55">
        <f>SUM(AA55:AK55)/ALL_KIMARITE_SUM</f>
        <v>0.001271051795</v>
      </c>
      <c r="X55">
        <f t="shared" si="40"/>
        <v>0.13</v>
      </c>
      <c r="AB55" s="23">
        <v>1.0</v>
      </c>
      <c r="AC55" s="23">
        <v>1.0</v>
      </c>
      <c r="AD55">
        <v>1.0</v>
      </c>
      <c r="AH55">
        <v>1.0</v>
      </c>
      <c r="AK55" s="198"/>
      <c r="AL55" s="198">
        <v>1.0</v>
      </c>
      <c r="AM55" s="198">
        <v>1.0</v>
      </c>
      <c r="BA55" s="198"/>
      <c r="BB55">
        <v>2770.0</v>
      </c>
      <c r="BC55">
        <f t="shared" si="41"/>
        <v>0.02471537171</v>
      </c>
      <c r="BD55">
        <f t="shared" si="42"/>
        <v>2.472</v>
      </c>
      <c r="BF55">
        <v>2770.0</v>
      </c>
    </row>
    <row r="56">
      <c r="A56" s="334" t="s">
        <v>455</v>
      </c>
      <c r="B56" s="429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212">
        <v>7.0</v>
      </c>
      <c r="R56">
        <f>Q56/sum(KIMARITE!k_total)*100</f>
        <v>2.430555556</v>
      </c>
      <c r="S56" s="23">
        <f t="shared" si="39"/>
        <v>2.43</v>
      </c>
      <c r="T56" s="23"/>
      <c r="U56">
        <v>2.447</v>
      </c>
      <c r="W56">
        <f>SUM(AA56:AK56)/ALL_KIMARITE_SUM</f>
        <v>0.02129011757</v>
      </c>
      <c r="X56">
        <f t="shared" si="40"/>
        <v>2.13</v>
      </c>
      <c r="AA56" s="23">
        <v>10.0</v>
      </c>
      <c r="AB56" s="23">
        <v>6.0</v>
      </c>
      <c r="AC56" s="23">
        <v>9.0</v>
      </c>
      <c r="AD56">
        <v>6.0</v>
      </c>
      <c r="AE56">
        <v>3.0</v>
      </c>
      <c r="AF56">
        <v>6.0</v>
      </c>
      <c r="AG56">
        <v>10.0</v>
      </c>
      <c r="AH56">
        <v>2.0</v>
      </c>
      <c r="AI56">
        <v>4.0</v>
      </c>
      <c r="AJ56" s="23">
        <v>7.0</v>
      </c>
      <c r="AK56" s="198">
        <v>4.0</v>
      </c>
      <c r="AL56" s="198">
        <v>14.0</v>
      </c>
      <c r="AM56" s="198">
        <v>9.0</v>
      </c>
      <c r="BA56" s="198"/>
      <c r="BB56">
        <v>2742.0</v>
      </c>
      <c r="BC56">
        <f t="shared" si="41"/>
        <v>0.02446554124</v>
      </c>
      <c r="BD56">
        <f t="shared" si="42"/>
        <v>2.447</v>
      </c>
      <c r="BF56">
        <v>2742.0</v>
      </c>
    </row>
    <row r="57">
      <c r="A57" s="201" t="s">
        <v>456</v>
      </c>
      <c r="B57" s="429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212">
        <v>7.0</v>
      </c>
      <c r="R57">
        <f>Q57/sum(KIMARITE!k_total)*100</f>
        <v>2.430555556</v>
      </c>
      <c r="S57" s="23">
        <f t="shared" si="39"/>
        <v>2.43</v>
      </c>
      <c r="T57" s="23"/>
      <c r="U57">
        <v>2.297</v>
      </c>
      <c r="W57">
        <f>SUM(AA57:AK57)/ALL_KIMARITE_SUM</f>
        <v>0.0279631395</v>
      </c>
      <c r="X57">
        <f t="shared" si="40"/>
        <v>2.8</v>
      </c>
      <c r="AA57" s="23">
        <v>8.0</v>
      </c>
      <c r="AB57" s="23">
        <v>12.0</v>
      </c>
      <c r="AC57" s="23">
        <v>7.0</v>
      </c>
      <c r="AD57">
        <v>4.0</v>
      </c>
      <c r="AE57">
        <v>9.0</v>
      </c>
      <c r="AF57">
        <v>14.0</v>
      </c>
      <c r="AG57">
        <v>9.0</v>
      </c>
      <c r="AH57">
        <v>7.0</v>
      </c>
      <c r="AI57">
        <v>9.0</v>
      </c>
      <c r="AJ57" s="23">
        <v>7.0</v>
      </c>
      <c r="AK57" s="198">
        <v>2.0</v>
      </c>
      <c r="AL57" s="198">
        <v>6.0</v>
      </c>
      <c r="AM57" s="198">
        <v>10.0</v>
      </c>
      <c r="BA57" s="198"/>
      <c r="BB57">
        <v>2574.0</v>
      </c>
      <c r="BC57">
        <f t="shared" si="41"/>
        <v>0.02296655841</v>
      </c>
      <c r="BD57">
        <f t="shared" si="42"/>
        <v>2.297</v>
      </c>
      <c r="BF57">
        <v>2574.0</v>
      </c>
    </row>
    <row r="58">
      <c r="A58" s="438" t="s">
        <v>457</v>
      </c>
      <c r="B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212">
        <v>3.0</v>
      </c>
      <c r="R58">
        <f>Q58/sum(KIMARITE!k_total)*100</f>
        <v>1.041666667</v>
      </c>
      <c r="S58" s="23">
        <f t="shared" si="39"/>
        <v>1.04</v>
      </c>
      <c r="T58" s="23"/>
      <c r="U58">
        <v>1.6889999999999998</v>
      </c>
      <c r="W58">
        <f>SUM(AA58:AK58)/ALL_KIMARITE_SUM</f>
        <v>0.02287893232</v>
      </c>
      <c r="X58">
        <f t="shared" si="40"/>
        <v>2.29</v>
      </c>
      <c r="AA58" s="23">
        <v>5.0</v>
      </c>
      <c r="AB58" s="23">
        <v>2.0</v>
      </c>
      <c r="AC58" s="23">
        <v>9.0</v>
      </c>
      <c r="AD58">
        <v>7.0</v>
      </c>
      <c r="AE58">
        <v>10.0</v>
      </c>
      <c r="AF58">
        <v>4.0</v>
      </c>
      <c r="AG58">
        <v>8.0</v>
      </c>
      <c r="AH58">
        <v>9.0</v>
      </c>
      <c r="AI58">
        <v>12.0</v>
      </c>
      <c r="AJ58" s="23">
        <v>4.0</v>
      </c>
      <c r="AK58" s="198">
        <v>2.0</v>
      </c>
      <c r="AL58" s="198">
        <v>5.0</v>
      </c>
      <c r="AM58" s="198">
        <v>3.0</v>
      </c>
      <c r="AU58">
        <f>sum(AU51:AU57)</f>
        <v>1134</v>
      </c>
      <c r="BA58" s="198"/>
      <c r="BB58">
        <v>1893.0</v>
      </c>
      <c r="BC58">
        <f t="shared" si="41"/>
        <v>0.01689032442</v>
      </c>
      <c r="BD58">
        <f t="shared" si="42"/>
        <v>1.689</v>
      </c>
      <c r="BF58">
        <v>1893.0</v>
      </c>
    </row>
    <row r="59">
      <c r="A59" s="439" t="s">
        <v>458</v>
      </c>
      <c r="B59" s="198"/>
      <c r="D59" s="198"/>
      <c r="E59" s="198"/>
      <c r="F59" s="198"/>
      <c r="G59" s="198"/>
      <c r="H59" s="198"/>
      <c r="I59" s="198"/>
      <c r="J59" s="440"/>
      <c r="K59" s="198"/>
      <c r="L59" s="198"/>
      <c r="M59" s="198"/>
      <c r="N59" s="198"/>
      <c r="O59" s="198"/>
      <c r="P59" s="198"/>
      <c r="Q59" s="212">
        <v>4.0</v>
      </c>
      <c r="R59">
        <f>Q59/sum(KIMARITE!k_total)*100</f>
        <v>1.388888889</v>
      </c>
      <c r="S59" s="23">
        <f t="shared" si="39"/>
        <v>1.39</v>
      </c>
      <c r="T59" s="23"/>
      <c r="U59">
        <v>1.498</v>
      </c>
      <c r="W59">
        <f>SUM(AA59:AK59)/ALL_KIMARITE_SUM</f>
        <v>0.01557038449</v>
      </c>
      <c r="X59">
        <f t="shared" si="40"/>
        <v>1.56</v>
      </c>
      <c r="AA59" s="23">
        <v>6.0</v>
      </c>
      <c r="AB59" s="23">
        <v>4.0</v>
      </c>
      <c r="AC59" s="23">
        <v>6.0</v>
      </c>
      <c r="AD59">
        <v>3.0</v>
      </c>
      <c r="AE59">
        <v>1.0</v>
      </c>
      <c r="AF59">
        <v>1.0</v>
      </c>
      <c r="AG59">
        <v>4.0</v>
      </c>
      <c r="AH59">
        <v>5.0</v>
      </c>
      <c r="AI59">
        <v>8.0</v>
      </c>
      <c r="AJ59" s="23">
        <v>5.0</v>
      </c>
      <c r="AK59" s="198">
        <v>6.0</v>
      </c>
      <c r="AL59" s="198">
        <v>6.0</v>
      </c>
      <c r="AM59" s="198">
        <v>3.0</v>
      </c>
      <c r="BA59" s="198"/>
      <c r="BB59">
        <v>1679.0</v>
      </c>
      <c r="BC59">
        <f t="shared" si="41"/>
        <v>0.01498090581</v>
      </c>
      <c r="BD59">
        <f t="shared" si="42"/>
        <v>1.498</v>
      </c>
      <c r="BF59">
        <v>1679.0</v>
      </c>
    </row>
    <row r="60">
      <c r="A60" s="441" t="s">
        <v>459</v>
      </c>
      <c r="B60" s="198"/>
      <c r="D60" s="198"/>
      <c r="E60" s="198"/>
      <c r="F60" s="198"/>
      <c r="G60" s="335"/>
      <c r="H60" s="335"/>
      <c r="I60" s="335"/>
      <c r="J60" s="335"/>
      <c r="K60" s="198"/>
      <c r="L60" s="335"/>
      <c r="M60" s="335"/>
      <c r="N60" s="198"/>
      <c r="O60" s="198"/>
      <c r="P60" s="198"/>
      <c r="Q60" s="437">
        <f t="shared" ref="Q60:Q61" si="43">sum(B60:P60)</f>
        <v>0</v>
      </c>
      <c r="R60">
        <f>Q60/sum(KIMARITE!k_total)*100</f>
        <v>0</v>
      </c>
      <c r="S60" s="23">
        <f t="shared" si="39"/>
        <v>0</v>
      </c>
      <c r="T60" s="23"/>
      <c r="U60">
        <v>1.15</v>
      </c>
      <c r="W60">
        <f>SUM(AA60:AK60)/ALL_KIMARITE_SUM</f>
        <v>0.001588814744</v>
      </c>
      <c r="X60">
        <f t="shared" si="40"/>
        <v>0.16</v>
      </c>
      <c r="AA60" s="23">
        <v>1.0</v>
      </c>
      <c r="AC60" s="23">
        <v>1.0</v>
      </c>
      <c r="AD60">
        <v>1.0</v>
      </c>
      <c r="AF60">
        <v>1.0</v>
      </c>
      <c r="AK60" s="198">
        <v>1.0</v>
      </c>
      <c r="AL60" s="198"/>
      <c r="AM60" s="198"/>
      <c r="BA60" s="198"/>
      <c r="BB60">
        <v>1289.0</v>
      </c>
      <c r="BC60">
        <f t="shared" si="41"/>
        <v>0.01150112424</v>
      </c>
      <c r="BD60">
        <f t="shared" si="42"/>
        <v>1.15</v>
      </c>
      <c r="BF60">
        <v>1289.0</v>
      </c>
    </row>
    <row r="61">
      <c r="A61" s="442" t="s">
        <v>460</v>
      </c>
      <c r="B61" s="198"/>
      <c r="D61" s="198"/>
      <c r="E61" s="198"/>
      <c r="F61" s="198"/>
      <c r="O61" s="198"/>
      <c r="P61" s="198"/>
      <c r="Q61" s="437">
        <f t="shared" si="43"/>
        <v>0</v>
      </c>
      <c r="R61">
        <f>Q61/sum(KIMARITE!k_total)*100</f>
        <v>0</v>
      </c>
      <c r="S61" s="23">
        <f t="shared" si="39"/>
        <v>0</v>
      </c>
      <c r="T61" s="23"/>
      <c r="U61">
        <v>0.9129999999999999</v>
      </c>
      <c r="W61">
        <f>SUM(AA61:AK61)/ALL_KIMARITE_SUM</f>
        <v>0.0006355258977</v>
      </c>
      <c r="X61">
        <f t="shared" si="40"/>
        <v>0.06</v>
      </c>
      <c r="Y61" s="23" t="s">
        <v>461</v>
      </c>
      <c r="Z61" s="23" t="s">
        <v>32</v>
      </c>
      <c r="AD61">
        <v>1.0</v>
      </c>
      <c r="AK61" s="198">
        <v>1.0</v>
      </c>
      <c r="AL61" s="198"/>
      <c r="AM61" s="198"/>
      <c r="BA61" s="198"/>
      <c r="BB61">
        <v>1023.0</v>
      </c>
      <c r="BC61">
        <f t="shared" si="41"/>
        <v>0.009127734751</v>
      </c>
      <c r="BD61">
        <f t="shared" si="42"/>
        <v>0.913</v>
      </c>
      <c r="BF61">
        <v>1023.0</v>
      </c>
    </row>
    <row r="62">
      <c r="A62" s="443" t="s">
        <v>462</v>
      </c>
      <c r="B62" s="429"/>
      <c r="D62" s="198"/>
      <c r="E62" s="198"/>
      <c r="F62" s="198"/>
      <c r="G62" s="440"/>
      <c r="H62" s="198"/>
      <c r="I62" s="198"/>
      <c r="J62" s="198"/>
      <c r="K62" s="198"/>
      <c r="L62" s="335"/>
      <c r="M62" s="335"/>
      <c r="N62" s="198"/>
      <c r="O62" s="198"/>
      <c r="P62" s="198"/>
      <c r="Q62" s="212">
        <v>2.0</v>
      </c>
      <c r="R62">
        <f>Q62/sum(KIMARITE!k_total)*100</f>
        <v>0.6944444444</v>
      </c>
      <c r="S62" s="23">
        <f t="shared" si="39"/>
        <v>0.69</v>
      </c>
      <c r="T62" s="23"/>
      <c r="U62">
        <v>0.88</v>
      </c>
      <c r="W62">
        <f>SUM(AA62:AK62)/ALL_KIMARITE_SUM</f>
        <v>0.01112170321</v>
      </c>
      <c r="X62">
        <f t="shared" si="40"/>
        <v>1.11</v>
      </c>
      <c r="Y62" s="23" t="s">
        <v>463</v>
      </c>
      <c r="Z62" s="23" t="s">
        <v>237</v>
      </c>
      <c r="AA62" s="23">
        <v>2.0</v>
      </c>
      <c r="AB62" s="23">
        <v>5.0</v>
      </c>
      <c r="AC62" s="23">
        <v>2.0</v>
      </c>
      <c r="AD62">
        <v>1.0</v>
      </c>
      <c r="AE62">
        <v>2.0</v>
      </c>
      <c r="AF62">
        <v>3.0</v>
      </c>
      <c r="AG62">
        <v>7.0</v>
      </c>
      <c r="AH62">
        <v>2.0</v>
      </c>
      <c r="AI62">
        <v>2.0</v>
      </c>
      <c r="AJ62" s="23">
        <v>6.0</v>
      </c>
      <c r="AK62" s="198">
        <v>3.0</v>
      </c>
      <c r="AL62" s="198">
        <v>3.0</v>
      </c>
      <c r="AM62" s="198">
        <v>4.0</v>
      </c>
      <c r="BA62" s="198"/>
      <c r="BB62">
        <v>986.0</v>
      </c>
      <c r="BC62">
        <f t="shared" si="41"/>
        <v>0.008797601627</v>
      </c>
      <c r="BD62">
        <f t="shared" si="42"/>
        <v>0.88</v>
      </c>
      <c r="BF62">
        <v>986.0</v>
      </c>
    </row>
    <row r="63">
      <c r="A63" s="444" t="s">
        <v>464</v>
      </c>
      <c r="B63" s="198"/>
      <c r="D63" s="198"/>
      <c r="E63" s="198"/>
      <c r="F63" s="198"/>
      <c r="G63" s="335"/>
      <c r="H63" s="335"/>
      <c r="I63" s="335"/>
      <c r="J63" s="335"/>
      <c r="K63" s="335"/>
      <c r="L63" s="436"/>
      <c r="M63" s="335"/>
      <c r="N63" s="335"/>
      <c r="O63" s="198"/>
      <c r="P63" s="198"/>
      <c r="Q63" s="437">
        <f>sum(B63:P63)</f>
        <v>0</v>
      </c>
      <c r="R63">
        <f>Q63/sum(KIMARITE!k_total)*100</f>
        <v>0</v>
      </c>
      <c r="S63" s="23">
        <f t="shared" si="39"/>
        <v>0</v>
      </c>
      <c r="T63" s="23"/>
      <c r="U63">
        <v>0.592</v>
      </c>
      <c r="W63">
        <f>SUM(AA63:AK63)/ALL_KIMARITE_SUM</f>
        <v>0.0009532888465</v>
      </c>
      <c r="X63">
        <f t="shared" si="40"/>
        <v>0.1</v>
      </c>
      <c r="Y63" s="23" t="s">
        <v>465</v>
      </c>
      <c r="Z63" s="23" t="s">
        <v>48</v>
      </c>
      <c r="AB63" s="23">
        <v>1.0</v>
      </c>
      <c r="AC63" s="23">
        <v>1.0</v>
      </c>
      <c r="AK63" s="198">
        <v>1.0</v>
      </c>
      <c r="AL63" s="198">
        <v>1.0</v>
      </c>
      <c r="AM63" s="198"/>
      <c r="BA63" s="198"/>
      <c r="BB63">
        <v>663.0</v>
      </c>
      <c r="BC63">
        <f t="shared" si="41"/>
        <v>0.005915628681</v>
      </c>
      <c r="BD63">
        <f t="shared" si="42"/>
        <v>0.592</v>
      </c>
      <c r="BF63">
        <v>663.0</v>
      </c>
    </row>
    <row r="64">
      <c r="A64" s="445" t="s">
        <v>466</v>
      </c>
      <c r="B64" s="198"/>
      <c r="D64" s="198"/>
      <c r="E64" s="198"/>
      <c r="L64" s="198"/>
      <c r="O64" s="198"/>
      <c r="P64" s="198"/>
      <c r="Q64" s="212">
        <v>4.0</v>
      </c>
      <c r="R64">
        <f>Q64/sum(KIMARITE!k_total)*100</f>
        <v>1.388888889</v>
      </c>
      <c r="S64" s="23">
        <f t="shared" si="39"/>
        <v>1.39</v>
      </c>
      <c r="T64" s="23"/>
      <c r="U64">
        <v>0.494</v>
      </c>
      <c r="W64">
        <f>SUM(AA64:AK64)/ALL_KIMARITE_SUM</f>
        <v>0.00285986654</v>
      </c>
      <c r="X64">
        <f t="shared" si="40"/>
        <v>0.29</v>
      </c>
      <c r="Y64" s="23" t="s">
        <v>467</v>
      </c>
      <c r="Z64" s="23" t="s">
        <v>163</v>
      </c>
      <c r="AE64" s="23">
        <v>1.0</v>
      </c>
      <c r="AG64">
        <v>2.0</v>
      </c>
      <c r="AH64">
        <v>1.0</v>
      </c>
      <c r="AI64">
        <v>2.0</v>
      </c>
      <c r="AJ64" s="23">
        <v>1.0</v>
      </c>
      <c r="AK64" s="198">
        <v>2.0</v>
      </c>
      <c r="AL64" s="198">
        <v>2.0</v>
      </c>
      <c r="AM64" s="198"/>
      <c r="BA64" s="198"/>
      <c r="BB64">
        <v>554.0</v>
      </c>
      <c r="BC64">
        <f t="shared" si="41"/>
        <v>0.004943074342</v>
      </c>
      <c r="BD64">
        <f t="shared" si="42"/>
        <v>0.494</v>
      </c>
      <c r="BF64">
        <v>554.0</v>
      </c>
    </row>
    <row r="65">
      <c r="A65" s="446" t="s">
        <v>468</v>
      </c>
      <c r="B65" s="429"/>
      <c r="F65" s="198"/>
      <c r="G65" s="198"/>
      <c r="H65" s="335"/>
      <c r="I65" s="335"/>
      <c r="J65" s="335"/>
      <c r="K65" s="198"/>
      <c r="L65" s="335"/>
      <c r="M65" s="335"/>
      <c r="N65" s="198"/>
      <c r="O65" s="198"/>
      <c r="Q65" s="437">
        <f>sum(B65:P65)</f>
        <v>0</v>
      </c>
      <c r="R65">
        <f>Q65/sum(KIMARITE!k_total)*100</f>
        <v>0</v>
      </c>
      <c r="S65" s="23">
        <f t="shared" si="39"/>
        <v>0</v>
      </c>
      <c r="T65" s="23"/>
      <c r="U65">
        <v>0.468</v>
      </c>
      <c r="W65">
        <f>SUM(AA65:AK65)/ALL_KIMARITE_SUM</f>
        <v>0.003495392437</v>
      </c>
      <c r="X65">
        <f t="shared" si="40"/>
        <v>0.35</v>
      </c>
      <c r="Y65" s="23" t="s">
        <v>469</v>
      </c>
      <c r="Z65" s="23" t="s">
        <v>23</v>
      </c>
      <c r="AA65" s="23">
        <v>1.0</v>
      </c>
      <c r="AB65" s="23">
        <v>1.0</v>
      </c>
      <c r="AC65" s="23">
        <v>2.0</v>
      </c>
      <c r="AF65">
        <v>1.0</v>
      </c>
      <c r="AG65">
        <v>1.0</v>
      </c>
      <c r="AH65">
        <v>1.0</v>
      </c>
      <c r="AI65">
        <v>1.0</v>
      </c>
      <c r="AJ65" s="23">
        <v>2.0</v>
      </c>
      <c r="AK65" s="198">
        <v>1.0</v>
      </c>
      <c r="AL65" s="198">
        <v>2.0</v>
      </c>
      <c r="AM65" s="23">
        <v>1.0</v>
      </c>
      <c r="BB65">
        <v>525.0</v>
      </c>
      <c r="BC65">
        <f t="shared" si="41"/>
        <v>0.004684321353</v>
      </c>
      <c r="BD65">
        <f t="shared" si="42"/>
        <v>0.468</v>
      </c>
      <c r="BF65">
        <v>525.0</v>
      </c>
    </row>
    <row r="66">
      <c r="A66" s="447" t="s">
        <v>470</v>
      </c>
      <c r="B66" s="429"/>
      <c r="D66" s="198"/>
      <c r="F66" s="198"/>
      <c r="G66" s="436"/>
      <c r="H66" s="436"/>
      <c r="I66" s="198"/>
      <c r="J66" s="436"/>
      <c r="K66" s="198"/>
      <c r="L66" s="436"/>
      <c r="M66" s="436"/>
      <c r="N66" s="335"/>
      <c r="O66" s="198"/>
      <c r="P66" s="198"/>
      <c r="Q66" s="212">
        <v>4.0</v>
      </c>
      <c r="R66">
        <f>Q66/sum(KIMARITE!k_total)*100</f>
        <v>1.388888889</v>
      </c>
      <c r="S66" s="23">
        <f t="shared" si="39"/>
        <v>1.39</v>
      </c>
      <c r="T66" s="23"/>
      <c r="U66">
        <v>0.466</v>
      </c>
      <c r="W66">
        <f>SUM(AA66:AK66)/ALL_KIMARITE_SUM</f>
        <v>0.002224340642</v>
      </c>
      <c r="X66">
        <f t="shared" si="40"/>
        <v>0.22</v>
      </c>
      <c r="Y66" s="23" t="s">
        <v>471</v>
      </c>
      <c r="Z66" s="23" t="s">
        <v>125</v>
      </c>
      <c r="AC66" s="23">
        <v>2.0</v>
      </c>
      <c r="AD66">
        <v>1.0</v>
      </c>
      <c r="AF66">
        <v>1.0</v>
      </c>
      <c r="AI66">
        <v>1.0</v>
      </c>
      <c r="AJ66" s="23">
        <v>1.0</v>
      </c>
      <c r="AK66" s="440">
        <v>1.0</v>
      </c>
      <c r="AL66" s="440">
        <v>2.0</v>
      </c>
      <c r="AM66" s="198">
        <v>1.0</v>
      </c>
      <c r="BA66" s="198"/>
      <c r="BB66">
        <v>522.0</v>
      </c>
      <c r="BC66">
        <f t="shared" si="41"/>
        <v>0.004657553803</v>
      </c>
      <c r="BD66">
        <f t="shared" si="42"/>
        <v>0.466</v>
      </c>
      <c r="BF66">
        <v>522.0</v>
      </c>
    </row>
    <row r="67">
      <c r="A67" s="448" t="s">
        <v>472</v>
      </c>
      <c r="B67" s="198"/>
      <c r="D67" s="198"/>
      <c r="F67" s="198"/>
      <c r="G67" s="198"/>
      <c r="H67" s="335"/>
      <c r="I67" s="335"/>
      <c r="J67" s="335"/>
      <c r="K67" s="335"/>
      <c r="L67" s="436"/>
      <c r="M67" s="335"/>
      <c r="N67" s="198"/>
      <c r="O67" s="198"/>
      <c r="P67" s="429"/>
      <c r="Q67" s="212">
        <v>3.0</v>
      </c>
      <c r="R67">
        <f>Q67/sum(KIMARITE!k_total)*100</f>
        <v>1.041666667</v>
      </c>
      <c r="S67" s="23">
        <f t="shared" si="39"/>
        <v>1.04</v>
      </c>
      <c r="T67" s="23"/>
      <c r="U67">
        <v>0.381</v>
      </c>
      <c r="W67">
        <f>SUM(AA67:AK67)/ALL_KIMARITE_SUM</f>
        <v>0.003177629488</v>
      </c>
      <c r="X67">
        <f t="shared" si="40"/>
        <v>0.32</v>
      </c>
      <c r="Y67" s="23" t="s">
        <v>473</v>
      </c>
      <c r="Z67" s="23" t="s">
        <v>114</v>
      </c>
      <c r="AB67" s="23">
        <v>1.0</v>
      </c>
      <c r="AD67">
        <v>1.0</v>
      </c>
      <c r="AE67">
        <v>2.0</v>
      </c>
      <c r="AF67">
        <v>1.0</v>
      </c>
      <c r="AG67">
        <v>2.0</v>
      </c>
      <c r="AH67">
        <v>1.0</v>
      </c>
      <c r="AJ67" s="23">
        <v>1.0</v>
      </c>
      <c r="AK67" s="198">
        <v>1.0</v>
      </c>
      <c r="AL67" s="198"/>
      <c r="AM67" s="429">
        <v>2.0</v>
      </c>
      <c r="BA67" s="429"/>
      <c r="BB67">
        <v>427.0</v>
      </c>
      <c r="BC67">
        <f t="shared" si="41"/>
        <v>0.003809914701</v>
      </c>
      <c r="BD67">
        <f t="shared" si="42"/>
        <v>0.381</v>
      </c>
      <c r="BF67">
        <v>427.0</v>
      </c>
    </row>
    <row r="68">
      <c r="A68" s="449" t="s">
        <v>474</v>
      </c>
      <c r="B68" s="429"/>
      <c r="D68" s="198"/>
      <c r="F68" s="198"/>
      <c r="G68" s="436"/>
      <c r="H68" s="440"/>
      <c r="I68" s="436"/>
      <c r="J68" s="436"/>
      <c r="K68" s="198"/>
      <c r="L68" s="436"/>
      <c r="M68" s="335"/>
      <c r="N68" s="198"/>
      <c r="O68" s="198"/>
      <c r="P68" s="198"/>
      <c r="Q68" s="437">
        <f t="shared" ref="Q68:Q82" si="44">sum(B68:P68)</f>
        <v>0</v>
      </c>
      <c r="R68">
        <f>Q68/sum(KIMARITE!k_total)*100</f>
        <v>0</v>
      </c>
      <c r="S68" s="23">
        <f t="shared" si="39"/>
        <v>0</v>
      </c>
      <c r="T68" s="23"/>
      <c r="U68">
        <v>0.338</v>
      </c>
      <c r="W68">
        <f>SUM(AA68:AK68)/ALL_KIMARITE_SUM</f>
        <v>0.003177629488</v>
      </c>
      <c r="X68">
        <f t="shared" si="40"/>
        <v>0.32</v>
      </c>
      <c r="Y68" s="23" t="s">
        <v>475</v>
      </c>
      <c r="Z68" s="23" t="s">
        <v>236</v>
      </c>
      <c r="AB68" s="23">
        <v>1.0</v>
      </c>
      <c r="AC68" s="23">
        <v>3.0</v>
      </c>
      <c r="AE68">
        <v>1.0</v>
      </c>
      <c r="AF68">
        <v>1.0</v>
      </c>
      <c r="AG68">
        <v>1.0</v>
      </c>
      <c r="AH68">
        <v>1.0</v>
      </c>
      <c r="AJ68" s="23">
        <v>1.0</v>
      </c>
      <c r="AK68" s="198">
        <v>1.0</v>
      </c>
      <c r="AL68" s="198">
        <v>1.0</v>
      </c>
      <c r="AM68" s="198">
        <v>2.0</v>
      </c>
      <c r="BA68" s="198"/>
      <c r="BB68">
        <v>379.0</v>
      </c>
      <c r="BC68">
        <f t="shared" si="41"/>
        <v>0.003381633891</v>
      </c>
      <c r="BD68">
        <f t="shared" si="42"/>
        <v>0.338</v>
      </c>
      <c r="BF68">
        <v>379.0</v>
      </c>
    </row>
    <row r="69">
      <c r="A69" s="450" t="s">
        <v>476</v>
      </c>
      <c r="B69" s="197"/>
      <c r="D69" s="198"/>
      <c r="H69" s="198"/>
      <c r="O69" s="198"/>
      <c r="P69" s="198"/>
      <c r="Q69" s="437">
        <f t="shared" si="44"/>
        <v>0</v>
      </c>
      <c r="R69">
        <f>Q69/sum(KIMARITE!k_total)*100</f>
        <v>0</v>
      </c>
      <c r="S69" s="23">
        <f t="shared" si="39"/>
        <v>0</v>
      </c>
      <c r="T69" s="23"/>
      <c r="U69">
        <v>0.321</v>
      </c>
      <c r="W69">
        <f>SUM(AA69:AK69)/ALL_KIMARITE_SUM</f>
        <v>0.001271051795</v>
      </c>
      <c r="X69">
        <f t="shared" si="40"/>
        <v>0.13</v>
      </c>
      <c r="Y69" s="23" t="s">
        <v>467</v>
      </c>
      <c r="Z69" s="23" t="s">
        <v>48</v>
      </c>
      <c r="AD69">
        <v>1.0</v>
      </c>
      <c r="AH69">
        <v>1.0</v>
      </c>
      <c r="AI69">
        <v>1.0</v>
      </c>
      <c r="AK69" s="198">
        <v>1.0</v>
      </c>
      <c r="AL69" s="198">
        <v>1.0</v>
      </c>
      <c r="AM69" s="198">
        <v>1.0</v>
      </c>
      <c r="BA69" s="198"/>
      <c r="BB69">
        <v>360.0</v>
      </c>
      <c r="BC69">
        <f t="shared" si="41"/>
        <v>0.003212106071</v>
      </c>
      <c r="BD69">
        <f t="shared" si="42"/>
        <v>0.321</v>
      </c>
      <c r="BF69">
        <v>360.0</v>
      </c>
    </row>
    <row r="70">
      <c r="A70" s="451" t="s">
        <v>477</v>
      </c>
      <c r="D70" s="198"/>
      <c r="O70" s="198"/>
      <c r="Q70" s="437">
        <f t="shared" si="44"/>
        <v>0</v>
      </c>
      <c r="S70" s="23">
        <f t="shared" si="39"/>
        <v>0</v>
      </c>
      <c r="U70">
        <v>0.29</v>
      </c>
      <c r="W70">
        <f>SUM(AA70:AI70)/ALL_KIMARITE_SUM</f>
        <v>0</v>
      </c>
      <c r="Y70" s="23" t="s">
        <v>478</v>
      </c>
      <c r="Z70" s="23" t="s">
        <v>167</v>
      </c>
      <c r="BB70">
        <v>325.0</v>
      </c>
      <c r="BC70">
        <f t="shared" si="41"/>
        <v>0.002899817981</v>
      </c>
      <c r="BD70">
        <f t="shared" si="42"/>
        <v>0.29</v>
      </c>
      <c r="BF70">
        <v>325.0</v>
      </c>
    </row>
    <row r="71">
      <c r="A71" s="452" t="s">
        <v>425</v>
      </c>
      <c r="B71" s="198"/>
      <c r="D71" s="198"/>
      <c r="H71" s="198"/>
      <c r="L71" s="198"/>
      <c r="O71" s="198"/>
      <c r="Q71" s="437">
        <f t="shared" si="44"/>
        <v>0</v>
      </c>
      <c r="R71">
        <f>Q71/sum(KIMARITE!k_total)*100</f>
        <v>0</v>
      </c>
      <c r="S71" s="23">
        <f t="shared" si="39"/>
        <v>0</v>
      </c>
      <c r="T71" s="23"/>
      <c r="U71">
        <v>0.28500000000000003</v>
      </c>
      <c r="W71">
        <f>SUM(AA71:AK71)/ALL_KIMARITE_SUM</f>
        <v>0.001271051795</v>
      </c>
      <c r="X71">
        <f t="shared" ref="X71:X72" si="45">ROUND(W71,4)*100</f>
        <v>0.13</v>
      </c>
      <c r="Y71" s="23" t="s">
        <v>479</v>
      </c>
      <c r="Z71" s="23" t="s">
        <v>236</v>
      </c>
      <c r="AF71">
        <v>2.0</v>
      </c>
      <c r="AG71">
        <v>1.0</v>
      </c>
      <c r="AH71">
        <v>1.0</v>
      </c>
      <c r="AL71" s="23">
        <v>1.0</v>
      </c>
      <c r="BB71">
        <v>319.0</v>
      </c>
      <c r="BC71">
        <f t="shared" si="41"/>
        <v>0.002846282879</v>
      </c>
      <c r="BD71">
        <f t="shared" si="42"/>
        <v>0.285</v>
      </c>
      <c r="BF71">
        <v>319.0</v>
      </c>
    </row>
    <row r="72">
      <c r="A72" s="453" t="s">
        <v>480</v>
      </c>
      <c r="B72" s="429"/>
      <c r="D72" s="198"/>
      <c r="F72" s="198"/>
      <c r="G72" s="335"/>
      <c r="H72" s="198"/>
      <c r="I72" s="335"/>
      <c r="J72" s="335"/>
      <c r="K72" s="198"/>
      <c r="L72" s="335"/>
      <c r="M72" s="198"/>
      <c r="N72" s="198"/>
      <c r="O72" s="198"/>
      <c r="P72" s="198"/>
      <c r="Q72" s="437">
        <f t="shared" si="44"/>
        <v>0</v>
      </c>
      <c r="R72">
        <f>Q72/sum(KIMARITE!k_total)*100</f>
        <v>0</v>
      </c>
      <c r="S72" s="23">
        <f t="shared" si="39"/>
        <v>0</v>
      </c>
      <c r="T72" s="23"/>
      <c r="U72">
        <v>0.257</v>
      </c>
      <c r="W72">
        <f>SUM(AA72:AK72)/ALL_KIMARITE_SUM</f>
        <v>0.003177629488</v>
      </c>
      <c r="X72">
        <f t="shared" si="45"/>
        <v>0.32</v>
      </c>
      <c r="Y72" s="23" t="s">
        <v>475</v>
      </c>
      <c r="Z72" s="23" t="s">
        <v>48</v>
      </c>
      <c r="AA72" s="23">
        <v>2.0</v>
      </c>
      <c r="AD72">
        <v>1.0</v>
      </c>
      <c r="AE72">
        <v>2.0</v>
      </c>
      <c r="AF72">
        <v>1.0</v>
      </c>
      <c r="AG72">
        <v>1.0</v>
      </c>
      <c r="AH72">
        <v>1.0</v>
      </c>
      <c r="AI72">
        <v>2.0</v>
      </c>
      <c r="AK72" s="198"/>
      <c r="AL72" s="198">
        <v>2.0</v>
      </c>
      <c r="AM72" s="198">
        <v>1.0</v>
      </c>
      <c r="BA72" s="198"/>
      <c r="BB72">
        <v>288.0</v>
      </c>
      <c r="BC72">
        <f t="shared" si="41"/>
        <v>0.002569684857</v>
      </c>
      <c r="BD72">
        <f t="shared" si="42"/>
        <v>0.257</v>
      </c>
      <c r="BF72">
        <v>288.0</v>
      </c>
    </row>
    <row r="73">
      <c r="A73" s="451" t="s">
        <v>481</v>
      </c>
      <c r="D73" s="198"/>
      <c r="O73" s="198"/>
      <c r="Q73" s="437">
        <f t="shared" si="44"/>
        <v>0</v>
      </c>
      <c r="S73" s="23">
        <f t="shared" si="39"/>
        <v>0</v>
      </c>
      <c r="U73">
        <v>0.22799999999999998</v>
      </c>
      <c r="W73">
        <f>SUM(AA73:AI73)/ALL_KIMARITE_SUM</f>
        <v>0</v>
      </c>
      <c r="Y73" s="23" t="s">
        <v>482</v>
      </c>
      <c r="Z73" s="23" t="s">
        <v>271</v>
      </c>
      <c r="BB73">
        <v>256.0</v>
      </c>
      <c r="BC73">
        <f t="shared" si="41"/>
        <v>0.002284164317</v>
      </c>
      <c r="BD73">
        <f t="shared" si="42"/>
        <v>0.228</v>
      </c>
      <c r="BF73">
        <v>256.0</v>
      </c>
    </row>
    <row r="74">
      <c r="A74" s="454" t="s">
        <v>483</v>
      </c>
      <c r="B74" s="198"/>
      <c r="D74" s="198"/>
      <c r="F74" s="198"/>
      <c r="G74" s="198"/>
      <c r="H74" s="198"/>
      <c r="O74" s="198"/>
      <c r="Q74" s="437">
        <f t="shared" si="44"/>
        <v>0</v>
      </c>
      <c r="R74">
        <f>Q74/sum(KIMARITE!k_total)*100</f>
        <v>0</v>
      </c>
      <c r="S74" s="23">
        <f t="shared" si="39"/>
        <v>0</v>
      </c>
      <c r="T74" s="23"/>
      <c r="U74">
        <v>0.217</v>
      </c>
      <c r="W74">
        <f>SUM(AA74:AK74)/ALL_KIMARITE_SUM</f>
        <v>0.002542103591</v>
      </c>
      <c r="X74">
        <f t="shared" ref="X74:X78" si="46">ROUND(W74,4)*100</f>
        <v>0.25</v>
      </c>
      <c r="Y74" s="23" t="s">
        <v>484</v>
      </c>
      <c r="Z74" s="23" t="s">
        <v>79</v>
      </c>
      <c r="AD74">
        <v>1.0</v>
      </c>
      <c r="AE74">
        <v>1.0</v>
      </c>
      <c r="AG74">
        <v>1.0</v>
      </c>
      <c r="AH74">
        <v>1.0</v>
      </c>
      <c r="AI74">
        <v>2.0</v>
      </c>
      <c r="AJ74" s="23">
        <v>2.0</v>
      </c>
      <c r="AM74" s="23">
        <v>2.0</v>
      </c>
      <c r="BB74">
        <v>243.0</v>
      </c>
      <c r="BC74">
        <f t="shared" si="41"/>
        <v>0.002168171598</v>
      </c>
      <c r="BD74">
        <f t="shared" si="42"/>
        <v>0.217</v>
      </c>
      <c r="BF74">
        <v>243.0</v>
      </c>
    </row>
    <row r="75">
      <c r="A75" s="455" t="s">
        <v>485</v>
      </c>
      <c r="B75" s="198"/>
      <c r="D75" s="198"/>
      <c r="F75" s="198"/>
      <c r="G75" s="436"/>
      <c r="H75" s="436"/>
      <c r="I75" s="335"/>
      <c r="J75" s="436"/>
      <c r="K75" s="436"/>
      <c r="L75" s="436"/>
      <c r="M75" s="436"/>
      <c r="N75" s="335"/>
      <c r="O75" s="198"/>
      <c r="P75" s="198"/>
      <c r="Q75" s="437">
        <f t="shared" si="44"/>
        <v>0</v>
      </c>
      <c r="R75">
        <f>Q75/sum(KIMARITE!k_total)*100</f>
        <v>0</v>
      </c>
      <c r="S75" s="23">
        <f t="shared" si="39"/>
        <v>0</v>
      </c>
      <c r="T75" s="23"/>
      <c r="U75">
        <v>0.20500000000000002</v>
      </c>
      <c r="W75">
        <f>SUM(AA75:AK75)/ALL_KIMARITE_SUM</f>
        <v>0.001271051795</v>
      </c>
      <c r="X75">
        <f t="shared" si="46"/>
        <v>0.13</v>
      </c>
      <c r="Y75" s="23" t="s">
        <v>471</v>
      </c>
      <c r="Z75" s="23" t="s">
        <v>238</v>
      </c>
      <c r="AC75" s="23">
        <v>1.0</v>
      </c>
      <c r="AD75">
        <v>2.0</v>
      </c>
      <c r="AG75">
        <v>1.0</v>
      </c>
      <c r="AK75" s="436"/>
      <c r="AL75" s="440">
        <v>1.0</v>
      </c>
      <c r="AM75" s="198"/>
      <c r="BA75" s="198"/>
      <c r="BB75">
        <v>230.0</v>
      </c>
      <c r="BC75">
        <f t="shared" si="41"/>
        <v>0.002052178879</v>
      </c>
      <c r="BD75">
        <f t="shared" si="42"/>
        <v>0.205</v>
      </c>
      <c r="BF75">
        <v>230.0</v>
      </c>
    </row>
    <row r="76">
      <c r="A76" s="456" t="s">
        <v>486</v>
      </c>
      <c r="B76" s="198"/>
      <c r="D76" s="198"/>
      <c r="F76" s="198"/>
      <c r="G76" s="198"/>
      <c r="H76" s="335"/>
      <c r="I76" s="335"/>
      <c r="J76" s="335"/>
      <c r="K76" s="198"/>
      <c r="L76" s="198"/>
      <c r="M76" s="335"/>
      <c r="N76" s="198"/>
      <c r="O76" s="198"/>
      <c r="P76" s="335"/>
      <c r="Q76" s="437">
        <f t="shared" si="44"/>
        <v>0</v>
      </c>
      <c r="R76">
        <f>Q76/sum(KIMARITE!k_total)*100</f>
        <v>0</v>
      </c>
      <c r="S76" s="23">
        <f t="shared" si="39"/>
        <v>0</v>
      </c>
      <c r="T76" s="23"/>
      <c r="U76">
        <v>0.169</v>
      </c>
      <c r="W76">
        <f>SUM(AA76:AK76)/ALL_KIMARITE_SUM</f>
        <v>0.002224340642</v>
      </c>
      <c r="X76">
        <f t="shared" si="46"/>
        <v>0.22</v>
      </c>
      <c r="Y76" s="23" t="s">
        <v>487</v>
      </c>
      <c r="Z76" s="23" t="s">
        <v>125</v>
      </c>
      <c r="AB76" s="23">
        <v>2.0</v>
      </c>
      <c r="AD76">
        <v>1.0</v>
      </c>
      <c r="AE76">
        <v>1.0</v>
      </c>
      <c r="AG76">
        <v>2.0</v>
      </c>
      <c r="AJ76" s="23">
        <v>1.0</v>
      </c>
      <c r="AK76" s="335"/>
      <c r="AL76" s="440">
        <v>1.0</v>
      </c>
      <c r="AM76" s="335"/>
      <c r="BA76" s="335"/>
      <c r="BB76">
        <v>189.0</v>
      </c>
      <c r="BC76">
        <f t="shared" si="41"/>
        <v>0.001686355687</v>
      </c>
      <c r="BD76">
        <f t="shared" si="42"/>
        <v>0.169</v>
      </c>
      <c r="BF76">
        <v>189.0</v>
      </c>
    </row>
    <row r="77">
      <c r="A77" s="457" t="s">
        <v>488</v>
      </c>
      <c r="B77" s="198"/>
      <c r="D77" s="198"/>
      <c r="F77" s="198"/>
      <c r="G77" s="436"/>
      <c r="H77" s="436"/>
      <c r="I77" s="436"/>
      <c r="J77" s="436"/>
      <c r="K77" s="436"/>
      <c r="L77" s="436"/>
      <c r="M77" s="436"/>
      <c r="N77" s="198"/>
      <c r="O77" s="198"/>
      <c r="P77" s="436"/>
      <c r="Q77" s="437">
        <f t="shared" si="44"/>
        <v>0</v>
      </c>
      <c r="R77">
        <f>Q77/sum(KIMARITE!k_total)*100</f>
        <v>0</v>
      </c>
      <c r="S77" s="23">
        <f t="shared" si="39"/>
        <v>0</v>
      </c>
      <c r="T77" s="23"/>
      <c r="U77">
        <v>0.16199999999999998</v>
      </c>
      <c r="W77">
        <f>SUM(AA77:AK77)/ALL_KIMARITE_SUM</f>
        <v>0.0006355258977</v>
      </c>
      <c r="X77">
        <f t="shared" si="46"/>
        <v>0.06</v>
      </c>
      <c r="Y77" s="23" t="s">
        <v>489</v>
      </c>
      <c r="Z77" s="23" t="s">
        <v>107</v>
      </c>
      <c r="AC77" s="23">
        <v>1.0</v>
      </c>
      <c r="AI77">
        <v>1.0</v>
      </c>
      <c r="AK77" s="335"/>
      <c r="AL77" s="335"/>
      <c r="AM77" s="436"/>
      <c r="BA77" s="436"/>
      <c r="BB77">
        <v>182.0</v>
      </c>
      <c r="BC77">
        <f t="shared" si="41"/>
        <v>0.001623898069</v>
      </c>
      <c r="BD77">
        <f t="shared" si="42"/>
        <v>0.162</v>
      </c>
      <c r="BF77">
        <v>182.0</v>
      </c>
    </row>
    <row r="78">
      <c r="A78" s="458" t="s">
        <v>490</v>
      </c>
      <c r="B78" s="198"/>
      <c r="D78" s="198"/>
      <c r="F78" s="198"/>
      <c r="G78" s="436"/>
      <c r="H78" s="335"/>
      <c r="I78" s="335"/>
      <c r="J78" s="335"/>
      <c r="K78" s="335"/>
      <c r="L78" s="436"/>
      <c r="M78" s="335"/>
      <c r="N78" s="335"/>
      <c r="O78" s="198"/>
      <c r="P78" s="436"/>
      <c r="Q78" s="437">
        <f t="shared" si="44"/>
        <v>0</v>
      </c>
      <c r="R78">
        <f>Q78/sum(KIMARITE!k_total)*100</f>
        <v>0</v>
      </c>
      <c r="S78" s="23">
        <f t="shared" si="39"/>
        <v>0</v>
      </c>
      <c r="T78" s="23"/>
      <c r="U78">
        <v>0.121</v>
      </c>
      <c r="W78">
        <f>SUM(AA78:AK78)/ALL_KIMARITE_SUM</f>
        <v>0.0003177629488</v>
      </c>
      <c r="X78">
        <f t="shared" si="46"/>
        <v>0.03</v>
      </c>
      <c r="Y78" s="23" t="s">
        <v>491</v>
      </c>
      <c r="Z78" s="23" t="s">
        <v>125</v>
      </c>
      <c r="AB78" s="23">
        <v>1.0</v>
      </c>
      <c r="AK78" s="335"/>
      <c r="AL78" s="335"/>
      <c r="AM78" s="436"/>
      <c r="BA78" s="436"/>
      <c r="BB78">
        <v>136.0</v>
      </c>
      <c r="BC78">
        <f t="shared" si="41"/>
        <v>0.001213462293</v>
      </c>
      <c r="BD78">
        <f t="shared" si="42"/>
        <v>0.121</v>
      </c>
      <c r="BF78">
        <v>136.0</v>
      </c>
    </row>
    <row r="79">
      <c r="A79" s="451" t="s">
        <v>492</v>
      </c>
      <c r="D79" s="198"/>
      <c r="O79" s="198"/>
      <c r="Q79" s="437">
        <f t="shared" si="44"/>
        <v>0</v>
      </c>
      <c r="S79" s="23">
        <f t="shared" si="39"/>
        <v>0</v>
      </c>
      <c r="U79">
        <v>0.11900000000000001</v>
      </c>
      <c r="W79">
        <f>SUM(AA79:AI79)/ALL_KIMARITE_SUM</f>
        <v>0</v>
      </c>
      <c r="Y79" s="23" t="s">
        <v>493</v>
      </c>
      <c r="Z79" s="23" t="s">
        <v>72</v>
      </c>
      <c r="BB79">
        <v>133.0</v>
      </c>
      <c r="BC79">
        <f t="shared" si="41"/>
        <v>0.001186694743</v>
      </c>
      <c r="BD79">
        <f t="shared" si="42"/>
        <v>0.119</v>
      </c>
      <c r="BF79">
        <v>133.0</v>
      </c>
    </row>
    <row r="80">
      <c r="A80" s="459" t="s">
        <v>494</v>
      </c>
      <c r="D80" s="198"/>
      <c r="O80" s="198"/>
      <c r="Q80" s="437">
        <f t="shared" si="44"/>
        <v>0</v>
      </c>
      <c r="S80" s="23">
        <f t="shared" si="39"/>
        <v>0</v>
      </c>
      <c r="U80">
        <v>0.116</v>
      </c>
      <c r="W80">
        <f>SUM(AA80:AK80)/ALL_KIMARITE_SUM</f>
        <v>0.0003177629488</v>
      </c>
      <c r="X80">
        <f t="shared" ref="X80:X82" si="47">ROUND(W80,4)*100</f>
        <v>0.03</v>
      </c>
      <c r="Y80" s="23" t="s">
        <v>495</v>
      </c>
      <c r="Z80" s="23" t="s">
        <v>496</v>
      </c>
      <c r="AJ80" s="23">
        <v>1.0</v>
      </c>
      <c r="BB80">
        <v>130.0</v>
      </c>
      <c r="BC80">
        <f t="shared" si="41"/>
        <v>0.001159927192</v>
      </c>
      <c r="BD80">
        <f t="shared" si="42"/>
        <v>0.116</v>
      </c>
      <c r="BF80">
        <v>130.0</v>
      </c>
    </row>
    <row r="81">
      <c r="A81" s="460" t="s">
        <v>497</v>
      </c>
      <c r="B81" s="197"/>
      <c r="D81" s="198"/>
      <c r="I81" s="198"/>
      <c r="J81" s="198"/>
      <c r="O81" s="198"/>
      <c r="Q81" s="437">
        <f t="shared" si="44"/>
        <v>0</v>
      </c>
      <c r="R81">
        <f>Q81/sum(KIMARITE!k_total)*100</f>
        <v>0</v>
      </c>
      <c r="S81" s="23">
        <f t="shared" si="39"/>
        <v>0</v>
      </c>
      <c r="U81">
        <v>0.11299999999999999</v>
      </c>
      <c r="W81">
        <f>SUM(AA81:AK81)/ALL_KIMARITE_SUM</f>
        <v>0.0009532888465</v>
      </c>
      <c r="X81">
        <f t="shared" si="47"/>
        <v>0.1</v>
      </c>
      <c r="Y81" s="23" t="s">
        <v>467</v>
      </c>
      <c r="Z81" s="23" t="s">
        <v>100</v>
      </c>
      <c r="AH81">
        <v>2.0</v>
      </c>
      <c r="AI81">
        <v>1.0</v>
      </c>
      <c r="AL81" s="23">
        <v>1.0</v>
      </c>
      <c r="AM81" s="23">
        <v>1.0</v>
      </c>
      <c r="BB81">
        <v>127.0</v>
      </c>
      <c r="BC81">
        <f t="shared" si="41"/>
        <v>0.001133159642</v>
      </c>
      <c r="BD81">
        <f t="shared" si="42"/>
        <v>0.113</v>
      </c>
      <c r="BF81">
        <v>127.0</v>
      </c>
    </row>
    <row r="82">
      <c r="A82" s="461" t="s">
        <v>498</v>
      </c>
      <c r="B82" s="198"/>
      <c r="D82" s="198"/>
      <c r="G82" s="198"/>
      <c r="O82" s="198"/>
      <c r="Q82" s="437">
        <f t="shared" si="44"/>
        <v>0</v>
      </c>
      <c r="R82">
        <f>Q82/sum(KIMARITE!k_total)*100</f>
        <v>0</v>
      </c>
      <c r="S82" s="23">
        <f t="shared" si="39"/>
        <v>0</v>
      </c>
      <c r="T82" s="23"/>
      <c r="U82">
        <v>0.109</v>
      </c>
      <c r="W82">
        <f>SUM(AA82:AK82)/ALL_KIMARITE_SUM</f>
        <v>0.0003177629488</v>
      </c>
      <c r="X82">
        <f t="shared" si="47"/>
        <v>0.03</v>
      </c>
      <c r="Y82" s="23" t="s">
        <v>499</v>
      </c>
      <c r="Z82" s="23" t="s">
        <v>167</v>
      </c>
      <c r="AE82">
        <v>1.0</v>
      </c>
      <c r="BB82">
        <v>122.0</v>
      </c>
      <c r="BC82">
        <f t="shared" si="41"/>
        <v>0.001088547057</v>
      </c>
      <c r="BD82">
        <f t="shared" si="42"/>
        <v>0.109</v>
      </c>
      <c r="BF82">
        <v>122.0</v>
      </c>
    </row>
    <row r="83">
      <c r="A83" s="462" t="s">
        <v>500</v>
      </c>
      <c r="B83" s="197"/>
      <c r="O83" s="198"/>
      <c r="Q83" s="437"/>
      <c r="U83">
        <v>0.084</v>
      </c>
      <c r="W83">
        <f>SUM(AA83:AK83)/ALL_KIMARITE_SUM</f>
        <v>0</v>
      </c>
      <c r="Y83" s="23" t="s">
        <v>501</v>
      </c>
      <c r="Z83" s="23" t="s">
        <v>218</v>
      </c>
      <c r="AM83" s="23">
        <v>1.0</v>
      </c>
      <c r="BB83">
        <v>94.0</v>
      </c>
      <c r="BC83">
        <f t="shared" si="41"/>
        <v>0.0008387165852</v>
      </c>
      <c r="BD83">
        <f t="shared" si="42"/>
        <v>0.084</v>
      </c>
      <c r="BF83">
        <v>94.0</v>
      </c>
    </row>
    <row r="84">
      <c r="A84" s="202" t="s">
        <v>502</v>
      </c>
      <c r="B84" s="198"/>
      <c r="D84" s="440"/>
      <c r="F84" s="198"/>
      <c r="G84" s="440"/>
      <c r="H84" s="335"/>
      <c r="I84" s="335"/>
      <c r="J84" s="335"/>
      <c r="K84" s="335"/>
      <c r="L84" s="335"/>
      <c r="M84" s="335"/>
      <c r="N84" s="440"/>
      <c r="O84" s="198"/>
      <c r="P84" s="440"/>
      <c r="Q84" s="437">
        <f t="shared" ref="Q84:Q87" si="48">sum(B84:P84)</f>
        <v>0</v>
      </c>
      <c r="R84">
        <f>Q84/sum(KIMARITE!k_total)*100</f>
        <v>0</v>
      </c>
      <c r="S84" s="23">
        <f t="shared" ref="S84:S87" si="49">ROUND(R84,2)</f>
        <v>0</v>
      </c>
      <c r="T84" s="23"/>
      <c r="U84">
        <v>0.084</v>
      </c>
      <c r="W84">
        <f>SUM(AA84:AK84)/ALL_KIMARITE_SUM</f>
        <v>0.001588814744</v>
      </c>
      <c r="X84">
        <f t="shared" ref="X84:X87" si="50">ROUND(W84,4)*100</f>
        <v>0.16</v>
      </c>
      <c r="Y84" s="23" t="s">
        <v>503</v>
      </c>
      <c r="Z84" s="23" t="s">
        <v>79</v>
      </c>
      <c r="AA84" s="23">
        <v>1.0</v>
      </c>
      <c r="AD84">
        <v>1.0</v>
      </c>
      <c r="AG84">
        <v>1.0</v>
      </c>
      <c r="AJ84" s="23">
        <v>1.0</v>
      </c>
      <c r="AK84" s="440">
        <v>1.0</v>
      </c>
      <c r="AL84" s="440">
        <v>4.0</v>
      </c>
      <c r="AM84" s="440">
        <v>2.0</v>
      </c>
      <c r="BA84" s="440"/>
      <c r="BB84">
        <v>94.0</v>
      </c>
      <c r="BC84">
        <f t="shared" si="41"/>
        <v>0.0008387165852</v>
      </c>
      <c r="BD84">
        <f t="shared" si="42"/>
        <v>0.084</v>
      </c>
      <c r="BF84">
        <v>92.0</v>
      </c>
    </row>
    <row r="85">
      <c r="A85" s="463" t="s">
        <v>504</v>
      </c>
      <c r="B85" s="198"/>
      <c r="D85" s="335"/>
      <c r="F85" s="198"/>
      <c r="G85" s="198"/>
      <c r="H85" s="335"/>
      <c r="I85" s="335"/>
      <c r="J85" s="335"/>
      <c r="K85" s="198"/>
      <c r="L85" s="335"/>
      <c r="M85" s="335"/>
      <c r="N85" s="335"/>
      <c r="O85" s="198"/>
      <c r="P85" s="335"/>
      <c r="Q85" s="437">
        <f t="shared" si="48"/>
        <v>0</v>
      </c>
      <c r="R85">
        <f>Q85/sum(KIMARITE!k_total)*100</f>
        <v>0</v>
      </c>
      <c r="S85" s="23">
        <f t="shared" si="49"/>
        <v>0</v>
      </c>
      <c r="T85" s="23"/>
      <c r="U85">
        <v>0.082</v>
      </c>
      <c r="W85">
        <f>SUM(AA85:AK85)/ALL_KIMARITE_SUM</f>
        <v>0.001271051795</v>
      </c>
      <c r="X85">
        <f t="shared" si="50"/>
        <v>0.13</v>
      </c>
      <c r="Y85" s="23" t="s">
        <v>505</v>
      </c>
      <c r="Z85" s="23" t="s">
        <v>122</v>
      </c>
      <c r="AA85" s="23">
        <v>1.0</v>
      </c>
      <c r="AD85">
        <v>1.0</v>
      </c>
      <c r="AI85">
        <v>1.0</v>
      </c>
      <c r="AK85" s="440">
        <v>1.0</v>
      </c>
      <c r="AL85" s="440"/>
      <c r="AM85" s="335"/>
      <c r="BA85" s="335"/>
      <c r="BB85">
        <v>92.0</v>
      </c>
      <c r="BC85">
        <f t="shared" si="41"/>
        <v>0.0008208715514</v>
      </c>
      <c r="BD85">
        <f t="shared" si="42"/>
        <v>0.082</v>
      </c>
      <c r="BF85">
        <v>94.0</v>
      </c>
    </row>
    <row r="86">
      <c r="A86" s="464" t="s">
        <v>506</v>
      </c>
      <c r="B86" s="198"/>
      <c r="D86" s="335"/>
      <c r="E86" s="335"/>
      <c r="F86" s="198"/>
      <c r="G86" s="335"/>
      <c r="H86" s="198"/>
      <c r="I86" s="335"/>
      <c r="J86" s="335"/>
      <c r="K86" s="335"/>
      <c r="L86" s="436"/>
      <c r="M86" s="198"/>
      <c r="N86" s="335"/>
      <c r="O86" s="198"/>
      <c r="P86" s="335"/>
      <c r="Q86" s="437">
        <f t="shared" si="48"/>
        <v>0</v>
      </c>
      <c r="R86">
        <f>Q86/sum(KIMARITE!k_total)*100</f>
        <v>0</v>
      </c>
      <c r="S86" s="23">
        <f t="shared" si="49"/>
        <v>0</v>
      </c>
      <c r="T86" s="23"/>
      <c r="U86">
        <v>0.062</v>
      </c>
      <c r="W86">
        <f>SUM(AA86:AK86)/ALL_KIMARITE_SUM</f>
        <v>0.0009532888465</v>
      </c>
      <c r="X86">
        <f t="shared" si="50"/>
        <v>0.1</v>
      </c>
      <c r="Y86" s="23" t="s">
        <v>507</v>
      </c>
      <c r="Z86" s="23" t="s">
        <v>19</v>
      </c>
      <c r="AB86" s="23">
        <v>1.0</v>
      </c>
      <c r="AH86">
        <v>1.0</v>
      </c>
      <c r="AI86">
        <v>1.0</v>
      </c>
      <c r="AK86" s="335"/>
      <c r="AL86" s="335"/>
      <c r="AM86" s="335"/>
      <c r="BA86" s="335"/>
      <c r="BB86">
        <v>69.0</v>
      </c>
      <c r="BC86">
        <f t="shared" si="41"/>
        <v>0.0006156536636</v>
      </c>
      <c r="BD86">
        <f t="shared" si="42"/>
        <v>0.062</v>
      </c>
      <c r="BF86">
        <v>69.0</v>
      </c>
    </row>
    <row r="87">
      <c r="A87" s="465" t="s">
        <v>508</v>
      </c>
      <c r="B87" s="198"/>
      <c r="H87" s="198"/>
      <c r="L87" s="198"/>
      <c r="O87" s="198"/>
      <c r="Q87" s="437">
        <f t="shared" si="48"/>
        <v>0</v>
      </c>
      <c r="R87">
        <f>Q87/sum(KIMARITE!k_total)*100</f>
        <v>0</v>
      </c>
      <c r="S87" s="23">
        <f t="shared" si="49"/>
        <v>0</v>
      </c>
      <c r="T87" s="23"/>
      <c r="U87">
        <v>0.06</v>
      </c>
      <c r="W87">
        <f>SUM(AA87:AK87)/ALL_KIMARITE_SUM</f>
        <v>0.0006355258977</v>
      </c>
      <c r="X87">
        <f t="shared" si="50"/>
        <v>0.06</v>
      </c>
      <c r="Y87" s="23" t="s">
        <v>487</v>
      </c>
      <c r="Z87" s="23" t="s">
        <v>125</v>
      </c>
      <c r="AF87">
        <v>1.0</v>
      </c>
      <c r="AI87">
        <v>1.0</v>
      </c>
      <c r="AL87" s="23">
        <v>1.0</v>
      </c>
      <c r="BB87">
        <v>67.0</v>
      </c>
      <c r="BC87">
        <f t="shared" si="41"/>
        <v>0.0005978086299</v>
      </c>
      <c r="BD87">
        <f t="shared" si="42"/>
        <v>0.06</v>
      </c>
      <c r="BF87">
        <v>67.0</v>
      </c>
    </row>
    <row r="88">
      <c r="A88" s="451" t="s">
        <v>509</v>
      </c>
      <c r="O88" s="198"/>
      <c r="Q88" s="437"/>
      <c r="U88">
        <v>0.049</v>
      </c>
      <c r="W88">
        <f>SUM(AA88:AK88)/ALL_KIMARITE_SUM</f>
        <v>0</v>
      </c>
      <c r="Y88" s="23" t="s">
        <v>510</v>
      </c>
      <c r="Z88" s="23" t="s">
        <v>248</v>
      </c>
      <c r="BB88">
        <v>55.0</v>
      </c>
      <c r="BC88">
        <f t="shared" si="41"/>
        <v>0.0004907384275</v>
      </c>
      <c r="BD88">
        <f t="shared" si="42"/>
        <v>0.049</v>
      </c>
      <c r="BF88">
        <v>55.0</v>
      </c>
    </row>
    <row r="89">
      <c r="A89" s="451" t="s">
        <v>511</v>
      </c>
      <c r="P89" s="315"/>
      <c r="U89">
        <v>0.042</v>
      </c>
      <c r="W89">
        <f>SUM(AA89:AK89)/ALL_KIMARITE_SUM</f>
        <v>0</v>
      </c>
      <c r="Y89" s="23" t="s">
        <v>512</v>
      </c>
      <c r="Z89" s="23" t="s">
        <v>254</v>
      </c>
      <c r="AM89" s="315"/>
      <c r="BA89" s="315"/>
      <c r="BB89">
        <v>47.0</v>
      </c>
      <c r="BC89">
        <f t="shared" si="41"/>
        <v>0.0004193582926</v>
      </c>
      <c r="BD89">
        <f t="shared" si="42"/>
        <v>0.042</v>
      </c>
      <c r="BF89">
        <v>47.0</v>
      </c>
    </row>
    <row r="90">
      <c r="A90" s="466" t="s">
        <v>513</v>
      </c>
      <c r="P90" s="315"/>
      <c r="Q90" s="437">
        <f>sum(B90:P90)</f>
        <v>0</v>
      </c>
      <c r="R90">
        <f>Q90/sum(KIMARITE!k_total)*100</f>
        <v>0</v>
      </c>
      <c r="S90" s="23">
        <f>ROUND(R90,2)</f>
        <v>0</v>
      </c>
      <c r="T90" s="23"/>
      <c r="U90">
        <v>0.034999999999999996</v>
      </c>
      <c r="W90">
        <f>SUM(AA90:AK90)/ALL_KIMARITE_SUM</f>
        <v>0.0009532888465</v>
      </c>
      <c r="X90">
        <f>ROUND(W90,4)*100</f>
        <v>0.1</v>
      </c>
      <c r="Y90" s="23" t="s">
        <v>514</v>
      </c>
      <c r="Z90" s="23" t="s">
        <v>515</v>
      </c>
      <c r="AD90">
        <v>1.0</v>
      </c>
      <c r="AE90">
        <v>1.0</v>
      </c>
      <c r="AF90">
        <v>1.0</v>
      </c>
      <c r="AM90" s="315"/>
      <c r="BA90" s="315"/>
      <c r="BB90">
        <v>39.0</v>
      </c>
      <c r="BC90">
        <f t="shared" si="41"/>
        <v>0.0003479781577</v>
      </c>
      <c r="BD90">
        <f t="shared" si="42"/>
        <v>0.035</v>
      </c>
      <c r="BE90" s="23"/>
      <c r="BF90">
        <v>39.0</v>
      </c>
      <c r="BI90" s="23"/>
      <c r="BJ90" s="23"/>
      <c r="BK90" s="23"/>
      <c r="BL90" s="23"/>
      <c r="BM90" s="23"/>
    </row>
    <row r="91">
      <c r="A91" s="451" t="s">
        <v>516</v>
      </c>
      <c r="P91" s="315"/>
      <c r="U91">
        <v>0.032</v>
      </c>
      <c r="W91">
        <f>SUM(AA91:AK91)/ALL_KIMARITE_SUM</f>
        <v>0</v>
      </c>
      <c r="Y91" s="23" t="s">
        <v>517</v>
      </c>
      <c r="Z91" s="23" t="s">
        <v>246</v>
      </c>
      <c r="AM91" s="315"/>
      <c r="BA91" s="315"/>
      <c r="BB91">
        <v>36.0</v>
      </c>
      <c r="BC91">
        <f t="shared" si="41"/>
        <v>0.0003212106071</v>
      </c>
      <c r="BD91">
        <f t="shared" si="42"/>
        <v>0.032</v>
      </c>
      <c r="BF91">
        <v>36.0</v>
      </c>
    </row>
    <row r="92">
      <c r="A92" s="467" t="s">
        <v>518</v>
      </c>
      <c r="B92" s="198"/>
      <c r="D92" s="335"/>
      <c r="E92" s="198"/>
      <c r="F92" s="198"/>
      <c r="G92" s="335"/>
      <c r="H92" s="335"/>
      <c r="I92" s="335"/>
      <c r="J92" s="335"/>
      <c r="K92" s="335"/>
      <c r="L92" s="335"/>
      <c r="M92" s="335"/>
      <c r="N92" s="335"/>
      <c r="O92" s="335"/>
      <c r="P92" s="468"/>
      <c r="Q92" s="437">
        <f>sum(B92:P92)</f>
        <v>0</v>
      </c>
      <c r="R92">
        <f>Q92/sum(KIMARITE!k_total)*100</f>
        <v>0</v>
      </c>
      <c r="S92" s="23">
        <f>ROUND(R92,2)</f>
        <v>0</v>
      </c>
      <c r="T92" s="23"/>
      <c r="U92">
        <v>0.029</v>
      </c>
      <c r="W92">
        <f>SUM(AA92:AK92)/ALL_KIMARITE_SUM</f>
        <v>0.0009532888465</v>
      </c>
      <c r="X92">
        <f>ROUND(W92,4)*100</f>
        <v>0.1</v>
      </c>
      <c r="Y92" s="23" t="s">
        <v>519</v>
      </c>
      <c r="Z92" s="23" t="s">
        <v>520</v>
      </c>
      <c r="AA92" s="23">
        <v>1.0</v>
      </c>
      <c r="AF92">
        <v>1.0</v>
      </c>
      <c r="AJ92" s="23">
        <v>1.0</v>
      </c>
      <c r="AK92" s="335"/>
      <c r="AM92" s="468"/>
      <c r="BA92" s="468"/>
      <c r="BB92">
        <v>33.0</v>
      </c>
      <c r="BC92">
        <f t="shared" si="41"/>
        <v>0.0002944430565</v>
      </c>
      <c r="BD92">
        <f t="shared" si="42"/>
        <v>0.029</v>
      </c>
      <c r="BF92">
        <v>33.0</v>
      </c>
    </row>
    <row r="93">
      <c r="A93" s="451" t="s">
        <v>521</v>
      </c>
      <c r="P93" s="315"/>
      <c r="U93">
        <v>0.027999999999999997</v>
      </c>
      <c r="W93">
        <f>SUM(AA93:AK93)/ALL_KIMARITE_SUM</f>
        <v>0</v>
      </c>
      <c r="Y93" s="23" t="s">
        <v>522</v>
      </c>
      <c r="Z93" s="23" t="s">
        <v>523</v>
      </c>
      <c r="AM93" s="315"/>
      <c r="BA93" s="315"/>
      <c r="BB93">
        <v>31.0</v>
      </c>
      <c r="BC93">
        <f t="shared" si="41"/>
        <v>0.0002765980228</v>
      </c>
      <c r="BD93">
        <f t="shared" si="42"/>
        <v>0.028</v>
      </c>
      <c r="BF93">
        <v>31.0</v>
      </c>
    </row>
    <row r="94">
      <c r="A94" s="469" t="s">
        <v>524</v>
      </c>
      <c r="B94" s="429"/>
      <c r="D94" s="440"/>
      <c r="E94" s="440"/>
      <c r="F94" s="198"/>
      <c r="G94" s="436"/>
      <c r="H94" s="436"/>
      <c r="I94" s="436"/>
      <c r="J94" s="436"/>
      <c r="K94" s="436"/>
      <c r="L94" s="436"/>
      <c r="M94" s="198"/>
      <c r="N94" s="335"/>
      <c r="O94" s="335"/>
      <c r="P94" s="214"/>
      <c r="Q94" s="437">
        <f t="shared" ref="Q94:Q96" si="51">sum(B94:P94)</f>
        <v>0</v>
      </c>
      <c r="R94">
        <f>Q94/sum(KIMARITE!k_total)*100</f>
        <v>0</v>
      </c>
      <c r="S94" s="23">
        <f t="shared" ref="S94:S96" si="52">ROUND(R94,2)</f>
        <v>0</v>
      </c>
      <c r="T94" s="23"/>
      <c r="U94">
        <v>0.027999999999999997</v>
      </c>
      <c r="W94">
        <f>SUM(AA94:AK94)/ALL_KIMARITE_SUM</f>
        <v>0.0009532888465</v>
      </c>
      <c r="X94">
        <f t="shared" ref="X94:X96" si="53">ROUND(W94,4)*100</f>
        <v>0.1</v>
      </c>
      <c r="Y94" s="23" t="s">
        <v>525</v>
      </c>
      <c r="Z94" s="23" t="s">
        <v>84</v>
      </c>
      <c r="AB94" s="23">
        <v>1.0</v>
      </c>
      <c r="AF94">
        <v>2.0</v>
      </c>
      <c r="AK94" s="198"/>
      <c r="AM94" s="214">
        <v>1.0</v>
      </c>
      <c r="BA94" s="214"/>
      <c r="BB94">
        <v>31.0</v>
      </c>
      <c r="BC94">
        <f t="shared" si="41"/>
        <v>0.0002765980228</v>
      </c>
      <c r="BD94">
        <f t="shared" si="42"/>
        <v>0.028</v>
      </c>
      <c r="BF94">
        <v>31.0</v>
      </c>
    </row>
    <row r="95">
      <c r="A95" s="470" t="s">
        <v>526</v>
      </c>
      <c r="D95" s="198"/>
      <c r="E95" s="198"/>
      <c r="F95" s="198"/>
      <c r="G95" s="198"/>
      <c r="H95" s="198"/>
      <c r="I95" s="198"/>
      <c r="J95" s="198"/>
      <c r="K95" s="198"/>
      <c r="M95" s="198"/>
      <c r="N95" s="198"/>
      <c r="P95" s="214"/>
      <c r="Q95" s="437">
        <f t="shared" si="51"/>
        <v>0</v>
      </c>
      <c r="R95">
        <f>Q95/sum(KIMARITE!k_total)*100</f>
        <v>0</v>
      </c>
      <c r="S95" s="23">
        <f t="shared" si="52"/>
        <v>0</v>
      </c>
      <c r="T95" s="23"/>
      <c r="U95">
        <v>0.026</v>
      </c>
      <c r="W95">
        <f>SUM(AA95:AK95)/ALL_KIMARITE_SUM</f>
        <v>0.001588814744</v>
      </c>
      <c r="X95">
        <f t="shared" si="53"/>
        <v>0.16</v>
      </c>
      <c r="Y95" s="23" t="s">
        <v>495</v>
      </c>
      <c r="Z95" s="23" t="s">
        <v>527</v>
      </c>
      <c r="AA95" s="23">
        <v>1.0</v>
      </c>
      <c r="AC95" s="23">
        <v>1.0</v>
      </c>
      <c r="AE95">
        <v>1.0</v>
      </c>
      <c r="AI95">
        <v>1.0</v>
      </c>
      <c r="AJ95" s="23">
        <v>1.0</v>
      </c>
      <c r="AK95" s="198"/>
      <c r="BB95">
        <v>29.0</v>
      </c>
      <c r="BC95">
        <f t="shared" si="41"/>
        <v>0.000258752989</v>
      </c>
      <c r="BD95">
        <f t="shared" si="42"/>
        <v>0.026</v>
      </c>
      <c r="BF95">
        <v>29.0</v>
      </c>
    </row>
    <row r="96">
      <c r="A96" s="471" t="s">
        <v>528</v>
      </c>
      <c r="P96" s="315"/>
      <c r="Q96">
        <f t="shared" si="51"/>
        <v>0</v>
      </c>
      <c r="R96">
        <f>Q96/sum(KIMARITE!k_total)*100</f>
        <v>0</v>
      </c>
      <c r="S96" s="23">
        <f t="shared" si="52"/>
        <v>0</v>
      </c>
      <c r="U96">
        <v>0.026</v>
      </c>
      <c r="W96">
        <f>SUM(AA96:AK96)/ALL_KIMARITE_SUM</f>
        <v>0.0006355258977</v>
      </c>
      <c r="X96">
        <f t="shared" si="53"/>
        <v>0.06</v>
      </c>
      <c r="Y96" s="23" t="s">
        <v>529</v>
      </c>
      <c r="Z96" s="23" t="s">
        <v>65</v>
      </c>
      <c r="AG96">
        <v>1.0</v>
      </c>
      <c r="AJ96" s="23">
        <v>1.0</v>
      </c>
      <c r="BB96">
        <v>29.0</v>
      </c>
      <c r="BC96">
        <f t="shared" si="41"/>
        <v>0.000258752989</v>
      </c>
      <c r="BD96">
        <f t="shared" si="42"/>
        <v>0.026</v>
      </c>
      <c r="BF96">
        <v>29.0</v>
      </c>
    </row>
    <row r="97">
      <c r="A97" s="451" t="s">
        <v>530</v>
      </c>
      <c r="P97" s="315"/>
      <c r="U97">
        <v>0.024</v>
      </c>
      <c r="W97">
        <f>SUM(AA97:AK97)/ALL_KIMARITE_SUM</f>
        <v>0</v>
      </c>
      <c r="Y97" s="23" t="s">
        <v>501</v>
      </c>
      <c r="Z97" s="23" t="s">
        <v>15</v>
      </c>
      <c r="BB97">
        <v>27.0</v>
      </c>
      <c r="BC97">
        <f t="shared" si="41"/>
        <v>0.0002409079553</v>
      </c>
      <c r="BD97">
        <f t="shared" si="42"/>
        <v>0.024</v>
      </c>
      <c r="BF97">
        <v>27.0</v>
      </c>
    </row>
    <row r="98">
      <c r="A98" s="451" t="s">
        <v>531</v>
      </c>
      <c r="P98" s="315"/>
      <c r="Q98" s="437"/>
      <c r="U98">
        <v>0.024</v>
      </c>
      <c r="W98">
        <f>SUM(AA98:AK98)/ALL_KIMARITE_SUM</f>
        <v>0</v>
      </c>
      <c r="Y98" s="23" t="s">
        <v>532</v>
      </c>
      <c r="Z98" s="23" t="s">
        <v>233</v>
      </c>
      <c r="BB98" s="23">
        <v>27.0</v>
      </c>
      <c r="BC98">
        <f t="shared" si="41"/>
        <v>0.0002409079553</v>
      </c>
      <c r="BD98">
        <f t="shared" si="42"/>
        <v>0.024</v>
      </c>
    </row>
    <row r="99">
      <c r="A99" s="451" t="s">
        <v>533</v>
      </c>
      <c r="P99" s="315"/>
      <c r="U99">
        <v>0.024</v>
      </c>
      <c r="W99">
        <f>SUM(AA99:AK99)/ALL_KIMARITE_SUM</f>
        <v>0</v>
      </c>
      <c r="Y99" s="23" t="s">
        <v>534</v>
      </c>
      <c r="Z99" s="23" t="s">
        <v>276</v>
      </c>
      <c r="BB99" s="23">
        <v>27.0</v>
      </c>
      <c r="BC99">
        <f t="shared" si="41"/>
        <v>0.0002409079553</v>
      </c>
      <c r="BD99">
        <f t="shared" si="42"/>
        <v>0.024</v>
      </c>
    </row>
    <row r="100">
      <c r="A100" s="472" t="s">
        <v>535</v>
      </c>
      <c r="P100" s="451"/>
      <c r="Q100">
        <f>sum(B100:P100)</f>
        <v>0</v>
      </c>
      <c r="R100">
        <f>Q100/sum(KIMARITE!k_total)*100</f>
        <v>0</v>
      </c>
      <c r="S100" s="23">
        <f>ROUND(R100,2)</f>
        <v>0</v>
      </c>
      <c r="U100">
        <v>0.021</v>
      </c>
      <c r="W100">
        <f>SUM(AA100:AK100)/ALL_KIMARITE_SUM</f>
        <v>0.0003177629488</v>
      </c>
      <c r="X100">
        <f>ROUND(W100,4)*100</f>
        <v>0.03</v>
      </c>
      <c r="Y100" s="23" t="s">
        <v>473</v>
      </c>
      <c r="Z100" s="23" t="s">
        <v>176</v>
      </c>
      <c r="AK100" s="23">
        <v>1.0</v>
      </c>
      <c r="BB100" s="473">
        <v>23.0</v>
      </c>
      <c r="BC100">
        <f t="shared" si="41"/>
        <v>0.0002052178879</v>
      </c>
      <c r="BD100">
        <f t="shared" si="42"/>
        <v>0.021</v>
      </c>
    </row>
    <row r="101">
      <c r="A101" s="451" t="s">
        <v>536</v>
      </c>
      <c r="P101" s="315"/>
      <c r="Q101" s="437"/>
      <c r="U101">
        <v>0.021</v>
      </c>
      <c r="W101">
        <f>SUM(AA101:AK101)/ALL_KIMARITE_SUM</f>
        <v>0</v>
      </c>
      <c r="Y101" s="23" t="s">
        <v>537</v>
      </c>
      <c r="Z101" s="23" t="s">
        <v>15</v>
      </c>
      <c r="BB101" s="23">
        <v>23.0</v>
      </c>
      <c r="BC101">
        <f t="shared" si="41"/>
        <v>0.0002052178879</v>
      </c>
      <c r="BD101">
        <f t="shared" si="42"/>
        <v>0.021</v>
      </c>
    </row>
    <row r="102">
      <c r="A102" s="474" t="s">
        <v>538</v>
      </c>
      <c r="B102" s="198"/>
      <c r="C102" s="335"/>
      <c r="D102" s="335"/>
      <c r="E102" s="335"/>
      <c r="F102" s="198"/>
      <c r="G102" s="335"/>
      <c r="H102" s="335"/>
      <c r="I102" s="335"/>
      <c r="J102" s="335"/>
      <c r="K102" s="335"/>
      <c r="L102" s="335"/>
      <c r="M102" s="335"/>
      <c r="N102" s="335"/>
      <c r="O102" s="335"/>
      <c r="P102" s="468"/>
      <c r="Q102" s="437">
        <f>sum(B102:P102)</f>
        <v>0</v>
      </c>
      <c r="R102">
        <f>Q102/sum(KIMARITE!k_total)*100</f>
        <v>0</v>
      </c>
      <c r="S102" s="23">
        <f>ROUND(R102,2)</f>
        <v>0</v>
      </c>
      <c r="T102" s="23"/>
      <c r="U102">
        <v>0.018000000000000002</v>
      </c>
      <c r="W102">
        <f>SUM(AA102:AK102)/ALL_KIMARITE_SUM</f>
        <v>0.0003177629488</v>
      </c>
      <c r="X102">
        <f>ROUND(W102,4)*100</f>
        <v>0.03</v>
      </c>
      <c r="Y102" s="23" t="s">
        <v>539</v>
      </c>
      <c r="Z102" s="23" t="s">
        <v>238</v>
      </c>
      <c r="AA102" s="23">
        <v>1.0</v>
      </c>
      <c r="AK102" s="335"/>
      <c r="BB102" s="473">
        <v>20.0</v>
      </c>
      <c r="BC102">
        <f t="shared" si="41"/>
        <v>0.0001784503373</v>
      </c>
      <c r="BD102">
        <f t="shared" si="42"/>
        <v>0.018</v>
      </c>
    </row>
    <row r="103">
      <c r="A103" s="451" t="s">
        <v>540</v>
      </c>
      <c r="P103" s="315"/>
      <c r="U103">
        <v>0.015</v>
      </c>
      <c r="W103">
        <f>SUM(AA103:AK103)/ALL_KIMARITE_SUM</f>
        <v>0</v>
      </c>
      <c r="Y103" s="23" t="s">
        <v>541</v>
      </c>
      <c r="Z103" s="23" t="s">
        <v>220</v>
      </c>
      <c r="BB103" s="473">
        <v>17.0</v>
      </c>
      <c r="BC103">
        <f t="shared" si="41"/>
        <v>0.0001516827867</v>
      </c>
      <c r="BD103">
        <f t="shared" si="42"/>
        <v>0.015</v>
      </c>
    </row>
    <row r="104">
      <c r="A104" s="451" t="s">
        <v>542</v>
      </c>
      <c r="P104" s="315"/>
      <c r="U104">
        <v>0.011000000000000001</v>
      </c>
      <c r="W104">
        <f>SUM(AA104:AK104)/ALL_KIMARITE_SUM</f>
        <v>0</v>
      </c>
      <c r="Y104" s="23" t="s">
        <v>543</v>
      </c>
      <c r="Z104" s="23" t="s">
        <v>291</v>
      </c>
      <c r="BB104" s="473">
        <v>12.0</v>
      </c>
      <c r="BC104">
        <f t="shared" si="41"/>
        <v>0.0001070702024</v>
      </c>
      <c r="BD104">
        <f t="shared" si="42"/>
        <v>0.011</v>
      </c>
    </row>
    <row r="105">
      <c r="A105" s="475" t="s">
        <v>544</v>
      </c>
      <c r="B105" s="198"/>
      <c r="P105" s="315"/>
      <c r="Q105" s="437">
        <f>sum(B105:P105)</f>
        <v>0</v>
      </c>
      <c r="R105">
        <f>Q105/sum(KIMARITE!k_total)*100</f>
        <v>0</v>
      </c>
      <c r="S105" s="23">
        <f>ROUND(R105,2)</f>
        <v>0</v>
      </c>
      <c r="T105" s="23"/>
      <c r="U105">
        <v>0.01</v>
      </c>
      <c r="W105">
        <f>SUM(AA105:AK105)/ALL_KIMARITE_SUM</f>
        <v>0.0003177629488</v>
      </c>
      <c r="X105">
        <f>ROUND(W105,4)*100</f>
        <v>0.03</v>
      </c>
      <c r="Y105" s="23" t="s">
        <v>545</v>
      </c>
      <c r="Z105" s="23" t="s">
        <v>105</v>
      </c>
      <c r="AE105">
        <v>1.0</v>
      </c>
      <c r="BB105" s="473">
        <v>11.0</v>
      </c>
      <c r="BC105">
        <f t="shared" si="41"/>
        <v>0.0000981476855</v>
      </c>
      <c r="BD105">
        <f t="shared" si="42"/>
        <v>0.01</v>
      </c>
    </row>
    <row r="106">
      <c r="A106" s="476" t="s">
        <v>546</v>
      </c>
      <c r="P106" s="315"/>
      <c r="U106">
        <v>0.01</v>
      </c>
      <c r="W106">
        <f>SUM(AA106:AK106)/ALL_KIMARITE_SUM</f>
        <v>0</v>
      </c>
      <c r="Y106" s="23" t="s">
        <v>547</v>
      </c>
      <c r="Z106" s="23" t="s">
        <v>548</v>
      </c>
      <c r="BB106" s="473">
        <v>11.0</v>
      </c>
      <c r="BC106">
        <f t="shared" si="41"/>
        <v>0.0000981476855</v>
      </c>
      <c r="BD106">
        <f t="shared" si="42"/>
        <v>0.01</v>
      </c>
    </row>
    <row r="107">
      <c r="A107" s="477" t="s">
        <v>549</v>
      </c>
      <c r="P107" s="451"/>
      <c r="Q107">
        <f>sum(B107:P107)</f>
        <v>0</v>
      </c>
      <c r="R107">
        <f>Q107/sum(KIMARITE!k_total)*100</f>
        <v>0</v>
      </c>
      <c r="S107" s="23">
        <f>ROUND(R107,2)</f>
        <v>0</v>
      </c>
      <c r="U107">
        <v>0.009000000000000001</v>
      </c>
      <c r="W107">
        <f>SUM(AA107:AK107)/ALL_KIMARITE_SUM</f>
        <v>0.0003177629488</v>
      </c>
      <c r="X107">
        <f>ROUND(W107,4)*100</f>
        <v>0.03</v>
      </c>
      <c r="Y107" s="23" t="s">
        <v>550</v>
      </c>
      <c r="Z107" s="23" t="s">
        <v>72</v>
      </c>
      <c r="AK107" s="23">
        <v>1.0</v>
      </c>
      <c r="BB107" s="473">
        <v>10.0</v>
      </c>
      <c r="BC107">
        <f t="shared" si="41"/>
        <v>0.00008922516864</v>
      </c>
      <c r="BD107">
        <f t="shared" si="42"/>
        <v>0.009</v>
      </c>
    </row>
    <row r="108">
      <c r="A108" s="451" t="s">
        <v>551</v>
      </c>
      <c r="P108" s="315"/>
      <c r="Q108" s="437"/>
      <c r="U108">
        <v>0.008</v>
      </c>
      <c r="W108">
        <f>SUM(AA108:AK108)/ALL_KIMARITE_SUM</f>
        <v>0</v>
      </c>
      <c r="Y108" s="23" t="s">
        <v>552</v>
      </c>
      <c r="Z108" s="23" t="s">
        <v>291</v>
      </c>
      <c r="BB108" s="473">
        <v>9.0</v>
      </c>
      <c r="BC108">
        <f t="shared" si="41"/>
        <v>0.00008030265177</v>
      </c>
      <c r="BD108">
        <f t="shared" si="42"/>
        <v>0.008</v>
      </c>
    </row>
    <row r="109">
      <c r="A109" s="478" t="s">
        <v>553</v>
      </c>
      <c r="B109" s="198"/>
      <c r="C109" s="436"/>
      <c r="D109" s="436"/>
      <c r="E109" s="436"/>
      <c r="F109" s="198"/>
      <c r="G109" s="436"/>
      <c r="H109" s="436"/>
      <c r="I109" s="436"/>
      <c r="J109" s="436"/>
      <c r="K109" s="436"/>
      <c r="L109" s="436"/>
      <c r="M109" s="436"/>
      <c r="N109" s="436"/>
      <c r="O109" s="436"/>
      <c r="P109" s="468"/>
      <c r="Q109" s="437">
        <f>sum(B109:P109)</f>
        <v>0</v>
      </c>
      <c r="R109">
        <f>Q109/sum(KIMARITE!k_total)*100</f>
        <v>0</v>
      </c>
      <c r="S109" s="23">
        <f>ROUND(R109,2)</f>
        <v>0</v>
      </c>
      <c r="T109" s="23"/>
      <c r="U109">
        <v>0.006999999999999999</v>
      </c>
      <c r="W109">
        <f>SUM(AA109:AK109)/ALL_KIMARITE_SUM</f>
        <v>0.0003177629488</v>
      </c>
      <c r="X109">
        <f>ROUND(W109,4)*100</f>
        <v>0.03</v>
      </c>
      <c r="Y109" s="23" t="s">
        <v>491</v>
      </c>
      <c r="Z109" s="23" t="s">
        <v>271</v>
      </c>
      <c r="AB109" s="23">
        <v>1.0</v>
      </c>
      <c r="AK109" s="335"/>
      <c r="BB109" s="473">
        <v>8.0</v>
      </c>
      <c r="BC109">
        <f t="shared" si="41"/>
        <v>0.00007138013491</v>
      </c>
      <c r="BD109">
        <f t="shared" si="42"/>
        <v>0.007</v>
      </c>
    </row>
    <row r="110">
      <c r="A110" s="451" t="s">
        <v>554</v>
      </c>
      <c r="P110" s="315"/>
      <c r="U110">
        <v>0.006999999999999999</v>
      </c>
      <c r="W110">
        <f>SUM(AA110:AK110)/ALL_KIMARITE_SUM</f>
        <v>0</v>
      </c>
      <c r="Y110" s="23" t="s">
        <v>555</v>
      </c>
      <c r="Z110" s="23" t="s">
        <v>221</v>
      </c>
      <c r="BB110" s="473">
        <v>8.0</v>
      </c>
      <c r="BC110">
        <f t="shared" si="41"/>
        <v>0.00007138013491</v>
      </c>
      <c r="BD110">
        <f t="shared" si="42"/>
        <v>0.007</v>
      </c>
    </row>
    <row r="111">
      <c r="A111" s="451" t="s">
        <v>556</v>
      </c>
      <c r="P111" s="315"/>
      <c r="U111">
        <v>0.006999999999999999</v>
      </c>
      <c r="W111">
        <f>SUM(AA111:AK111)/ALL_KIMARITE_SUM</f>
        <v>0</v>
      </c>
      <c r="Y111" s="23" t="s">
        <v>557</v>
      </c>
      <c r="Z111" s="23" t="s">
        <v>234</v>
      </c>
      <c r="BB111" s="473">
        <v>8.0</v>
      </c>
      <c r="BC111">
        <f t="shared" si="41"/>
        <v>0.00007138013491</v>
      </c>
      <c r="BD111">
        <f t="shared" si="42"/>
        <v>0.007</v>
      </c>
    </row>
    <row r="112">
      <c r="A112" s="451" t="s">
        <v>558</v>
      </c>
      <c r="P112" s="315"/>
      <c r="U112">
        <v>0.005</v>
      </c>
      <c r="W112">
        <f>SUM(AA112:AK112)/ALL_KIMARITE_SUM</f>
        <v>0</v>
      </c>
      <c r="Y112" s="23" t="s">
        <v>559</v>
      </c>
      <c r="Z112" s="23" t="s">
        <v>256</v>
      </c>
      <c r="BB112" s="473">
        <v>6.0</v>
      </c>
      <c r="BC112">
        <f t="shared" si="41"/>
        <v>0.00005353510118</v>
      </c>
      <c r="BD112">
        <f t="shared" si="42"/>
        <v>0.005</v>
      </c>
    </row>
    <row r="113">
      <c r="A113" s="451" t="s">
        <v>560</v>
      </c>
      <c r="P113" s="315"/>
      <c r="U113">
        <v>0.005</v>
      </c>
      <c r="W113">
        <f>SUM(AA113:AK113)/ALL_KIMARITE_SUM</f>
        <v>0</v>
      </c>
      <c r="Y113" s="23" t="s">
        <v>561</v>
      </c>
      <c r="Z113" s="23" t="s">
        <v>261</v>
      </c>
      <c r="BB113" s="473">
        <v>6.0</v>
      </c>
      <c r="BC113">
        <f t="shared" si="41"/>
        <v>0.00005353510118</v>
      </c>
      <c r="BD113">
        <f t="shared" si="42"/>
        <v>0.005</v>
      </c>
    </row>
    <row r="114">
      <c r="A114" s="479" t="s">
        <v>562</v>
      </c>
      <c r="P114" s="315"/>
      <c r="U114">
        <v>0.005</v>
      </c>
      <c r="W114">
        <f>SUM(AA114:AK114)/ALL_KIMARITE_SUM</f>
        <v>0</v>
      </c>
      <c r="Y114" s="23" t="s">
        <v>563</v>
      </c>
      <c r="Z114" s="23" t="s">
        <v>515</v>
      </c>
      <c r="BB114" s="473">
        <v>6.0</v>
      </c>
      <c r="BC114">
        <f t="shared" si="41"/>
        <v>0.00005353510118</v>
      </c>
      <c r="BD114">
        <f t="shared" si="42"/>
        <v>0.005</v>
      </c>
    </row>
    <row r="115">
      <c r="A115" s="451" t="s">
        <v>564</v>
      </c>
      <c r="P115" s="315"/>
      <c r="U115">
        <v>0.004</v>
      </c>
      <c r="W115">
        <f>SUM(AA115:AK115)/ALL_KIMARITE_SUM</f>
        <v>0</v>
      </c>
      <c r="Y115" s="23" t="s">
        <v>565</v>
      </c>
      <c r="Z115" s="23" t="s">
        <v>566</v>
      </c>
      <c r="BB115" s="473">
        <v>5.0</v>
      </c>
      <c r="BC115">
        <f t="shared" si="41"/>
        <v>0.00004461258432</v>
      </c>
      <c r="BD115">
        <f t="shared" si="42"/>
        <v>0.004</v>
      </c>
    </row>
    <row r="116">
      <c r="A116" s="451" t="s">
        <v>567</v>
      </c>
      <c r="P116" s="315"/>
      <c r="U116">
        <v>0.004</v>
      </c>
      <c r="W116">
        <f>SUM(AA116:AK116)/ALL_KIMARITE_SUM</f>
        <v>0</v>
      </c>
      <c r="Y116" s="23" t="s">
        <v>568</v>
      </c>
      <c r="Z116" s="23" t="s">
        <v>569</v>
      </c>
      <c r="BB116" s="473">
        <v>4.0</v>
      </c>
      <c r="BC116">
        <f t="shared" si="41"/>
        <v>0.00003569006745</v>
      </c>
      <c r="BD116">
        <f t="shared" si="42"/>
        <v>0.004</v>
      </c>
    </row>
    <row r="117">
      <c r="A117" s="451" t="s">
        <v>570</v>
      </c>
      <c r="P117" s="315"/>
      <c r="U117">
        <v>0.003</v>
      </c>
      <c r="W117">
        <f>SUM(AA117:AK117)/ALL_KIMARITE_SUM</f>
        <v>0</v>
      </c>
      <c r="Y117" s="23" t="s">
        <v>534</v>
      </c>
      <c r="Z117" s="23" t="s">
        <v>234</v>
      </c>
      <c r="BB117" s="473">
        <v>3.0</v>
      </c>
      <c r="BC117">
        <f t="shared" si="41"/>
        <v>0.00002676755059</v>
      </c>
      <c r="BD117">
        <f t="shared" si="42"/>
        <v>0.003</v>
      </c>
    </row>
    <row r="118">
      <c r="A118" s="480" t="s">
        <v>571</v>
      </c>
      <c r="P118" s="451"/>
      <c r="Q118">
        <f>sum(B118:P118)</f>
        <v>0</v>
      </c>
      <c r="R118">
        <f>Q118/sum(KIMARITE!k_total)*100</f>
        <v>0</v>
      </c>
      <c r="S118" s="23">
        <f>ROUND(R118,2)</f>
        <v>0</v>
      </c>
      <c r="U118">
        <v>0.003</v>
      </c>
      <c r="W118">
        <f>SUM(AA118:AK118)/ALL_KIMARITE_SUM</f>
        <v>0.0003177629488</v>
      </c>
      <c r="X118">
        <f>ROUND(W118,4)*100</f>
        <v>0.03</v>
      </c>
      <c r="Y118" s="23" t="s">
        <v>572</v>
      </c>
      <c r="Z118" s="23" t="s">
        <v>125</v>
      </c>
      <c r="AK118" s="23">
        <v>1.0</v>
      </c>
      <c r="BB118" s="473">
        <v>3.0</v>
      </c>
      <c r="BC118">
        <f t="shared" si="41"/>
        <v>0.00002676755059</v>
      </c>
      <c r="BD118">
        <f t="shared" si="42"/>
        <v>0.003</v>
      </c>
    </row>
    <row r="119">
      <c r="A119" s="451" t="s">
        <v>573</v>
      </c>
      <c r="P119" s="315"/>
      <c r="U119">
        <v>0.002</v>
      </c>
      <c r="W119">
        <f>SUM(AA119:AK119)/ALL_KIMARITE_SUM</f>
        <v>0</v>
      </c>
      <c r="Y119" s="23" t="s">
        <v>574</v>
      </c>
      <c r="Z119" s="23" t="s">
        <v>235</v>
      </c>
      <c r="BB119" s="473">
        <v>2.0</v>
      </c>
      <c r="BC119">
        <f t="shared" si="41"/>
        <v>0.00001784503373</v>
      </c>
      <c r="BD119">
        <f t="shared" si="42"/>
        <v>0.002</v>
      </c>
    </row>
    <row r="120">
      <c r="A120" s="451" t="s">
        <v>575</v>
      </c>
      <c r="P120" s="315"/>
      <c r="U120">
        <v>0.002</v>
      </c>
      <c r="W120">
        <f>SUM(AA120:AK120)/ALL_KIMARITE_SUM</f>
        <v>0</v>
      </c>
      <c r="Y120" s="23" t="s">
        <v>576</v>
      </c>
      <c r="Z120" s="23" t="s">
        <v>577</v>
      </c>
      <c r="BB120" s="473">
        <v>2.0</v>
      </c>
      <c r="BC120">
        <f t="shared" si="41"/>
        <v>0.00001784503373</v>
      </c>
      <c r="BD120">
        <f t="shared" si="42"/>
        <v>0.002</v>
      </c>
    </row>
    <row r="121">
      <c r="A121" s="451" t="s">
        <v>578</v>
      </c>
      <c r="P121" s="315"/>
      <c r="Q121" s="437"/>
      <c r="U121">
        <v>0.002</v>
      </c>
      <c r="W121">
        <f>SUM(AA121:AK121)/ALL_KIMARITE_SUM</f>
        <v>0</v>
      </c>
      <c r="Y121" s="23" t="s">
        <v>579</v>
      </c>
      <c r="Z121" s="23" t="s">
        <v>231</v>
      </c>
      <c r="BB121" s="473">
        <v>2.0</v>
      </c>
      <c r="BC121">
        <f t="shared" si="41"/>
        <v>0.00001784503373</v>
      </c>
      <c r="BD121">
        <f t="shared" si="42"/>
        <v>0.002</v>
      </c>
    </row>
    <row r="122">
      <c r="A122" s="451" t="s">
        <v>580</v>
      </c>
      <c r="P122" s="315"/>
      <c r="U122">
        <v>0.002</v>
      </c>
      <c r="W122">
        <f>SUM(AA122:AK122)/ALL_KIMARITE_SUM</f>
        <v>0</v>
      </c>
      <c r="Y122" s="23" t="s">
        <v>581</v>
      </c>
      <c r="Z122" s="23" t="s">
        <v>582</v>
      </c>
      <c r="BB122" s="473">
        <v>2.0</v>
      </c>
      <c r="BC122">
        <f t="shared" si="41"/>
        <v>0.00001784503373</v>
      </c>
      <c r="BD122">
        <f t="shared" si="42"/>
        <v>0.002</v>
      </c>
    </row>
    <row r="123">
      <c r="A123" s="451" t="s">
        <v>583</v>
      </c>
      <c r="P123" s="315"/>
      <c r="U123">
        <v>0.001</v>
      </c>
      <c r="W123">
        <f>SUM(AA123:AK123)/ALL_KIMARITE_SUM</f>
        <v>0</v>
      </c>
      <c r="Y123" s="23" t="s">
        <v>584</v>
      </c>
      <c r="Z123" s="23" t="s">
        <v>585</v>
      </c>
      <c r="BB123" s="473">
        <v>1.0</v>
      </c>
      <c r="BC123">
        <f t="shared" si="41"/>
        <v>0.000008922516864</v>
      </c>
      <c r="BD123">
        <f t="shared" si="42"/>
        <v>0.001</v>
      </c>
    </row>
    <row r="124">
      <c r="A124" s="451" t="s">
        <v>586</v>
      </c>
      <c r="P124" s="315"/>
      <c r="U124">
        <v>0.001</v>
      </c>
      <c r="W124">
        <f>SUM(AA124:AK124)/ALL_KIMARITE_SUM</f>
        <v>0</v>
      </c>
      <c r="Y124" s="23" t="s">
        <v>587</v>
      </c>
      <c r="Z124" s="23" t="s">
        <v>231</v>
      </c>
      <c r="BB124" s="473">
        <v>1.0</v>
      </c>
      <c r="BC124">
        <f t="shared" si="41"/>
        <v>0.000008922516864</v>
      </c>
      <c r="BD124">
        <f t="shared" si="42"/>
        <v>0.001</v>
      </c>
    </row>
    <row r="125">
      <c r="A125" s="451" t="s">
        <v>588</v>
      </c>
      <c r="P125" s="315"/>
      <c r="U125">
        <v>0.001</v>
      </c>
      <c r="W125">
        <f>SUM(AA125:AK125)/ALL_KIMARITE_SUM</f>
        <v>0</v>
      </c>
      <c r="Y125" s="23" t="s">
        <v>589</v>
      </c>
      <c r="Z125" s="23" t="s">
        <v>590</v>
      </c>
      <c r="AG125" s="23"/>
      <c r="AH125" s="23"/>
      <c r="AI125" s="23"/>
      <c r="AJ125" s="23"/>
      <c r="AK125" s="23"/>
      <c r="AL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B125" s="473">
        <v>1.0</v>
      </c>
      <c r="BC125">
        <f t="shared" si="41"/>
        <v>0.000008922516864</v>
      </c>
      <c r="BD125">
        <f t="shared" si="42"/>
        <v>0.001</v>
      </c>
    </row>
    <row r="126">
      <c r="A126" s="451" t="s">
        <v>591</v>
      </c>
      <c r="P126" s="315"/>
      <c r="U126">
        <v>0.001</v>
      </c>
      <c r="W126">
        <f>SUM(AA126:AK126)/ALL_KIMARITE_SUM</f>
        <v>0</v>
      </c>
      <c r="Y126" s="23" t="s">
        <v>592</v>
      </c>
      <c r="Z126" s="23" t="s">
        <v>593</v>
      </c>
      <c r="BB126" s="473">
        <v>1.0</v>
      </c>
      <c r="BC126">
        <f t="shared" si="41"/>
        <v>0.000008922516864</v>
      </c>
      <c r="BD126">
        <f t="shared" si="42"/>
        <v>0.001</v>
      </c>
    </row>
    <row r="127">
      <c r="A127" s="481" t="s">
        <v>594</v>
      </c>
      <c r="J127" s="198"/>
      <c r="P127" s="315"/>
      <c r="Q127">
        <f>sum(B127:P127)</f>
        <v>0</v>
      </c>
      <c r="R127">
        <f>Q127/sum(KIMARITE!k_total)*100</f>
        <v>0</v>
      </c>
      <c r="S127" s="23">
        <f>ROUND(R127,2)</f>
        <v>0</v>
      </c>
      <c r="U127">
        <v>0.001</v>
      </c>
      <c r="W127">
        <f>SUM(AA127:AK127)/ALL_KIMARITE_SUM</f>
        <v>0.0003177629488</v>
      </c>
      <c r="X127">
        <f>ROUND(W127,4)*100</f>
        <v>0.03</v>
      </c>
      <c r="Y127" s="23" t="s">
        <v>595</v>
      </c>
      <c r="Z127" s="23" t="s">
        <v>65</v>
      </c>
      <c r="AH127" s="23">
        <v>1.0</v>
      </c>
      <c r="BB127" s="473">
        <v>1.0</v>
      </c>
      <c r="BC127">
        <f t="shared" si="41"/>
        <v>0.000008922516864</v>
      </c>
      <c r="BD127">
        <f t="shared" si="42"/>
        <v>0.001</v>
      </c>
    </row>
    <row r="128">
      <c r="A128" s="451" t="s">
        <v>596</v>
      </c>
      <c r="P128" s="315"/>
      <c r="U128">
        <v>0.0</v>
      </c>
      <c r="W128">
        <f>SUM(AA128:AK128)/ALL_KIMARITE_SUM</f>
        <v>0</v>
      </c>
      <c r="Y128" s="23" t="s">
        <v>597</v>
      </c>
      <c r="Z128" s="23" t="s">
        <v>593</v>
      </c>
      <c r="BB128">
        <v>0.0</v>
      </c>
      <c r="BC128">
        <f t="shared" si="41"/>
        <v>0</v>
      </c>
      <c r="BD128">
        <f t="shared" si="42"/>
        <v>0</v>
      </c>
    </row>
    <row r="129">
      <c r="A129" s="451" t="s">
        <v>598</v>
      </c>
      <c r="P129" s="315"/>
      <c r="U129">
        <v>0.0</v>
      </c>
      <c r="W129">
        <f>SUM(AA129:AK129)/ALL_KIMARITE_SUM</f>
        <v>0</v>
      </c>
      <c r="BB129">
        <v>0.0</v>
      </c>
      <c r="BC129">
        <f t="shared" si="41"/>
        <v>0</v>
      </c>
      <c r="BD129">
        <f t="shared" si="42"/>
        <v>0</v>
      </c>
    </row>
    <row r="130">
      <c r="A130" s="451" t="s">
        <v>599</v>
      </c>
      <c r="P130" s="315"/>
      <c r="U130">
        <v>0.0</v>
      </c>
      <c r="W130">
        <f>SUM(AA130:AK130)/ALL_KIMARITE_SUM</f>
        <v>0</v>
      </c>
      <c r="Y130" s="23" t="s">
        <v>600</v>
      </c>
      <c r="Z130" s="23" t="s">
        <v>601</v>
      </c>
      <c r="BB130">
        <v>0.0</v>
      </c>
      <c r="BC130">
        <f t="shared" si="41"/>
        <v>0</v>
      </c>
      <c r="BD130">
        <f t="shared" si="42"/>
        <v>0</v>
      </c>
    </row>
    <row r="131">
      <c r="A131" s="451" t="s">
        <v>602</v>
      </c>
      <c r="P131" s="315"/>
      <c r="U131">
        <v>0.0</v>
      </c>
      <c r="W131">
        <f>SUM(AA131:AK131)/ALL_KIMARITE_SUM</f>
        <v>0</v>
      </c>
      <c r="BB131">
        <v>0.0</v>
      </c>
      <c r="BC131">
        <f t="shared" si="41"/>
        <v>0</v>
      </c>
      <c r="BD131">
        <f t="shared" si="42"/>
        <v>0</v>
      </c>
    </row>
    <row r="132">
      <c r="A132" s="451" t="s">
        <v>603</v>
      </c>
      <c r="P132" s="315"/>
      <c r="Q132" s="437"/>
      <c r="U132">
        <v>0.0</v>
      </c>
      <c r="W132">
        <f>SUM(AA132:AK132)/ALL_KIMARITE_SUM</f>
        <v>0</v>
      </c>
      <c r="BB132">
        <v>0.0</v>
      </c>
      <c r="BC132">
        <f t="shared" si="41"/>
        <v>0</v>
      </c>
      <c r="BD132">
        <f t="shared" si="42"/>
        <v>0</v>
      </c>
    </row>
    <row r="133">
      <c r="Q133" s="23" t="s">
        <v>350</v>
      </c>
      <c r="S133" s="23" t="s">
        <v>434</v>
      </c>
      <c r="T133" s="23"/>
      <c r="U133" s="23"/>
      <c r="X133" s="23" t="s">
        <v>604</v>
      </c>
      <c r="Y133" s="23" t="s">
        <v>605</v>
      </c>
      <c r="AA133" s="23" t="s">
        <v>606</v>
      </c>
      <c r="AB133" s="23" t="s">
        <v>607</v>
      </c>
      <c r="AC133" s="23" t="s">
        <v>608</v>
      </c>
      <c r="AD133" s="23" t="s">
        <v>609</v>
      </c>
      <c r="AE133" s="23" t="s">
        <v>610</v>
      </c>
      <c r="AF133" s="482">
        <v>43466.0</v>
      </c>
      <c r="AG133" s="23" t="s">
        <v>606</v>
      </c>
      <c r="AH133" s="23" t="s">
        <v>607</v>
      </c>
      <c r="AI133" s="23" t="s">
        <v>608</v>
      </c>
      <c r="AJ133" s="23" t="s">
        <v>609</v>
      </c>
      <c r="AK133" s="23" t="s">
        <v>610</v>
      </c>
      <c r="AL133" s="482">
        <v>43466.0</v>
      </c>
      <c r="AM133" s="23" t="s">
        <v>606</v>
      </c>
      <c r="BB133">
        <f>sum(BB45:BB132)</f>
        <v>112076</v>
      </c>
    </row>
    <row r="134">
      <c r="B134">
        <f t="shared" ref="B134:P134" si="54">sum(B45:B133)</f>
        <v>0</v>
      </c>
      <c r="C134">
        <f t="shared" si="54"/>
        <v>0</v>
      </c>
      <c r="D134">
        <f t="shared" si="54"/>
        <v>0</v>
      </c>
      <c r="E134">
        <f t="shared" si="54"/>
        <v>0</v>
      </c>
      <c r="F134">
        <f t="shared" si="54"/>
        <v>0</v>
      </c>
      <c r="G134">
        <f t="shared" si="54"/>
        <v>0</v>
      </c>
      <c r="H134">
        <f t="shared" si="54"/>
        <v>0</v>
      </c>
      <c r="I134">
        <f t="shared" si="54"/>
        <v>0</v>
      </c>
      <c r="J134">
        <f t="shared" si="54"/>
        <v>0</v>
      </c>
      <c r="K134">
        <f t="shared" si="54"/>
        <v>0</v>
      </c>
      <c r="L134">
        <f t="shared" si="54"/>
        <v>0</v>
      </c>
      <c r="M134">
        <f t="shared" si="54"/>
        <v>0</v>
      </c>
      <c r="N134">
        <f t="shared" si="54"/>
        <v>0</v>
      </c>
      <c r="O134">
        <f t="shared" si="54"/>
        <v>0</v>
      </c>
      <c r="P134">
        <f t="shared" si="54"/>
        <v>0</v>
      </c>
      <c r="AE134">
        <f>SUM(AA45:AK132)</f>
        <v>3147</v>
      </c>
    </row>
    <row r="136">
      <c r="C136" s="466" t="s">
        <v>513</v>
      </c>
      <c r="D136" s="459" t="s">
        <v>494</v>
      </c>
    </row>
    <row r="137">
      <c r="B137" s="483" t="s">
        <v>611</v>
      </c>
      <c r="C137" s="484" t="s">
        <v>518</v>
      </c>
      <c r="D137" s="485" t="s">
        <v>459</v>
      </c>
      <c r="E137" s="486" t="s">
        <v>506</v>
      </c>
      <c r="F137" s="483" t="s">
        <v>513</v>
      </c>
      <c r="G137" s="479" t="s">
        <v>562</v>
      </c>
      <c r="H137" s="487"/>
      <c r="I137" s="487"/>
      <c r="J137" s="476" t="s">
        <v>546</v>
      </c>
      <c r="K137" s="470" t="s">
        <v>526</v>
      </c>
    </row>
    <row r="138">
      <c r="B138" s="488" t="s">
        <v>455</v>
      </c>
      <c r="C138" s="489" t="s">
        <v>439</v>
      </c>
      <c r="D138" s="490" t="s">
        <v>456</v>
      </c>
      <c r="E138" s="491" t="s">
        <v>435</v>
      </c>
      <c r="F138" s="492" t="s">
        <v>442</v>
      </c>
      <c r="G138" s="493" t="s">
        <v>453</v>
      </c>
      <c r="H138" s="494" t="s">
        <v>451</v>
      </c>
      <c r="I138" s="495" t="s">
        <v>445</v>
      </c>
      <c r="J138" s="496" t="s">
        <v>447</v>
      </c>
      <c r="K138" s="497" t="s">
        <v>502</v>
      </c>
    </row>
    <row r="139">
      <c r="B139" s="487"/>
      <c r="C139" s="487"/>
      <c r="D139" s="498" t="s">
        <v>498</v>
      </c>
      <c r="E139" s="487"/>
      <c r="F139" s="487"/>
      <c r="G139" s="499" t="s">
        <v>425</v>
      </c>
      <c r="I139" s="487"/>
      <c r="J139" s="487"/>
      <c r="K139" s="487"/>
    </row>
    <row r="140">
      <c r="B140" s="487"/>
      <c r="C140" s="500" t="s">
        <v>454</v>
      </c>
      <c r="D140" s="487"/>
      <c r="E140" s="487"/>
      <c r="F140" s="501" t="s">
        <v>470</v>
      </c>
      <c r="G140" s="487"/>
      <c r="H140" s="502" t="s">
        <v>508</v>
      </c>
      <c r="I140" s="487"/>
      <c r="J140" s="487"/>
      <c r="K140" s="487"/>
    </row>
    <row r="141">
      <c r="B141" s="503" t="s">
        <v>480</v>
      </c>
      <c r="C141" s="504" t="s">
        <v>462</v>
      </c>
      <c r="D141" s="505" t="s">
        <v>504</v>
      </c>
      <c r="E141" s="506" t="s">
        <v>538</v>
      </c>
      <c r="F141" s="507" t="s">
        <v>452</v>
      </c>
      <c r="G141" s="508" t="s">
        <v>449</v>
      </c>
      <c r="H141" s="487"/>
      <c r="I141" s="509" t="s">
        <v>458</v>
      </c>
      <c r="J141" s="510" t="s">
        <v>457</v>
      </c>
      <c r="K141" s="511" t="s">
        <v>450</v>
      </c>
    </row>
    <row r="142">
      <c r="B142" s="512" t="s">
        <v>528</v>
      </c>
      <c r="C142" s="487"/>
      <c r="D142" s="487"/>
      <c r="E142" s="487"/>
      <c r="F142" s="487"/>
      <c r="G142" s="513" t="s">
        <v>466</v>
      </c>
      <c r="H142" s="487"/>
      <c r="I142" s="514" t="s">
        <v>483</v>
      </c>
      <c r="J142" s="515" t="s">
        <v>553</v>
      </c>
      <c r="K142" s="516" t="s">
        <v>485</v>
      </c>
    </row>
    <row r="143">
      <c r="B143" s="487"/>
      <c r="C143" s="517" t="s">
        <v>460</v>
      </c>
      <c r="D143" s="518" t="s">
        <v>468</v>
      </c>
      <c r="E143" s="487"/>
      <c r="F143" s="519" t="s">
        <v>476</v>
      </c>
      <c r="G143" s="520" t="s">
        <v>535</v>
      </c>
      <c r="H143" s="521" t="s">
        <v>488</v>
      </c>
      <c r="I143" s="487"/>
      <c r="J143" s="487"/>
      <c r="K143" s="522" t="s">
        <v>544</v>
      </c>
    </row>
    <row r="144">
      <c r="B144" s="523" t="s">
        <v>474</v>
      </c>
      <c r="C144" s="524" t="s">
        <v>472</v>
      </c>
      <c r="D144" s="525" t="s">
        <v>464</v>
      </c>
      <c r="E144" s="526" t="s">
        <v>486</v>
      </c>
      <c r="F144" s="527" t="s">
        <v>490</v>
      </c>
      <c r="G144" s="528" t="s">
        <v>549</v>
      </c>
      <c r="H144" s="529" t="s">
        <v>524</v>
      </c>
      <c r="I144" s="530" t="s">
        <v>594</v>
      </c>
      <c r="J144" s="531" t="s">
        <v>497</v>
      </c>
      <c r="K144" s="487"/>
    </row>
    <row r="1016">
      <c r="S1016" s="23"/>
      <c r="T1016" s="23"/>
      <c r="U1016" s="2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16" width="11.14"/>
    <col customWidth="1" min="17" max="17" width="8.86"/>
    <col customWidth="1" min="18" max="18" width="10.71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Z1" s="23"/>
    </row>
    <row r="2">
      <c r="A2" s="197" t="s">
        <v>350</v>
      </c>
      <c r="B2" s="170"/>
      <c r="C2" s="209">
        <f t="shared" ref="C2:C8" si="1">sum(B73:P73)+V64</f>
        <v>0</v>
      </c>
      <c r="D2" s="532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Z2" s="23"/>
    </row>
    <row r="3">
      <c r="A3" s="23"/>
      <c r="B3" s="23"/>
      <c r="C3" s="343">
        <f t="shared" si="1"/>
        <v>0</v>
      </c>
      <c r="D3" s="53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Z3" s="23"/>
    </row>
    <row r="4">
      <c r="A4" s="23"/>
      <c r="B4" s="170"/>
      <c r="C4" s="343">
        <f t="shared" si="1"/>
        <v>0</v>
      </c>
      <c r="D4" s="534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Z4" s="23"/>
    </row>
    <row r="5">
      <c r="A5" s="23"/>
      <c r="B5" s="170"/>
      <c r="C5" s="343">
        <f t="shared" si="1"/>
        <v>0</v>
      </c>
      <c r="D5" s="53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Z5" s="23"/>
    </row>
    <row r="6">
      <c r="A6" s="23"/>
      <c r="B6" s="23"/>
      <c r="C6" s="343">
        <f t="shared" si="1"/>
        <v>0</v>
      </c>
      <c r="D6" s="536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Z6" s="23"/>
    </row>
    <row r="7">
      <c r="A7" s="23"/>
      <c r="C7" s="343">
        <f t="shared" si="1"/>
        <v>0</v>
      </c>
      <c r="D7" s="537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Z7" s="23"/>
    </row>
    <row r="8">
      <c r="A8" s="23"/>
      <c r="B8" s="23"/>
      <c r="C8" s="343">
        <f t="shared" si="1"/>
        <v>0</v>
      </c>
      <c r="D8" s="538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Z8" s="23"/>
    </row>
    <row r="9">
      <c r="C9" s="23"/>
      <c r="D9" s="27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Z9" s="23"/>
    </row>
    <row r="10">
      <c r="A10" s="278" t="s">
        <v>351</v>
      </c>
      <c r="C10" s="211">
        <f>countcoloredcells('Lake City'!normalpoints,A73)</f>
        <v>0</v>
      </c>
      <c r="D10" s="539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Z10" s="23"/>
    </row>
    <row r="11">
      <c r="C11" s="351">
        <f>countcoloredcells('Lake City'!normalpoints,A74)</f>
        <v>0</v>
      </c>
      <c r="D11" s="540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Z11" s="23"/>
    </row>
    <row r="12">
      <c r="C12" s="351">
        <f>countcoloredcells('Lake City'!normalpoints,A75)</f>
        <v>0</v>
      </c>
      <c r="D12" s="541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Z12" s="23"/>
    </row>
    <row r="13">
      <c r="C13" s="351">
        <f>countcoloredcells('Lake City'!normalpoints,A76)</f>
        <v>0</v>
      </c>
      <c r="D13" s="54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Z13" s="23"/>
    </row>
    <row r="14">
      <c r="C14" s="351">
        <f>countcoloredcells('Lake City'!normalpoints,A77)</f>
        <v>0</v>
      </c>
      <c r="D14" s="54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Z14" s="23"/>
    </row>
    <row r="15">
      <c r="C15" s="351">
        <f>countcoloredcells('Lake City'!normalpoints,A78)</f>
        <v>0</v>
      </c>
      <c r="D15" s="537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Z15" s="23"/>
    </row>
    <row r="16">
      <c r="A16" s="23"/>
      <c r="B16" s="23"/>
      <c r="C16" s="351">
        <f>countcoloredcells('Lake City'!normalpoints,A79)</f>
        <v>0</v>
      </c>
      <c r="D16" s="2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Z17" s="23"/>
    </row>
    <row r="18">
      <c r="A18" s="293" t="s">
        <v>206</v>
      </c>
      <c r="B18" s="154">
        <v>1.0</v>
      </c>
      <c r="C18" s="155">
        <v>2.0</v>
      </c>
      <c r="D18" s="155">
        <v>3.0</v>
      </c>
      <c r="E18" s="155">
        <v>4.0</v>
      </c>
      <c r="F18" s="155">
        <v>5.0</v>
      </c>
      <c r="G18" s="155">
        <v>6.0</v>
      </c>
      <c r="H18" s="155">
        <v>7.0</v>
      </c>
      <c r="I18" s="155">
        <v>8.0</v>
      </c>
      <c r="J18" s="155">
        <v>9.0</v>
      </c>
      <c r="K18" s="155">
        <v>10.0</v>
      </c>
      <c r="L18" s="155">
        <v>11.0</v>
      </c>
      <c r="M18" s="155">
        <v>12.0</v>
      </c>
      <c r="N18" s="155">
        <v>13.0</v>
      </c>
      <c r="O18" s="155">
        <v>14.0</v>
      </c>
      <c r="P18" s="155">
        <v>15.0</v>
      </c>
      <c r="Q18" s="294" t="s">
        <v>350</v>
      </c>
      <c r="R18" s="183" t="s">
        <v>422</v>
      </c>
      <c r="S18" s="183" t="s">
        <v>407</v>
      </c>
      <c r="T18" s="183" t="s">
        <v>340</v>
      </c>
      <c r="U18" s="183" t="s">
        <v>341</v>
      </c>
      <c r="V18" s="183" t="s">
        <v>342</v>
      </c>
      <c r="W18" s="183" t="s">
        <v>343</v>
      </c>
      <c r="X18" s="295" t="s">
        <v>344</v>
      </c>
      <c r="Z18" s="23">
        <f>sum(R19:R60)</f>
        <v>0</v>
      </c>
    </row>
    <row r="19">
      <c r="A19" s="158" t="s">
        <v>233</v>
      </c>
      <c r="B19" s="544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355"/>
      <c r="Q19" s="170" t="str">
        <f>(BanzukeTable!A2)</f>
        <v>0-0</v>
      </c>
      <c r="R19" s="23">
        <f t="shared" ref="R19:R60" si="2">sum(T19+U19)</f>
        <v>0</v>
      </c>
      <c r="T19">
        <f t="shared" ref="T19:T20" si="3">countcoloredcells(B19:P19,A76)</f>
        <v>0</v>
      </c>
      <c r="U19">
        <f>COUNTIF(MASTER!bonuspoints2,"kisenosato")</f>
        <v>0</v>
      </c>
      <c r="X19">
        <f t="shared" ref="X19:X60" si="4">R19-7.5</f>
        <v>-7.5</v>
      </c>
      <c r="Z19" s="23">
        <f>sum(R73:R79)</f>
        <v>0</v>
      </c>
    </row>
    <row r="20">
      <c r="A20" s="158" t="s">
        <v>15</v>
      </c>
      <c r="B20" s="544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355"/>
      <c r="Q20" s="170" t="str">
        <f>(BanzukeTable!E2)</f>
        <v>0-0</v>
      </c>
      <c r="R20" s="23">
        <f t="shared" si="2"/>
        <v>0</v>
      </c>
      <c r="T20">
        <f t="shared" si="3"/>
        <v>0</v>
      </c>
      <c r="U20">
        <f>COUNTIF(MASTER!bonuspoints2,"hakuho")</f>
        <v>0</v>
      </c>
      <c r="X20">
        <f t="shared" si="4"/>
        <v>-7.5</v>
      </c>
    </row>
    <row r="21">
      <c r="A21" s="545" t="s">
        <v>19</v>
      </c>
      <c r="B21" s="544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355"/>
      <c r="Q21" s="170" t="str">
        <f>(BanzukeTable!A3)</f>
        <v>0-0</v>
      </c>
      <c r="R21" s="23">
        <f t="shared" si="2"/>
        <v>0</v>
      </c>
      <c r="T21">
        <f t="shared" ref="T21:T24" si="5">countcoloredcells(B21:P21,A75)</f>
        <v>0</v>
      </c>
      <c r="U21">
        <f>COUNTIF(MASTER!bonuspoints2,"kakuryu")</f>
        <v>0</v>
      </c>
      <c r="X21">
        <f t="shared" si="4"/>
        <v>-7.5</v>
      </c>
    </row>
    <row r="22">
      <c r="A22" s="158" t="s">
        <v>81</v>
      </c>
      <c r="B22" s="544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355"/>
      <c r="Q22" s="170" t="str">
        <f>(BanzukeTable!A4)</f>
        <v>0-0</v>
      </c>
      <c r="R22" s="23">
        <f t="shared" si="2"/>
        <v>0</v>
      </c>
      <c r="T22">
        <f t="shared" si="5"/>
        <v>0</v>
      </c>
      <c r="U22">
        <f>COUNTIF(MASTER!bonuspoints2,"takayasu")</f>
        <v>0</v>
      </c>
      <c r="X22">
        <f t="shared" si="4"/>
        <v>-7.5</v>
      </c>
    </row>
    <row r="23">
      <c r="A23" s="158" t="s">
        <v>236</v>
      </c>
      <c r="B23" s="544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296"/>
      <c r="Q23" s="170" t="str">
        <f>(BanzukeTable!E4)</f>
        <v>0-0</v>
      </c>
      <c r="R23" s="23">
        <f t="shared" si="2"/>
        <v>0</v>
      </c>
      <c r="T23">
        <f t="shared" si="5"/>
        <v>0</v>
      </c>
      <c r="U23">
        <f>COUNTIF(MASTER!bonuspoints2,"goeido")</f>
        <v>0</v>
      </c>
      <c r="X23">
        <f t="shared" si="4"/>
        <v>-7.5</v>
      </c>
    </row>
    <row r="24">
      <c r="A24" s="158" t="s">
        <v>72</v>
      </c>
      <c r="B24" s="544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355"/>
      <c r="Q24" s="170" t="str">
        <f>(BanzukeTable!E5)</f>
        <v/>
      </c>
      <c r="R24" s="23">
        <f t="shared" si="2"/>
        <v>0</v>
      </c>
      <c r="T24">
        <f t="shared" si="5"/>
        <v>0</v>
      </c>
      <c r="U24">
        <f>COUNTIF(MASTER!bonuspoints2,"tochinoshin")</f>
        <v>0</v>
      </c>
      <c r="X24">
        <f t="shared" si="4"/>
        <v>-7.5</v>
      </c>
    </row>
    <row r="25">
      <c r="A25" s="158" t="s">
        <v>27</v>
      </c>
      <c r="B25" s="544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355"/>
      <c r="Q25" s="170" t="str">
        <f>(BanzukeTable!A6)</f>
        <v>0-0</v>
      </c>
      <c r="R25" s="23">
        <f t="shared" si="2"/>
        <v>0</v>
      </c>
      <c r="T25">
        <f>countcoloredcells(B25:P25,A73)</f>
        <v>0</v>
      </c>
      <c r="U25">
        <f>COUNTIF(MASTER!bonuspoints2,"takakeisho")</f>
        <v>0</v>
      </c>
      <c r="X25">
        <f t="shared" si="4"/>
        <v>-7.5</v>
      </c>
    </row>
    <row r="26">
      <c r="A26" s="158" t="s">
        <v>59</v>
      </c>
      <c r="B26" s="544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355"/>
      <c r="Q26" s="170" t="str">
        <f>(BanzukeTable!E6)</f>
        <v>0-0</v>
      </c>
      <c r="R26" s="23">
        <f t="shared" si="2"/>
        <v>0</v>
      </c>
      <c r="T26">
        <f t="shared" ref="T26:T27" si="6">countcoloredcells(B26:P26,A73)</f>
        <v>0</v>
      </c>
      <c r="U26">
        <f>COUNTIF(MASTER!bonuspoints2,"tamawashi")</f>
        <v>0</v>
      </c>
      <c r="X26">
        <f t="shared" si="4"/>
        <v>-7.5</v>
      </c>
    </row>
    <row r="27">
      <c r="A27" s="158" t="s">
        <v>62</v>
      </c>
      <c r="B27" s="544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79"/>
      <c r="P27" s="355"/>
      <c r="Q27" s="170" t="str">
        <f>(BanzukeTable!A7)</f>
        <v>0-0</v>
      </c>
      <c r="R27" s="23">
        <f t="shared" si="2"/>
        <v>0</v>
      </c>
      <c r="T27">
        <f t="shared" si="6"/>
        <v>0</v>
      </c>
      <c r="U27">
        <f>COUNTIF(MASTER!bonuspoints2,"myogiryu")</f>
        <v>0</v>
      </c>
      <c r="X27">
        <f t="shared" si="4"/>
        <v>-7.5</v>
      </c>
    </row>
    <row r="28">
      <c r="A28" s="158" t="s">
        <v>36</v>
      </c>
      <c r="B28" s="544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355"/>
      <c r="Q28" s="170" t="str">
        <f>(BanzukeTable!E7)</f>
        <v>0-0</v>
      </c>
      <c r="R28" s="23">
        <f t="shared" si="2"/>
        <v>0</v>
      </c>
      <c r="T28">
        <f t="shared" ref="T28:T29" si="7">countcoloredcells(B28:P28,A76)</f>
        <v>0</v>
      </c>
      <c r="U28">
        <f>COUNTIF(MASTER!bonuspoints2,"mitakeumi")</f>
        <v>0</v>
      </c>
      <c r="X28">
        <f t="shared" si="4"/>
        <v>-7.5</v>
      </c>
    </row>
    <row r="29">
      <c r="A29" s="158" t="s">
        <v>238</v>
      </c>
      <c r="B29" s="544"/>
      <c r="C29" s="160"/>
      <c r="D29" s="179"/>
      <c r="E29" s="160"/>
      <c r="F29" s="160"/>
      <c r="G29" s="160"/>
      <c r="H29" s="160"/>
      <c r="I29" s="160"/>
      <c r="J29" s="160"/>
      <c r="K29" s="179"/>
      <c r="L29" s="160"/>
      <c r="M29" s="160"/>
      <c r="N29" s="160"/>
      <c r="O29" s="160"/>
      <c r="P29" s="355"/>
      <c r="Q29" s="170" t="str">
        <f>(BanzukeTable!A8)</f>
        <v>0-0</v>
      </c>
      <c r="R29" s="23">
        <f t="shared" si="2"/>
        <v>0</v>
      </c>
      <c r="T29">
        <f t="shared" si="7"/>
        <v>0</v>
      </c>
      <c r="U29">
        <f>COUNTIF(MASTER!bonuspoints2,"tochiozan")</f>
        <v>0</v>
      </c>
      <c r="X29">
        <f t="shared" si="4"/>
        <v>-7.5</v>
      </c>
    </row>
    <row r="30">
      <c r="A30" s="158" t="s">
        <v>146</v>
      </c>
      <c r="B30" s="544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355"/>
      <c r="Q30" s="170" t="str">
        <f>(BanzukeTable!E8)</f>
        <v>0-0</v>
      </c>
      <c r="R30" s="23">
        <f t="shared" si="2"/>
        <v>0</v>
      </c>
      <c r="T30">
        <f>countcoloredcells(B30:P30,A74)</f>
        <v>0</v>
      </c>
      <c r="U30">
        <f>COUNTIF(MASTER!bonuspoints2,"ichinojo")</f>
        <v>0</v>
      </c>
      <c r="X30">
        <f t="shared" si="4"/>
        <v>-7.5</v>
      </c>
    </row>
    <row r="31">
      <c r="A31" s="158" t="s">
        <v>153</v>
      </c>
      <c r="B31" s="544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355"/>
      <c r="Q31" s="170" t="str">
        <f>(BanzukeTable!A9)</f>
        <v>0-0</v>
      </c>
      <c r="R31" s="23">
        <f t="shared" si="2"/>
        <v>0</v>
      </c>
      <c r="T31">
        <f>countcoloredcells(B31:P31,A76)</f>
        <v>0</v>
      </c>
      <c r="U31">
        <f>COUNTIF(MASTER!bonuspoints2,"nishikigi")</f>
        <v>0</v>
      </c>
      <c r="X31">
        <f t="shared" si="4"/>
        <v>-7.5</v>
      </c>
    </row>
    <row r="32">
      <c r="A32" s="158" t="s">
        <v>57</v>
      </c>
      <c r="B32" s="544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355"/>
      <c r="Q32" s="170" t="str">
        <f>(BanzukeTable!E9)</f>
        <v>0-0</v>
      </c>
      <c r="R32" s="23">
        <f t="shared" si="2"/>
        <v>0</v>
      </c>
      <c r="T32">
        <f t="shared" ref="T32:T34" si="8">countcoloredcells(B32:P32,A76)</f>
        <v>0</v>
      </c>
      <c r="U32">
        <f>COUNTIF(MASTER!bonuspoints2,"hokutofuji")</f>
        <v>0</v>
      </c>
      <c r="X32">
        <f t="shared" si="4"/>
        <v>-7.5</v>
      </c>
    </row>
    <row r="33">
      <c r="A33" s="158" t="s">
        <v>32</v>
      </c>
      <c r="B33" s="544"/>
      <c r="C33" s="160"/>
      <c r="D33" s="160"/>
      <c r="E33" s="160"/>
      <c r="F33" s="160"/>
      <c r="G33" s="160"/>
      <c r="H33" s="179"/>
      <c r="I33" s="160"/>
      <c r="J33" s="160"/>
      <c r="K33" s="160"/>
      <c r="L33" s="160"/>
      <c r="M33" s="160"/>
      <c r="N33" s="160"/>
      <c r="O33" s="160"/>
      <c r="P33" s="355"/>
      <c r="Q33" s="170" t="str">
        <f>(BanzukeTable!A10)</f>
        <v>0-0</v>
      </c>
      <c r="R33" s="23">
        <f t="shared" si="2"/>
        <v>0</v>
      </c>
      <c r="T33">
        <f t="shared" si="8"/>
        <v>0</v>
      </c>
      <c r="U33">
        <f>COUNTIF(MASTER!bonuspoints2,"shodai")</f>
        <v>0</v>
      </c>
      <c r="X33">
        <f t="shared" si="4"/>
        <v>-7.5</v>
      </c>
    </row>
    <row r="34">
      <c r="A34" s="158" t="s">
        <v>138</v>
      </c>
      <c r="B34" s="544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355"/>
      <c r="Q34" s="170" t="str">
        <f>(BanzukeTable!E10)</f>
        <v>0-0</v>
      </c>
      <c r="R34" s="23">
        <f t="shared" si="2"/>
        <v>0</v>
      </c>
      <c r="T34">
        <f t="shared" si="8"/>
        <v>0</v>
      </c>
      <c r="U34">
        <f>COUNTIF(MASTER!bonuspoints2,"shohozan")</f>
        <v>0</v>
      </c>
      <c r="X34">
        <f t="shared" si="4"/>
        <v>-7.5</v>
      </c>
    </row>
    <row r="35">
      <c r="A35" s="158" t="s">
        <v>114</v>
      </c>
      <c r="B35" s="544"/>
      <c r="C35" s="160"/>
      <c r="D35" s="160"/>
      <c r="E35" s="160"/>
      <c r="F35" s="160"/>
      <c r="G35" s="160"/>
      <c r="H35" s="160"/>
      <c r="I35" s="160"/>
      <c r="J35" s="160"/>
      <c r="K35" s="160"/>
      <c r="L35" s="179"/>
      <c r="M35" s="160"/>
      <c r="N35" s="160"/>
      <c r="O35" s="160"/>
      <c r="P35" s="355"/>
      <c r="Q35" s="170" t="str">
        <f>(BanzukeTable!A11)</f>
        <v>0-0</v>
      </c>
      <c r="R35" s="23">
        <f t="shared" si="2"/>
        <v>0</v>
      </c>
      <c r="T35">
        <f>countcoloredcells(B35:P35,A78)</f>
        <v>0</v>
      </c>
      <c r="U35">
        <f>COUNTIF(MASTER!bonuspoints2,"kotoshogiku")</f>
        <v>0</v>
      </c>
      <c r="X35">
        <f t="shared" si="4"/>
        <v>-7.5</v>
      </c>
    </row>
    <row r="36">
      <c r="A36" s="158" t="s">
        <v>45</v>
      </c>
      <c r="B36" s="544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296"/>
      <c r="Q36" s="170" t="str">
        <f>(BanzukeTable!E11)</f>
        <v>0-0</v>
      </c>
      <c r="R36" s="23">
        <f t="shared" si="2"/>
        <v>0</v>
      </c>
      <c r="T36">
        <f>countcoloredcells(B36:P36,A73)</f>
        <v>0</v>
      </c>
      <c r="U36">
        <f>COUNTIF(MASTER!bonuspoints2,"okinoumi")</f>
        <v>0</v>
      </c>
      <c r="X36">
        <f t="shared" si="4"/>
        <v>-7.5</v>
      </c>
    </row>
    <row r="37">
      <c r="A37" s="158" t="s">
        <v>90</v>
      </c>
      <c r="B37" s="544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296"/>
      <c r="Q37" s="170" t="str">
        <f>(BanzukeTable!A12)</f>
        <v>0-0</v>
      </c>
      <c r="R37" s="23">
        <f t="shared" si="2"/>
        <v>0</v>
      </c>
      <c r="T37">
        <f>countcoloredcells(B37:P37,A77)</f>
        <v>0</v>
      </c>
      <c r="U37">
        <f>COUNTIF(MASTER!bonuspoints2,"aoiyama")</f>
        <v>0</v>
      </c>
      <c r="X37">
        <f t="shared" si="4"/>
        <v>-7.5</v>
      </c>
    </row>
    <row r="38">
      <c r="A38" s="158" t="s">
        <v>246</v>
      </c>
      <c r="B38" s="544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355"/>
      <c r="Q38" s="170" t="str">
        <f>(BanzukeTable!E12)</f>
        <v>0-0</v>
      </c>
      <c r="R38" s="23">
        <f t="shared" si="2"/>
        <v>0</v>
      </c>
      <c r="T38">
        <f>countcoloredcells(B38:P38,A75)</f>
        <v>0</v>
      </c>
      <c r="U38">
        <f>COUNTIF(MASTER!bonuspoints2,"yoshikaze")</f>
        <v>0</v>
      </c>
      <c r="X38">
        <f t="shared" si="4"/>
        <v>-7.5</v>
      </c>
    </row>
    <row r="39">
      <c r="A39" s="158" t="s">
        <v>111</v>
      </c>
      <c r="B39" s="544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296"/>
      <c r="Q39" s="170" t="str">
        <f>(BanzukeTable!A13)</f>
        <v>0-0</v>
      </c>
      <c r="R39" s="23">
        <f t="shared" si="2"/>
        <v>0</v>
      </c>
      <c r="T39">
        <f>countcoloredcells(B39:P39,A73)</f>
        <v>0</v>
      </c>
      <c r="U39">
        <f>COUNTIF(MASTER!bonuspoints2,"chiyotairyu")</f>
        <v>0</v>
      </c>
      <c r="X39">
        <f t="shared" si="4"/>
        <v>-7.5</v>
      </c>
    </row>
    <row r="40">
      <c r="A40" s="158" t="s">
        <v>102</v>
      </c>
      <c r="B40" s="544"/>
      <c r="C40" s="160"/>
      <c r="D40" s="160"/>
      <c r="E40" s="160"/>
      <c r="F40" s="160"/>
      <c r="G40" s="160"/>
      <c r="H40" s="160"/>
      <c r="I40" s="160"/>
      <c r="J40" s="160"/>
      <c r="K40" s="160"/>
      <c r="L40" s="179"/>
      <c r="M40" s="160"/>
      <c r="N40" s="160"/>
      <c r="O40" s="160"/>
      <c r="P40" s="355"/>
      <c r="Q40" s="170" t="str">
        <f>(BanzukeTable!E13)</f>
        <v>0-0</v>
      </c>
      <c r="R40" s="23">
        <f t="shared" si="2"/>
        <v>0</v>
      </c>
      <c r="T40">
        <f>countcoloredcells(B40:P40,A78)</f>
        <v>0</v>
      </c>
      <c r="U40">
        <f>COUNTIF(MASTER!bonuspoints2,"kagayaki")</f>
        <v>0</v>
      </c>
      <c r="X40">
        <f t="shared" si="4"/>
        <v>-7.5</v>
      </c>
    </row>
    <row r="41">
      <c r="A41" s="158" t="s">
        <v>88</v>
      </c>
      <c r="B41" s="544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355"/>
      <c r="Q41" s="170" t="str">
        <f>(BanzukeTable!A14)</f>
        <v>0-0</v>
      </c>
      <c r="R41" s="23">
        <f t="shared" si="2"/>
        <v>0</v>
      </c>
      <c r="T41">
        <f>countcoloredcells(B41:P41,A75)</f>
        <v>0</v>
      </c>
      <c r="U41">
        <f>COUNTIF(MASTER!bonuspoints2,"abi")</f>
        <v>0</v>
      </c>
      <c r="X41">
        <f t="shared" si="4"/>
        <v>-7.5</v>
      </c>
    </row>
    <row r="42">
      <c r="A42" s="158" t="s">
        <v>40</v>
      </c>
      <c r="B42" s="544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355"/>
      <c r="Q42" s="170" t="str">
        <f>(BanzukeTable!E14)</f>
        <v>0-0</v>
      </c>
      <c r="R42" s="23">
        <f t="shared" si="2"/>
        <v>0</v>
      </c>
      <c r="T42">
        <f>countcoloredcells(B42:P42,A75)</f>
        <v>0</v>
      </c>
      <c r="U42">
        <f>COUNTIF(MASTER!bonuspoints2,"shohozan")</f>
        <v>0</v>
      </c>
      <c r="X42">
        <f t="shared" si="4"/>
        <v>-7.5</v>
      </c>
    </row>
    <row r="43">
      <c r="A43" s="158" t="s">
        <v>119</v>
      </c>
      <c r="B43" s="544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355"/>
      <c r="Q43" s="170" t="str">
        <f>(BanzukeTable!A15)</f>
        <v>0-0</v>
      </c>
      <c r="R43" s="23">
        <f t="shared" si="2"/>
        <v>0</v>
      </c>
      <c r="T43">
        <f>countcoloredcells(B43:P43,A77)</f>
        <v>0</v>
      </c>
      <c r="U43">
        <f>COUNTIF(MASTER!bonuspoints2,"ikioi")</f>
        <v>0</v>
      </c>
      <c r="X43">
        <f t="shared" si="4"/>
        <v>-7.5</v>
      </c>
    </row>
    <row r="44">
      <c r="A44" s="158" t="s">
        <v>23</v>
      </c>
      <c r="B44" s="544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355"/>
      <c r="Q44" s="170" t="str">
        <f>(BanzukeTable!E15)</f>
        <v>0-0</v>
      </c>
      <c r="R44" s="23">
        <f t="shared" si="2"/>
        <v>0</v>
      </c>
      <c r="T44">
        <f>countcoloredcells(B44:P44,A76)</f>
        <v>0</v>
      </c>
      <c r="U44">
        <f>COUNTIF(MASTER!bonuspoints2,"takarafuji")</f>
        <v>0</v>
      </c>
      <c r="X44">
        <f t="shared" si="4"/>
        <v>-7.5</v>
      </c>
    </row>
    <row r="45">
      <c r="A45" s="158" t="s">
        <v>262</v>
      </c>
      <c r="B45" s="544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355"/>
      <c r="Q45" s="170" t="str">
        <f>(BanzukeTable!A16)</f>
        <v>0-0</v>
      </c>
      <c r="R45" s="23">
        <f t="shared" si="2"/>
        <v>0</v>
      </c>
      <c r="T45">
        <f>countcoloredcells(B45:P45,A76)</f>
        <v>0</v>
      </c>
      <c r="U45">
        <f>COUNTIF(MASTER!bonuspoints2,"kotoshogiku")</f>
        <v>0</v>
      </c>
      <c r="X45">
        <f t="shared" si="4"/>
        <v>-7.5</v>
      </c>
    </row>
    <row r="46">
      <c r="A46" s="158" t="s">
        <v>48</v>
      </c>
      <c r="B46" s="544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355"/>
      <c r="Q46" s="170" t="str">
        <f>(BanzukeTable!E16)</f>
        <v>0-0</v>
      </c>
      <c r="R46" s="23">
        <f t="shared" si="2"/>
        <v>0</v>
      </c>
      <c r="T46">
        <f t="shared" ref="T46:T48" si="9">countcoloredcells(B46:P46,A73)</f>
        <v>0</v>
      </c>
      <c r="U46">
        <f>COUNTIF(MASTER!bonuspoints2,"daieisho")</f>
        <v>0</v>
      </c>
      <c r="X46">
        <f t="shared" si="4"/>
        <v>-7.5</v>
      </c>
    </row>
    <row r="47">
      <c r="A47" s="158" t="s">
        <v>79</v>
      </c>
      <c r="B47" s="544"/>
      <c r="C47" s="160"/>
      <c r="D47" s="160"/>
      <c r="E47" s="179"/>
      <c r="F47" s="160"/>
      <c r="G47" s="160"/>
      <c r="H47" s="179"/>
      <c r="I47" s="160"/>
      <c r="J47" s="160"/>
      <c r="K47" s="160"/>
      <c r="L47" s="160"/>
      <c r="M47" s="160"/>
      <c r="N47" s="160"/>
      <c r="O47" s="160"/>
      <c r="P47" s="355"/>
      <c r="Q47" s="170" t="str">
        <f>(BanzukeTable!A17)</f>
        <v>0-0</v>
      </c>
      <c r="R47" s="23">
        <f t="shared" si="2"/>
        <v>0</v>
      </c>
      <c r="T47">
        <f t="shared" si="9"/>
        <v>0</v>
      </c>
      <c r="U47">
        <f>COUNTIF(MASTER!bonuspoints2,"sadanoumi")</f>
        <v>0</v>
      </c>
      <c r="X47">
        <f t="shared" si="4"/>
        <v>-7.5</v>
      </c>
    </row>
    <row r="48">
      <c r="A48" s="158" t="s">
        <v>131</v>
      </c>
      <c r="B48" s="544"/>
      <c r="C48" s="160"/>
      <c r="D48" s="160"/>
      <c r="E48" s="160"/>
      <c r="F48" s="160"/>
      <c r="G48" s="179"/>
      <c r="H48" s="160"/>
      <c r="I48" s="160"/>
      <c r="J48" s="160"/>
      <c r="K48" s="160"/>
      <c r="L48" s="160"/>
      <c r="M48" s="160"/>
      <c r="N48" s="160"/>
      <c r="O48" s="160"/>
      <c r="P48" s="355"/>
      <c r="Q48" s="170" t="str">
        <f>(BanzukeTable!E17)</f>
        <v>0-0</v>
      </c>
      <c r="R48" s="23">
        <f t="shared" si="2"/>
        <v>0</v>
      </c>
      <c r="T48">
        <f t="shared" si="9"/>
        <v>0</v>
      </c>
      <c r="U48">
        <f>COUNTIF(MASTER!bonuspoints2,"yutakayama")</f>
        <v>0</v>
      </c>
      <c r="X48">
        <f t="shared" si="4"/>
        <v>-7.5</v>
      </c>
    </row>
    <row r="49">
      <c r="A49" s="158" t="s">
        <v>105</v>
      </c>
      <c r="B49" s="544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355"/>
      <c r="Q49" s="170" t="str">
        <f>(BanzukeTable!A18)</f>
        <v>0-0</v>
      </c>
      <c r="R49" s="23">
        <f t="shared" si="2"/>
        <v>0</v>
      </c>
      <c r="T49">
        <f>countcoloredcells(B49:P49,A77)</f>
        <v>0</v>
      </c>
      <c r="U49">
        <f>COUNTIF(MASTER!bonuspoints2,"chiyonokuni")</f>
        <v>0</v>
      </c>
      <c r="X49">
        <f t="shared" si="4"/>
        <v>-7.5</v>
      </c>
    </row>
    <row r="50">
      <c r="A50" s="158" t="s">
        <v>150</v>
      </c>
      <c r="B50" s="544"/>
      <c r="C50" s="160"/>
      <c r="D50" s="160"/>
      <c r="E50" s="160"/>
      <c r="F50" s="179"/>
      <c r="G50" s="160"/>
      <c r="H50" s="160"/>
      <c r="I50" s="160"/>
      <c r="J50" s="160"/>
      <c r="K50" s="160"/>
      <c r="L50" s="160"/>
      <c r="M50" s="160"/>
      <c r="N50" s="160"/>
      <c r="O50" s="160"/>
      <c r="P50" s="355"/>
      <c r="Q50" s="170" t="str">
        <f>(BanzukeTable!E18)</f>
        <v>0-0</v>
      </c>
      <c r="R50" s="23">
        <f t="shared" si="2"/>
        <v>0</v>
      </c>
      <c r="T50">
        <f>countcoloredcells(B50:P50,A73)</f>
        <v>0</v>
      </c>
      <c r="U50">
        <f>COUNTIF(MASTER!bonuspoints2,"okinoumi")</f>
        <v>0</v>
      </c>
      <c r="X50">
        <f t="shared" si="4"/>
        <v>-7.5</v>
      </c>
    </row>
    <row r="51">
      <c r="A51" s="158" t="s">
        <v>84</v>
      </c>
      <c r="B51" s="544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355"/>
      <c r="Q51" s="170" t="str">
        <f>(BanzukeTable!A19)</f>
        <v>0-0</v>
      </c>
      <c r="R51" s="23">
        <f t="shared" si="2"/>
        <v>0</v>
      </c>
      <c r="T51">
        <f>countcoloredcells(B51:P51,A77)</f>
        <v>0</v>
      </c>
      <c r="U51">
        <f>COUNTIF(MASTER!bonuspoints2,"aoiyama")</f>
        <v>0</v>
      </c>
      <c r="X51">
        <f t="shared" si="4"/>
        <v>-7.5</v>
      </c>
    </row>
    <row r="52">
      <c r="A52" s="158" t="s">
        <v>122</v>
      </c>
      <c r="B52" s="544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355"/>
      <c r="Q52" s="170" t="str">
        <f>(BanzukeTable!E19)</f>
        <v>0-0</v>
      </c>
      <c r="R52" s="23">
        <f t="shared" si="2"/>
        <v>0</v>
      </c>
      <c r="T52">
        <f>countcoloredcells(B52:P52,A74)</f>
        <v>0</v>
      </c>
      <c r="U52">
        <f>COUNTIF(MASTER!bonuspoints2,"endo")</f>
        <v>0</v>
      </c>
      <c r="X52">
        <f t="shared" si="4"/>
        <v>-7.5</v>
      </c>
    </row>
    <row r="53">
      <c r="A53" s="158" t="s">
        <v>199</v>
      </c>
      <c r="B53" s="544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355"/>
      <c r="Q53" s="170" t="str">
        <f>(BanzukeTable!A20)</f>
        <v>0-0</v>
      </c>
      <c r="R53" s="23">
        <f t="shared" si="2"/>
        <v>0</v>
      </c>
      <c r="T53">
        <f>countcoloredcells(B53:P53,A74)</f>
        <v>0</v>
      </c>
      <c r="U53">
        <f>COUNTIF(MASTER!bonuspoints2,"onosho")</f>
        <v>0</v>
      </c>
      <c r="X53">
        <f t="shared" si="4"/>
        <v>-7.5</v>
      </c>
    </row>
    <row r="54">
      <c r="A54" s="158" t="s">
        <v>157</v>
      </c>
      <c r="B54" s="544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355"/>
      <c r="Q54" s="170" t="str">
        <f>(BanzukeTable!E20)</f>
        <v>0-0</v>
      </c>
      <c r="R54" s="23">
        <f t="shared" si="2"/>
        <v>0</v>
      </c>
      <c r="T54">
        <f t="shared" ref="T54:T56" si="10">countcoloredcells(B54:P54,A74)</f>
        <v>0</v>
      </c>
      <c r="U54">
        <f>COUNTIF(MASTER!bonuspoints2,"takanosho")</f>
        <v>0</v>
      </c>
      <c r="V54">
        <f>COUNTIF(KIMARITE!B37:P37,"JW")</f>
        <v>0</v>
      </c>
      <c r="W54">
        <f>COUNTIF(KIMARITE!B37:P37,"Jl")</f>
        <v>0</v>
      </c>
      <c r="X54">
        <f t="shared" si="4"/>
        <v>-7.5</v>
      </c>
    </row>
    <row r="55">
      <c r="A55" s="158" t="s">
        <v>70</v>
      </c>
      <c r="B55" s="544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355"/>
      <c r="Q55" s="170" t="str">
        <f>(BanzukeTable!A21)</f>
        <v>0-0</v>
      </c>
      <c r="R55" s="23">
        <f t="shared" si="2"/>
        <v>0</v>
      </c>
      <c r="T55">
        <f t="shared" si="10"/>
        <v>0</v>
      </c>
      <c r="V55">
        <f>COUNTIF(KIMARITE!B38:P38,"JW")</f>
        <v>0</v>
      </c>
      <c r="W55">
        <f>COUNTIF(KIMARITE!B38:P38,"Jl")</f>
        <v>0</v>
      </c>
      <c r="X55">
        <f t="shared" si="4"/>
        <v>-7.5</v>
      </c>
    </row>
    <row r="56">
      <c r="A56" s="158" t="s">
        <v>167</v>
      </c>
      <c r="B56" s="544"/>
      <c r="C56" s="160"/>
      <c r="D56" s="160"/>
      <c r="E56" s="160"/>
      <c r="F56" s="160"/>
      <c r="G56" s="160"/>
      <c r="H56" s="160"/>
      <c r="I56" s="160"/>
      <c r="J56" s="179"/>
      <c r="K56" s="160"/>
      <c r="L56" s="160"/>
      <c r="M56" s="160"/>
      <c r="N56" s="160"/>
      <c r="O56" s="160"/>
      <c r="P56" s="355"/>
      <c r="Q56" s="170" t="str">
        <f>(BanzukeTable!E21)</f>
        <v>0-0</v>
      </c>
      <c r="R56" s="23">
        <f t="shared" si="2"/>
        <v>0</v>
      </c>
      <c r="T56">
        <f t="shared" si="10"/>
        <v>0</v>
      </c>
      <c r="V56">
        <f>COUNTIF(KIMARITE!B39:P39,"JW")</f>
        <v>0</v>
      </c>
      <c r="W56">
        <f>COUNTIF(KIMARITE!B39:P39,"Jl")</f>
        <v>0</v>
      </c>
      <c r="X56">
        <f t="shared" si="4"/>
        <v>-7.5</v>
      </c>
    </row>
    <row r="57">
      <c r="A57" s="158" t="s">
        <v>187</v>
      </c>
      <c r="B57" s="544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355"/>
      <c r="Q57" s="170" t="str">
        <f>(BanzukeTable!A22)</f>
        <v>0-0</v>
      </c>
      <c r="R57" s="23">
        <f t="shared" si="2"/>
        <v>0</v>
      </c>
      <c r="T57">
        <f>countcoloredcells(B57:P57,A78)</f>
        <v>0</v>
      </c>
      <c r="V57">
        <f>COUNTIF(KIMARITE!B40:P40,"JW")</f>
        <v>0</v>
      </c>
      <c r="W57">
        <f>COUNTIF(KIMARITE!B40:P40,"Jl")</f>
        <v>0</v>
      </c>
      <c r="X57">
        <f t="shared" si="4"/>
        <v>-7.5</v>
      </c>
    </row>
    <row r="58">
      <c r="A58" s="158" t="s">
        <v>107</v>
      </c>
      <c r="B58" s="544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355"/>
      <c r="Q58" s="170" t="str">
        <f>(BanzukeTable!E22)</f>
        <v>0-0</v>
      </c>
      <c r="R58" s="23">
        <f t="shared" si="2"/>
        <v>0</v>
      </c>
      <c r="T58">
        <f>countcoloredcells(B58:P58,A78)</f>
        <v>0</v>
      </c>
      <c r="V58">
        <f>COUNTIF(KIMARITE!B41:P41,"JW")</f>
        <v>0</v>
      </c>
      <c r="W58">
        <f>COUNTIF(KIMARITE!B41:P41,"Jl")</f>
        <v>0</v>
      </c>
      <c r="X58">
        <f t="shared" si="4"/>
        <v>-7.5</v>
      </c>
    </row>
    <row r="59">
      <c r="A59" s="158" t="s">
        <v>169</v>
      </c>
      <c r="B59" s="544"/>
      <c r="C59" s="179"/>
      <c r="D59" s="179"/>
      <c r="E59" s="160"/>
      <c r="F59" s="160"/>
      <c r="G59" s="160"/>
      <c r="H59" s="160"/>
      <c r="I59" s="179"/>
      <c r="J59" s="160"/>
      <c r="K59" s="160"/>
      <c r="L59" s="160"/>
      <c r="M59" s="160"/>
      <c r="N59" s="160"/>
      <c r="O59" s="160"/>
      <c r="P59" s="355"/>
      <c r="Q59" s="170" t="str">
        <f>(BanzukeTable!A23)</f>
        <v>0-0</v>
      </c>
      <c r="R59" s="23">
        <f t="shared" si="2"/>
        <v>0</v>
      </c>
      <c r="T59">
        <f>countcoloredcells(B59:P59,A78)</f>
        <v>0</v>
      </c>
      <c r="V59">
        <f>COUNTIF(KIMARITE!B42:P42,"JW")</f>
        <v>0</v>
      </c>
      <c r="W59">
        <f>COUNTIF(KIMARITE!B42:P42,"Jl")</f>
        <v>0</v>
      </c>
      <c r="X59">
        <f t="shared" si="4"/>
        <v>-7.5</v>
      </c>
    </row>
    <row r="60">
      <c r="A60" s="158" t="s">
        <v>173</v>
      </c>
      <c r="B60" s="544"/>
      <c r="C60" s="160"/>
      <c r="D60" s="160"/>
      <c r="E60" s="160"/>
      <c r="F60" s="179"/>
      <c r="G60" s="160"/>
      <c r="H60" s="160"/>
      <c r="I60" s="160"/>
      <c r="J60" s="160"/>
      <c r="K60" s="160"/>
      <c r="L60" s="160"/>
      <c r="M60" s="160"/>
      <c r="N60" s="160"/>
      <c r="O60" s="160"/>
      <c r="P60" s="355"/>
      <c r="Q60" s="170" t="str">
        <f>(BanzukeTable!E23)</f>
        <v/>
      </c>
      <c r="R60" s="23">
        <f t="shared" si="2"/>
        <v>0</v>
      </c>
      <c r="T60">
        <f>countcoloredcells(B60:P60,A75)</f>
        <v>0</v>
      </c>
      <c r="V60">
        <f>COUNTIF(KIMARITE!B43:P43,"JW")</f>
        <v>0</v>
      </c>
      <c r="W60">
        <f>COUNTIF(KIMARITE!B43:P43,"Jl")</f>
        <v>0</v>
      </c>
      <c r="X60">
        <f t="shared" si="4"/>
        <v>-7.5</v>
      </c>
    </row>
    <row r="61">
      <c r="A61" s="187" t="s">
        <v>341</v>
      </c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189"/>
      <c r="R61" s="190"/>
      <c r="S61" s="190"/>
      <c r="T61" s="190"/>
      <c r="U61" s="190"/>
      <c r="V61" s="192"/>
      <c r="W61" s="192"/>
      <c r="X61" s="192"/>
      <c r="Y61" s="192"/>
      <c r="Z61" s="192"/>
      <c r="AA61" s="192"/>
      <c r="AB61" s="192"/>
      <c r="AC61" s="192"/>
    </row>
    <row r="62">
      <c r="A62" s="194"/>
      <c r="B62" s="371"/>
      <c r="C62" s="371"/>
      <c r="D62" s="371"/>
      <c r="E62" s="371"/>
      <c r="F62" s="378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195"/>
      <c r="R62" s="196"/>
      <c r="S62" s="196"/>
      <c r="T62" s="196"/>
      <c r="U62" s="196"/>
      <c r="V62" s="198" t="s">
        <v>348</v>
      </c>
      <c r="W62" s="193"/>
      <c r="X62" s="193"/>
      <c r="Y62" s="193"/>
      <c r="Z62" s="193"/>
      <c r="AA62" s="193"/>
      <c r="AB62" s="193"/>
      <c r="AC62" s="193"/>
    </row>
    <row r="63">
      <c r="A63" s="194"/>
      <c r="B63" s="371"/>
      <c r="C63" s="371"/>
      <c r="D63" s="371"/>
      <c r="E63" s="371"/>
      <c r="F63" s="371"/>
      <c r="G63" s="371"/>
      <c r="H63" s="371"/>
      <c r="I63" s="371"/>
      <c r="J63" s="371"/>
      <c r="K63" s="371"/>
      <c r="L63" s="371"/>
      <c r="M63" s="383"/>
      <c r="N63" s="371"/>
      <c r="O63" s="383"/>
      <c r="P63" s="378"/>
      <c r="Q63" s="195"/>
      <c r="R63" s="196"/>
      <c r="S63" s="196"/>
      <c r="T63" s="196"/>
      <c r="U63" s="196"/>
      <c r="V63" s="198" t="s">
        <v>349</v>
      </c>
      <c r="W63" s="193"/>
      <c r="X63" s="193"/>
      <c r="Y63" s="193"/>
      <c r="Z63" s="193"/>
      <c r="AA63" s="193"/>
      <c r="AB63" s="193"/>
      <c r="AC63" s="193"/>
    </row>
    <row r="64">
      <c r="A64" s="194"/>
      <c r="B64" s="371"/>
      <c r="C64" s="371"/>
      <c r="D64" s="378"/>
      <c r="E64" s="371"/>
      <c r="F64" s="378"/>
      <c r="G64" s="371"/>
      <c r="H64" s="371"/>
      <c r="I64" s="378"/>
      <c r="J64" s="371"/>
      <c r="K64" s="381"/>
      <c r="L64" s="378"/>
      <c r="M64" s="383"/>
      <c r="N64" s="378"/>
      <c r="O64" s="383"/>
      <c r="P64" s="371"/>
      <c r="Q64" s="195"/>
      <c r="R64" s="196"/>
      <c r="S64" s="196"/>
      <c r="T64" s="196"/>
      <c r="U64" s="196"/>
      <c r="V64" s="193">
        <f>countcoloredcells('Lake City'!lastday,W64)</f>
        <v>0</v>
      </c>
      <c r="W64" s="199" t="str">
        <f t="shared" ref="W64:W70" si="11">A73</f>
        <v/>
      </c>
      <c r="X64" s="193"/>
      <c r="Y64" s="193"/>
      <c r="Z64" s="193"/>
      <c r="AA64" s="193"/>
      <c r="AB64" s="193"/>
      <c r="AC64" s="193"/>
    </row>
    <row r="65">
      <c r="A65" s="194"/>
      <c r="B65" s="371"/>
      <c r="C65" s="371"/>
      <c r="D65" s="378"/>
      <c r="E65" s="371"/>
      <c r="F65" s="378"/>
      <c r="G65" s="371"/>
      <c r="H65" s="371"/>
      <c r="I65" s="378"/>
      <c r="J65" s="383"/>
      <c r="K65" s="381"/>
      <c r="L65" s="378"/>
      <c r="M65" s="383"/>
      <c r="N65" s="381"/>
      <c r="O65" s="381"/>
      <c r="P65" s="371"/>
      <c r="Q65" s="195"/>
      <c r="R65" s="196"/>
      <c r="S65" s="196"/>
      <c r="T65" s="196"/>
      <c r="U65" s="196"/>
      <c r="V65" s="193">
        <f>countcoloredcells('Lake City'!lastday,W65)</f>
        <v>0</v>
      </c>
      <c r="W65" s="200" t="str">
        <f t="shared" si="11"/>
        <v/>
      </c>
      <c r="X65" s="193"/>
      <c r="Y65" s="193"/>
      <c r="Z65" s="193"/>
      <c r="AA65" s="193"/>
      <c r="AB65" s="193"/>
      <c r="AC65" s="193"/>
    </row>
    <row r="66">
      <c r="A66" s="194"/>
      <c r="B66" s="371"/>
      <c r="C66" s="378"/>
      <c r="D66" s="378"/>
      <c r="E66" s="371"/>
      <c r="F66" s="378"/>
      <c r="G66" s="383"/>
      <c r="H66" s="371"/>
      <c r="I66" s="378"/>
      <c r="J66" s="383"/>
      <c r="K66" s="381"/>
      <c r="L66" s="381"/>
      <c r="M66" s="383"/>
      <c r="N66" s="381"/>
      <c r="O66" s="381"/>
      <c r="P66" s="378"/>
      <c r="Q66" s="195"/>
      <c r="R66" s="196"/>
      <c r="S66" s="196"/>
      <c r="T66" s="196"/>
      <c r="U66" s="196"/>
      <c r="V66" s="193">
        <f>countcoloredcells('Lake City'!lastday,W66)</f>
        <v>0</v>
      </c>
      <c r="W66" s="201" t="str">
        <f t="shared" si="11"/>
        <v/>
      </c>
      <c r="X66" s="193"/>
      <c r="Y66" s="193"/>
      <c r="Z66" s="193"/>
      <c r="AA66" s="193"/>
      <c r="AB66" s="193"/>
      <c r="AC66" s="193"/>
    </row>
    <row r="67">
      <c r="A67" s="194"/>
      <c r="B67" s="371"/>
      <c r="C67" s="378"/>
      <c r="D67" s="378"/>
      <c r="E67" s="371"/>
      <c r="F67" s="378"/>
      <c r="G67" s="383"/>
      <c r="H67" s="383"/>
      <c r="I67" s="378"/>
      <c r="J67" s="383"/>
      <c r="K67" s="381"/>
      <c r="L67" s="381"/>
      <c r="M67" s="383"/>
      <c r="N67" s="381"/>
      <c r="O67" s="381"/>
      <c r="P67" s="371"/>
      <c r="Q67" s="195"/>
      <c r="R67" s="196"/>
      <c r="S67" s="196"/>
      <c r="T67" s="196"/>
      <c r="U67" s="196"/>
      <c r="V67" s="193">
        <f>countcoloredcells('Lake City'!lastday,W67)</f>
        <v>0</v>
      </c>
      <c r="W67" s="202" t="str">
        <f t="shared" si="11"/>
        <v/>
      </c>
      <c r="X67" s="193"/>
      <c r="Y67" s="193"/>
      <c r="Z67" s="193"/>
      <c r="AA67" s="193"/>
      <c r="AB67" s="193"/>
      <c r="AC67" s="193"/>
    </row>
    <row r="68">
      <c r="A68" s="194"/>
      <c r="B68" s="371"/>
      <c r="C68" s="378"/>
      <c r="D68" s="378"/>
      <c r="E68" s="371"/>
      <c r="F68" s="378"/>
      <c r="G68" s="383"/>
      <c r="H68" s="383"/>
      <c r="I68" s="378"/>
      <c r="J68" s="383"/>
      <c r="K68" s="381"/>
      <c r="L68" s="381"/>
      <c r="M68" s="383"/>
      <c r="N68" s="381"/>
      <c r="O68" s="381"/>
      <c r="P68" s="381"/>
      <c r="Q68" s="195"/>
      <c r="R68" s="196"/>
      <c r="S68" s="196"/>
      <c r="T68" s="196"/>
      <c r="U68" s="196"/>
      <c r="V68" s="193">
        <f>countcoloredcells('Lake City'!lastday,W68)</f>
        <v>0</v>
      </c>
      <c r="W68" s="203" t="str">
        <f t="shared" si="11"/>
        <v/>
      </c>
      <c r="X68" s="193"/>
      <c r="Y68" s="193"/>
      <c r="Z68" s="193"/>
      <c r="AA68" s="193"/>
      <c r="AB68" s="193"/>
      <c r="AC68" s="193"/>
    </row>
    <row r="69">
      <c r="A69" s="194"/>
      <c r="B69" s="546"/>
      <c r="C69" s="381"/>
      <c r="D69" s="378"/>
      <c r="E69" s="383"/>
      <c r="F69" s="378"/>
      <c r="G69" s="383"/>
      <c r="H69" s="383"/>
      <c r="I69" s="381"/>
      <c r="J69" s="383"/>
      <c r="K69" s="381"/>
      <c r="L69" s="381"/>
      <c r="M69" s="383"/>
      <c r="N69" s="381"/>
      <c r="O69" s="381"/>
      <c r="P69" s="381"/>
      <c r="Q69" s="195"/>
      <c r="R69" s="196"/>
      <c r="S69" s="196"/>
      <c r="T69" s="196"/>
      <c r="U69" s="196"/>
      <c r="V69" s="193">
        <f>countcoloredcells('Lake City'!lastday,W69)</f>
        <v>0</v>
      </c>
      <c r="W69" s="204" t="str">
        <f t="shared" si="11"/>
        <v/>
      </c>
      <c r="X69" s="193"/>
      <c r="Y69" s="193"/>
      <c r="Z69" s="193"/>
      <c r="AA69" s="193"/>
      <c r="AB69" s="193"/>
      <c r="AC69" s="193"/>
    </row>
    <row r="70">
      <c r="A70" s="194"/>
      <c r="B70" s="546"/>
      <c r="C70" s="381"/>
      <c r="D70" s="381"/>
      <c r="E70" s="381"/>
      <c r="F70" s="378"/>
      <c r="G70" s="383"/>
      <c r="H70" s="383"/>
      <c r="I70" s="381"/>
      <c r="J70" s="383"/>
      <c r="K70" s="381"/>
      <c r="L70" s="381"/>
      <c r="M70" s="383"/>
      <c r="N70" s="381"/>
      <c r="O70" s="381"/>
      <c r="P70" s="381"/>
      <c r="Q70" s="195"/>
      <c r="R70" s="196"/>
      <c r="S70" s="196"/>
      <c r="T70" s="196"/>
      <c r="U70" s="196"/>
      <c r="V70" s="193">
        <f>countcoloredcells('Lake City'!lastday,W70)</f>
        <v>0</v>
      </c>
      <c r="W70" s="205" t="str">
        <f t="shared" si="11"/>
        <v/>
      </c>
      <c r="X70" s="193"/>
      <c r="Y70" s="193"/>
      <c r="Z70" s="193"/>
      <c r="AA70" s="193"/>
      <c r="AB70" s="193"/>
      <c r="AC70" s="193"/>
    </row>
    <row r="71">
      <c r="A71" s="194"/>
      <c r="B71" s="546"/>
      <c r="C71" s="381"/>
      <c r="D71" s="381"/>
      <c r="E71" s="381"/>
      <c r="F71" s="378"/>
      <c r="G71" s="383"/>
      <c r="H71" s="383"/>
      <c r="I71" s="381"/>
      <c r="J71" s="383"/>
      <c r="K71" s="381"/>
      <c r="L71" s="381"/>
      <c r="M71" s="383"/>
      <c r="N71" s="381"/>
      <c r="O71" s="381"/>
      <c r="P71" s="381"/>
      <c r="Q71" s="195"/>
      <c r="R71" s="196"/>
      <c r="S71" s="196"/>
      <c r="T71" s="196"/>
      <c r="U71" s="196"/>
      <c r="V71" s="193"/>
      <c r="W71" s="396"/>
      <c r="X71" s="193"/>
      <c r="Y71" s="193"/>
      <c r="Z71" s="193"/>
      <c r="AA71" s="193"/>
      <c r="AB71" s="193"/>
      <c r="AC71" s="193"/>
    </row>
    <row r="72">
      <c r="A72" s="206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207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</row>
    <row r="73">
      <c r="A73" s="277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208" t="s">
        <v>350</v>
      </c>
      <c r="R73" s="209">
        <f t="shared" ref="R73:R79" si="12">sum(B73:P73)+V64</f>
        <v>0</v>
      </c>
      <c r="S73" s="199" t="str">
        <f t="shared" ref="S73:S79" si="13">A73</f>
        <v/>
      </c>
      <c r="T73" s="210" t="s">
        <v>351</v>
      </c>
      <c r="U73" s="211">
        <f>countcoloredcells('Lake City'!normalpoints,A73)</f>
        <v>0</v>
      </c>
      <c r="V73" s="199" t="str">
        <f t="shared" ref="V73:V79" si="14">A73</f>
        <v/>
      </c>
    </row>
    <row r="74">
      <c r="A74" s="281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61"/>
      <c r="R74" s="209">
        <f t="shared" si="12"/>
        <v>0</v>
      </c>
      <c r="S74" s="200" t="str">
        <f t="shared" si="13"/>
        <v/>
      </c>
      <c r="U74" s="211">
        <f>countcoloredcells('Lake City'!normalpoints,A74)</f>
        <v>0</v>
      </c>
      <c r="V74" s="200" t="str">
        <f t="shared" si="14"/>
        <v/>
      </c>
    </row>
    <row r="75">
      <c r="A75" s="283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212"/>
      <c r="R75" s="209">
        <f t="shared" si="12"/>
        <v>0</v>
      </c>
      <c r="S75" s="201" t="str">
        <f t="shared" si="13"/>
        <v/>
      </c>
      <c r="U75" s="211">
        <f>countcoloredcells('Lake City'!normalpoints,A75)</f>
        <v>0</v>
      </c>
      <c r="V75" s="201" t="str">
        <f t="shared" si="14"/>
        <v/>
      </c>
    </row>
    <row r="76">
      <c r="A76" s="284"/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61"/>
      <c r="R76" s="209">
        <f t="shared" si="12"/>
        <v>0</v>
      </c>
      <c r="S76" s="202" t="str">
        <f t="shared" si="13"/>
        <v/>
      </c>
      <c r="U76" s="211">
        <f>countcoloredcells('Lake City'!normalpoints,A76)</f>
        <v>0</v>
      </c>
      <c r="V76" s="202" t="str">
        <f t="shared" si="14"/>
        <v/>
      </c>
    </row>
    <row r="77">
      <c r="A77" s="285"/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61"/>
      <c r="R77" s="209">
        <f t="shared" si="12"/>
        <v>0</v>
      </c>
      <c r="S77" s="203" t="str">
        <f t="shared" si="13"/>
        <v/>
      </c>
      <c r="U77" s="211">
        <f>countcoloredcells('Lake City'!normalpoints,A77)</f>
        <v>0</v>
      </c>
      <c r="V77" s="203" t="str">
        <f t="shared" si="14"/>
        <v/>
      </c>
    </row>
    <row r="78">
      <c r="A78" s="286"/>
      <c r="B78" s="198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212"/>
      <c r="R78" s="209">
        <f t="shared" si="12"/>
        <v>0</v>
      </c>
      <c r="S78" s="204" t="str">
        <f t="shared" si="13"/>
        <v/>
      </c>
      <c r="U78" s="213">
        <f>countcoloredcells('Lake City'!normalpoints,A78)</f>
        <v>0</v>
      </c>
      <c r="V78" s="204" t="str">
        <f t="shared" si="14"/>
        <v/>
      </c>
    </row>
    <row r="79">
      <c r="A79" s="287"/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214"/>
      <c r="R79" s="215">
        <f t="shared" si="12"/>
        <v>0</v>
      </c>
      <c r="S79" s="216" t="str">
        <f t="shared" si="13"/>
        <v/>
      </c>
      <c r="U79" s="213">
        <f>countcoloredcells('Lake City'!normalpoints,A79)</f>
        <v>0</v>
      </c>
      <c r="V79" s="205" t="str">
        <f t="shared" si="14"/>
        <v/>
      </c>
    </row>
    <row r="80">
      <c r="A80" s="198"/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</row>
    <row r="81">
      <c r="A81" s="23" t="s">
        <v>352</v>
      </c>
      <c r="B81" s="198">
        <f t="shared" ref="B81:P81" si="15">SUM(B73:B79)</f>
        <v>0</v>
      </c>
      <c r="C81" s="198">
        <f t="shared" si="15"/>
        <v>0</v>
      </c>
      <c r="D81" s="198">
        <f t="shared" si="15"/>
        <v>0</v>
      </c>
      <c r="E81" s="198">
        <f t="shared" si="15"/>
        <v>0</v>
      </c>
      <c r="F81" s="198">
        <f t="shared" si="15"/>
        <v>0</v>
      </c>
      <c r="G81" s="198">
        <f t="shared" si="15"/>
        <v>0</v>
      </c>
      <c r="H81" s="198">
        <f t="shared" si="15"/>
        <v>0</v>
      </c>
      <c r="I81" s="198">
        <f t="shared" si="15"/>
        <v>0</v>
      </c>
      <c r="J81" s="198">
        <f t="shared" si="15"/>
        <v>0</v>
      </c>
      <c r="K81" s="198">
        <f t="shared" si="15"/>
        <v>0</v>
      </c>
      <c r="L81" s="198">
        <f t="shared" si="15"/>
        <v>0</v>
      </c>
      <c r="M81" s="198">
        <f t="shared" si="15"/>
        <v>0</v>
      </c>
      <c r="N81" s="198">
        <f t="shared" si="15"/>
        <v>0</v>
      </c>
      <c r="O81" s="198">
        <f t="shared" si="15"/>
        <v>0</v>
      </c>
      <c r="P81" s="198">
        <f t="shared" si="15"/>
        <v>0</v>
      </c>
      <c r="Q81" s="23" t="s">
        <v>353</v>
      </c>
      <c r="R81">
        <f>Z18-Z19</f>
        <v>0</v>
      </c>
    </row>
    <row r="82">
      <c r="A82" s="99"/>
      <c r="B82" s="33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</row>
    <row r="83">
      <c r="A83" s="340"/>
      <c r="B83" s="341"/>
      <c r="C83" s="183"/>
      <c r="D83" s="183"/>
      <c r="E83" s="183"/>
      <c r="F83" s="183"/>
      <c r="G83" s="183"/>
      <c r="H83" s="183"/>
    </row>
    <row r="84">
      <c r="A84" s="172">
        <v>1.0</v>
      </c>
      <c r="B84" s="198" t="str">
        <f>B73</f>
        <v/>
      </c>
      <c r="C84" t="str">
        <f>B74</f>
        <v/>
      </c>
      <c r="D84" t="str">
        <f>B75</f>
        <v/>
      </c>
      <c r="E84" t="str">
        <f>B76</f>
        <v/>
      </c>
      <c r="F84" t="str">
        <f>B77</f>
        <v/>
      </c>
      <c r="G84" t="str">
        <f>B78</f>
        <v/>
      </c>
      <c r="H84" t="str">
        <f>B79</f>
        <v/>
      </c>
    </row>
    <row r="85">
      <c r="A85" s="172">
        <v>2.0</v>
      </c>
      <c r="B85" s="198">
        <f>C73+B84</f>
        <v>0</v>
      </c>
      <c r="C85">
        <f>C84+C74</f>
        <v>0</v>
      </c>
      <c r="D85">
        <f>D84+C75</f>
        <v>0</v>
      </c>
      <c r="E85">
        <f>E84+C76</f>
        <v>0</v>
      </c>
      <c r="F85">
        <f>F84+C77</f>
        <v>0</v>
      </c>
      <c r="G85">
        <f>G84+C78</f>
        <v>0</v>
      </c>
      <c r="H85">
        <f>H84+C79</f>
        <v>0</v>
      </c>
    </row>
    <row r="86">
      <c r="A86" s="172">
        <v>3.0</v>
      </c>
      <c r="B86" s="198">
        <f>D73+B85</f>
        <v>0</v>
      </c>
      <c r="C86">
        <f>C85+D74</f>
        <v>0</v>
      </c>
      <c r="D86">
        <f>D75+D85</f>
        <v>0</v>
      </c>
      <c r="E86">
        <f>E85+D76</f>
        <v>0</v>
      </c>
      <c r="F86">
        <f>F85+D77</f>
        <v>0</v>
      </c>
      <c r="G86">
        <f>G85+D78</f>
        <v>0</v>
      </c>
      <c r="H86">
        <f>H85+D79</f>
        <v>0</v>
      </c>
    </row>
    <row r="87">
      <c r="A87" s="172">
        <v>4.0</v>
      </c>
      <c r="B87">
        <f>B86+E73</f>
        <v>0</v>
      </c>
      <c r="C87">
        <f>C86+E74</f>
        <v>0</v>
      </c>
      <c r="D87">
        <f>D86+E75</f>
        <v>0</v>
      </c>
      <c r="E87">
        <f>E86+E76</f>
        <v>0</v>
      </c>
      <c r="F87">
        <f>F86+E77</f>
        <v>0</v>
      </c>
      <c r="G87">
        <f>G86+E78</f>
        <v>0</v>
      </c>
      <c r="H87">
        <f>H86+E79</f>
        <v>0</v>
      </c>
    </row>
    <row r="88">
      <c r="A88" s="172">
        <v>5.0</v>
      </c>
      <c r="B88">
        <f>B87+F73</f>
        <v>0</v>
      </c>
      <c r="C88">
        <f>C87+F74</f>
        <v>0</v>
      </c>
      <c r="D88">
        <f>D87+F75</f>
        <v>0</v>
      </c>
      <c r="E88">
        <f>E87+F76</f>
        <v>0</v>
      </c>
      <c r="F88">
        <f>F87+F77</f>
        <v>0</v>
      </c>
      <c r="G88">
        <f>G87+F78</f>
        <v>0</v>
      </c>
      <c r="H88">
        <f>H87+F79</f>
        <v>0</v>
      </c>
    </row>
    <row r="89">
      <c r="A89" s="172">
        <v>6.0</v>
      </c>
      <c r="B89">
        <f>B88+G73</f>
        <v>0</v>
      </c>
      <c r="C89">
        <f>C88+G74</f>
        <v>0</v>
      </c>
      <c r="D89">
        <f>D88+G75</f>
        <v>0</v>
      </c>
      <c r="E89">
        <f>E88+G76</f>
        <v>0</v>
      </c>
      <c r="F89">
        <f>F88+G77</f>
        <v>0</v>
      </c>
      <c r="G89">
        <f>G88+G78</f>
        <v>0</v>
      </c>
      <c r="H89">
        <f>H88+G79</f>
        <v>0</v>
      </c>
    </row>
    <row r="90">
      <c r="A90" s="172">
        <v>7.0</v>
      </c>
      <c r="B90">
        <f>B89+H73</f>
        <v>0</v>
      </c>
      <c r="C90">
        <f>C89+H74</f>
        <v>0</v>
      </c>
      <c r="D90">
        <f>D89+H75</f>
        <v>0</v>
      </c>
      <c r="E90">
        <f>E89+H76</f>
        <v>0</v>
      </c>
      <c r="F90">
        <f>F89+H77</f>
        <v>0</v>
      </c>
      <c r="G90">
        <f>G89+H78</f>
        <v>0</v>
      </c>
      <c r="H90">
        <f>H89+H79</f>
        <v>0</v>
      </c>
    </row>
    <row r="91">
      <c r="A91" s="172">
        <v>8.0</v>
      </c>
      <c r="B91">
        <f>B90+I73</f>
        <v>0</v>
      </c>
      <c r="C91">
        <f>C90+I74</f>
        <v>0</v>
      </c>
      <c r="D91">
        <f>D90+I75</f>
        <v>0</v>
      </c>
      <c r="E91">
        <f>E90+I76</f>
        <v>0</v>
      </c>
      <c r="F91">
        <f>F90+I77</f>
        <v>0</v>
      </c>
      <c r="G91">
        <f>G90+I78</f>
        <v>0</v>
      </c>
      <c r="H91">
        <f>H90+I79</f>
        <v>0</v>
      </c>
    </row>
    <row r="92">
      <c r="A92" s="172">
        <v>9.0</v>
      </c>
      <c r="B92">
        <f>B91+J73</f>
        <v>0</v>
      </c>
      <c r="C92">
        <f>C91+J74</f>
        <v>0</v>
      </c>
      <c r="D92">
        <f>D91+J75</f>
        <v>0</v>
      </c>
      <c r="E92">
        <f>E91+J76</f>
        <v>0</v>
      </c>
      <c r="F92">
        <f>F91+J77</f>
        <v>0</v>
      </c>
      <c r="G92">
        <f>G91+J78</f>
        <v>0</v>
      </c>
      <c r="H92">
        <f>H91+J79</f>
        <v>0</v>
      </c>
    </row>
    <row r="93">
      <c r="A93" s="172">
        <v>10.0</v>
      </c>
      <c r="B93">
        <f>B92+K73</f>
        <v>0</v>
      </c>
      <c r="C93">
        <f>C92+K74</f>
        <v>0</v>
      </c>
      <c r="D93">
        <f>D92+K75</f>
        <v>0</v>
      </c>
      <c r="E93">
        <f>E92+K76</f>
        <v>0</v>
      </c>
      <c r="F93">
        <f>F92+K77</f>
        <v>0</v>
      </c>
      <c r="G93">
        <f>G92+K78</f>
        <v>0</v>
      </c>
      <c r="H93">
        <f>H92+K79</f>
        <v>0</v>
      </c>
    </row>
    <row r="94">
      <c r="A94" s="172">
        <v>11.0</v>
      </c>
      <c r="B94">
        <f>B93+L73</f>
        <v>0</v>
      </c>
      <c r="C94">
        <f>C93+L74</f>
        <v>0</v>
      </c>
      <c r="D94">
        <f>D93+L75</f>
        <v>0</v>
      </c>
      <c r="E94">
        <f>E93+L76</f>
        <v>0</v>
      </c>
      <c r="F94">
        <f>F93+L77</f>
        <v>0</v>
      </c>
      <c r="G94">
        <f>G93+L78</f>
        <v>0</v>
      </c>
      <c r="H94">
        <f>H93+L79</f>
        <v>0</v>
      </c>
    </row>
    <row r="95">
      <c r="A95" s="172">
        <v>12.0</v>
      </c>
      <c r="B95">
        <f>B94+M73</f>
        <v>0</v>
      </c>
      <c r="C95">
        <f>C94+M74</f>
        <v>0</v>
      </c>
      <c r="D95">
        <f>D94+M75</f>
        <v>0</v>
      </c>
      <c r="E95">
        <f>E94+M76</f>
        <v>0</v>
      </c>
      <c r="F95">
        <f>F94+M77</f>
        <v>0</v>
      </c>
      <c r="G95">
        <f>G94+M78</f>
        <v>0</v>
      </c>
      <c r="H95">
        <f>H94+M79</f>
        <v>0</v>
      </c>
    </row>
    <row r="96">
      <c r="A96" s="172">
        <v>13.0</v>
      </c>
      <c r="B96">
        <f>B95+N73</f>
        <v>0</v>
      </c>
      <c r="C96">
        <f>C95+N74</f>
        <v>0</v>
      </c>
      <c r="D96">
        <f>D95+N75</f>
        <v>0</v>
      </c>
      <c r="E96">
        <f>E95+N76</f>
        <v>0</v>
      </c>
      <c r="F96">
        <f>F95+N77</f>
        <v>0</v>
      </c>
      <c r="G96">
        <f>G95+N78</f>
        <v>0</v>
      </c>
      <c r="H96">
        <f>H95+N79</f>
        <v>0</v>
      </c>
    </row>
    <row r="97">
      <c r="A97" s="172">
        <v>14.0</v>
      </c>
      <c r="B97">
        <f>B96+O73</f>
        <v>0</v>
      </c>
      <c r="C97">
        <f>C96+O74</f>
        <v>0</v>
      </c>
      <c r="D97">
        <f>D96+O75</f>
        <v>0</v>
      </c>
      <c r="E97">
        <f>E96+O76</f>
        <v>0</v>
      </c>
      <c r="F97">
        <f>F96+O77</f>
        <v>0</v>
      </c>
      <c r="G97">
        <f>G96+O78</f>
        <v>0</v>
      </c>
      <c r="H97">
        <f>H96+O79</f>
        <v>0</v>
      </c>
    </row>
    <row r="98">
      <c r="A98" s="172">
        <v>15.0</v>
      </c>
      <c r="B98">
        <f>B97+P73</f>
        <v>0</v>
      </c>
      <c r="C98">
        <f>C97+P74</f>
        <v>0</v>
      </c>
      <c r="D98">
        <f>D97+P75</f>
        <v>0</v>
      </c>
      <c r="E98">
        <f>E97+P76</f>
        <v>0</v>
      </c>
      <c r="F98">
        <f>F97+P77</f>
        <v>0</v>
      </c>
      <c r="G98">
        <f>G97+P78</f>
        <v>0</v>
      </c>
      <c r="H98">
        <f>H97+P79</f>
        <v>0</v>
      </c>
    </row>
    <row r="99">
      <c r="A99" s="172">
        <v>16.0</v>
      </c>
      <c r="B99">
        <f>B98+V64</f>
        <v>0</v>
      </c>
      <c r="C99">
        <f>C98+V65</f>
        <v>0</v>
      </c>
      <c r="D99">
        <f>D98+V66</f>
        <v>0</v>
      </c>
      <c r="E99">
        <f>E98+V67</f>
        <v>0</v>
      </c>
      <c r="F99">
        <f>F98+V68</f>
        <v>0</v>
      </c>
      <c r="G99">
        <f>G98+V69</f>
        <v>0</v>
      </c>
      <c r="H99">
        <f>H98+V70</f>
        <v>0</v>
      </c>
    </row>
  </sheetData>
  <conditionalFormatting sqref="R81">
    <cfRule type="cellIs" dxfId="0" priority="1" operator="notEqual">
      <formula>0</formula>
    </cfRule>
  </conditionalFormatting>
  <conditionalFormatting sqref="R81">
    <cfRule type="cellIs" dxfId="0" priority="2" operator="notEqual">
      <formula>0</formula>
    </cfRule>
  </conditionalFormatting>
  <conditionalFormatting sqref="R81">
    <cfRule type="cellIs" dxfId="0" priority="3" operator="notEqual">
      <formula>0</formula>
    </cfRule>
  </conditionalFormatting>
  <conditionalFormatting sqref="R81">
    <cfRule type="cellIs" dxfId="0" priority="4" operator="notEqual">
      <formula>0</formula>
    </cfRule>
  </conditionalFormatting>
  <conditionalFormatting sqref="X19:X60">
    <cfRule type="cellIs" dxfId="8" priority="5" operator="greaterThan">
      <formula>0</formula>
    </cfRule>
  </conditionalFormatting>
  <conditionalFormatting sqref="B22:P22 N28:P28 B31:P32 B44:P45 B56:P56">
    <cfRule type="notContainsBlanks" dxfId="5" priority="6">
      <formula>LEN(TRIM(B22))&gt;0</formula>
    </cfRule>
  </conditionalFormatting>
  <conditionalFormatting sqref="B23:P23 B29:P29 B33:P33 B37:P37 B43:P43 B49:P49">
    <cfRule type="notContainsBlanks" dxfId="3" priority="7">
      <formula>LEN(TRIM(B23))&gt;0</formula>
    </cfRule>
  </conditionalFormatting>
  <conditionalFormatting sqref="B25:P26 B36:P36 B39:P39 B46:P46 B50:P50">
    <cfRule type="notContainsBlanks" dxfId="6" priority="8">
      <formula>LEN(TRIM(B25))&gt;0</formula>
    </cfRule>
  </conditionalFormatting>
  <conditionalFormatting sqref="B21:P21 B38:P38 B41:P42 B48:P48 B55:P55 G60:P60">
    <cfRule type="notContainsBlanks" dxfId="4" priority="9">
      <formula>LEN(TRIM(B21))&gt;0</formula>
    </cfRule>
  </conditionalFormatting>
  <conditionalFormatting sqref="B27:P27 B30:P30 B47:P47 B52:P54">
    <cfRule type="notContainsBlanks" dxfId="0" priority="10">
      <formula>LEN(TRIM(B27))&gt;0</formula>
    </cfRule>
  </conditionalFormatting>
  <conditionalFormatting sqref="B24:P24 B34:P35 B40:P40 B57:P58">
    <cfRule type="notContainsBlanks" dxfId="1" priority="11">
      <formula>LEN(TRIM(B24))&gt;0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14"/>
    <col customWidth="1" min="4" max="4" width="16.43"/>
    <col customWidth="1" min="7" max="7" width="40.0"/>
    <col customWidth="1" min="8" max="9" width="12.71"/>
    <col customWidth="1" min="13" max="13" width="16.57"/>
    <col customWidth="1" min="14" max="14" width="37.71"/>
    <col customWidth="1" min="29" max="29" width="16.0"/>
    <col customWidth="1" min="30" max="30" width="28.14"/>
    <col customWidth="1" min="31" max="31" width="23.57"/>
    <col customWidth="1" min="37" max="37" width="16.57"/>
    <col customWidth="1" min="38" max="38" width="25.14"/>
  </cols>
  <sheetData>
    <row r="1">
      <c r="A1" s="547" t="s">
        <v>612</v>
      </c>
      <c r="B1" s="548" t="s">
        <v>613</v>
      </c>
      <c r="C1" s="548" t="s">
        <v>614</v>
      </c>
      <c r="D1" s="548" t="s">
        <v>615</v>
      </c>
      <c r="F1" s="172" t="s">
        <v>612</v>
      </c>
      <c r="G1" s="548" t="s">
        <v>613</v>
      </c>
      <c r="H1" s="548" t="s">
        <v>616</v>
      </c>
      <c r="I1" s="548" t="s">
        <v>617</v>
      </c>
      <c r="J1" s="548" t="s">
        <v>618</v>
      </c>
      <c r="K1" s="548" t="s">
        <v>615</v>
      </c>
      <c r="M1" s="172" t="s">
        <v>612</v>
      </c>
      <c r="N1" s="548" t="s">
        <v>613</v>
      </c>
      <c r="O1" s="548" t="s">
        <v>616</v>
      </c>
      <c r="P1" s="548" t="s">
        <v>617</v>
      </c>
      <c r="Q1" s="548" t="s">
        <v>619</v>
      </c>
      <c r="R1" s="548" t="s">
        <v>620</v>
      </c>
      <c r="S1" s="548" t="s">
        <v>615</v>
      </c>
      <c r="U1" s="172" t="s">
        <v>612</v>
      </c>
      <c r="V1" s="548" t="s">
        <v>613</v>
      </c>
      <c r="W1" s="548" t="s">
        <v>616</v>
      </c>
      <c r="X1" s="548" t="s">
        <v>617</v>
      </c>
      <c r="Y1" s="548" t="s">
        <v>621</v>
      </c>
      <c r="Z1" s="548" t="s">
        <v>622</v>
      </c>
      <c r="AA1" s="548" t="s">
        <v>615</v>
      </c>
      <c r="AC1" s="172" t="s">
        <v>612</v>
      </c>
      <c r="AD1" s="548" t="s">
        <v>613</v>
      </c>
      <c r="AE1" s="548" t="s">
        <v>616</v>
      </c>
      <c r="AF1" s="548" t="s">
        <v>617</v>
      </c>
      <c r="AG1" s="548" t="s">
        <v>614</v>
      </c>
      <c r="AH1" s="548" t="s">
        <v>623</v>
      </c>
      <c r="AI1" s="548" t="s">
        <v>615</v>
      </c>
      <c r="AJ1" s="23"/>
      <c r="AK1" s="172" t="s">
        <v>612</v>
      </c>
      <c r="AL1" s="548" t="s">
        <v>624</v>
      </c>
      <c r="AM1" s="548" t="s">
        <v>616</v>
      </c>
      <c r="AN1" s="548" t="s">
        <v>617</v>
      </c>
      <c r="AO1" s="548" t="s">
        <v>614</v>
      </c>
      <c r="AP1" s="548" t="s">
        <v>623</v>
      </c>
      <c r="AQ1" s="548" t="s">
        <v>615</v>
      </c>
    </row>
    <row r="2">
      <c r="A2" s="172" t="s">
        <v>435</v>
      </c>
      <c r="B2" s="549" t="s">
        <v>625</v>
      </c>
      <c r="C2" s="550">
        <v>77.0</v>
      </c>
      <c r="D2" s="550">
        <v>28.95</v>
      </c>
      <c r="F2" s="551" t="s">
        <v>439</v>
      </c>
      <c r="G2" s="549" t="s">
        <v>626</v>
      </c>
      <c r="H2" s="552" t="s">
        <v>27</v>
      </c>
      <c r="I2" s="552">
        <v>6.0</v>
      </c>
      <c r="J2" s="550">
        <v>71.0</v>
      </c>
      <c r="K2" s="553">
        <v>28.06</v>
      </c>
      <c r="M2" s="200" t="s">
        <v>439</v>
      </c>
      <c r="N2" s="549" t="s">
        <v>627</v>
      </c>
      <c r="O2" s="552" t="s">
        <v>57</v>
      </c>
      <c r="P2" s="552">
        <v>5.0</v>
      </c>
      <c r="Q2" s="552">
        <v>82.0</v>
      </c>
      <c r="R2" s="550">
        <v>29.6</v>
      </c>
      <c r="S2" s="554">
        <v>25.46</v>
      </c>
      <c r="U2" s="200" t="s">
        <v>439</v>
      </c>
      <c r="V2" s="555"/>
      <c r="W2" s="552" t="s">
        <v>102</v>
      </c>
      <c r="X2" s="552">
        <v>15.0</v>
      </c>
      <c r="Y2" s="556">
        <v>72.0</v>
      </c>
      <c r="Z2" s="550">
        <v>25.53</v>
      </c>
      <c r="AA2" s="554">
        <v>25.4</v>
      </c>
      <c r="AC2" s="557" t="s">
        <v>439</v>
      </c>
      <c r="AD2" s="555" t="s">
        <v>628</v>
      </c>
      <c r="AE2" s="552" t="s">
        <v>57</v>
      </c>
      <c r="AF2" s="552" t="s">
        <v>629</v>
      </c>
      <c r="AG2" s="556">
        <v>81.0</v>
      </c>
      <c r="AH2" s="558">
        <v>0.2813</v>
      </c>
      <c r="AI2" s="553">
        <v>15.392</v>
      </c>
      <c r="AJ2" s="559"/>
      <c r="AK2" s="560" t="s">
        <v>435</v>
      </c>
      <c r="AL2" s="561" t="s">
        <v>630</v>
      </c>
      <c r="AM2" s="562" t="s">
        <v>48</v>
      </c>
      <c r="AN2" s="559"/>
      <c r="AO2" s="559">
        <v>79.0</v>
      </c>
      <c r="AP2" s="559">
        <v>28.11</v>
      </c>
      <c r="AQ2">
        <v>29.843999999999998</v>
      </c>
    </row>
    <row r="3">
      <c r="A3" s="172" t="s">
        <v>439</v>
      </c>
      <c r="B3" s="549" t="s">
        <v>631</v>
      </c>
      <c r="C3" s="550">
        <v>69.0</v>
      </c>
      <c r="D3" s="550">
        <v>25.94</v>
      </c>
      <c r="F3" s="563" t="s">
        <v>435</v>
      </c>
      <c r="G3" s="549" t="s">
        <v>632</v>
      </c>
      <c r="H3" s="552" t="s">
        <v>36</v>
      </c>
      <c r="I3" s="552">
        <v>14.0</v>
      </c>
      <c r="J3" s="550">
        <v>70.0</v>
      </c>
      <c r="K3" s="553">
        <v>27.67</v>
      </c>
      <c r="M3" s="199" t="s">
        <v>435</v>
      </c>
      <c r="N3" s="549" t="s">
        <v>633</v>
      </c>
      <c r="O3" s="552" t="s">
        <v>233</v>
      </c>
      <c r="P3" s="552">
        <v>9.0</v>
      </c>
      <c r="Q3" s="552">
        <v>70.0</v>
      </c>
      <c r="R3" s="550">
        <v>25.27</v>
      </c>
      <c r="S3" s="554">
        <v>24.67</v>
      </c>
      <c r="U3" s="199" t="s">
        <v>435</v>
      </c>
      <c r="V3" s="555"/>
      <c r="W3" s="552" t="s">
        <v>114</v>
      </c>
      <c r="X3" s="552"/>
      <c r="Y3" s="556">
        <v>68.0</v>
      </c>
      <c r="Z3" s="550">
        <v>24.11</v>
      </c>
      <c r="AA3" s="554">
        <v>24.490000000000002</v>
      </c>
      <c r="AC3" s="560" t="s">
        <v>435</v>
      </c>
      <c r="AD3" s="555" t="s">
        <v>630</v>
      </c>
      <c r="AE3" s="552" t="s">
        <v>23</v>
      </c>
      <c r="AF3" s="552" t="s">
        <v>634</v>
      </c>
      <c r="AG3" s="556">
        <v>76.0</v>
      </c>
      <c r="AH3" s="558">
        <v>0.2639</v>
      </c>
      <c r="AI3" s="553">
        <v>29.849</v>
      </c>
      <c r="AJ3" s="559"/>
      <c r="AK3" s="557" t="s">
        <v>439</v>
      </c>
      <c r="AL3" s="561" t="s">
        <v>628</v>
      </c>
      <c r="AM3" s="562" t="s">
        <v>65</v>
      </c>
      <c r="AN3" s="559"/>
      <c r="AO3" s="559">
        <v>62.0</v>
      </c>
      <c r="AP3" s="559">
        <v>22.06</v>
      </c>
      <c r="AQ3">
        <v>15.409</v>
      </c>
    </row>
    <row r="4">
      <c r="A4" s="172" t="s">
        <v>442</v>
      </c>
      <c r="B4" s="564" t="s">
        <v>635</v>
      </c>
      <c r="C4" s="550">
        <v>26.0</v>
      </c>
      <c r="D4" s="550">
        <v>9.77</v>
      </c>
      <c r="F4" s="565" t="s">
        <v>442</v>
      </c>
      <c r="G4" s="566" t="s">
        <v>636</v>
      </c>
      <c r="H4" s="550" t="s">
        <v>40</v>
      </c>
      <c r="I4" s="550">
        <v>12.0</v>
      </c>
      <c r="J4" s="550">
        <v>19.0</v>
      </c>
      <c r="K4" s="553">
        <v>7.51</v>
      </c>
      <c r="M4" s="430" t="s">
        <v>449</v>
      </c>
      <c r="N4" s="566" t="s">
        <v>637</v>
      </c>
      <c r="O4" s="550" t="s">
        <v>36</v>
      </c>
      <c r="P4" s="550">
        <v>14.0</v>
      </c>
      <c r="Q4" s="550">
        <v>31.0</v>
      </c>
      <c r="R4" s="550">
        <v>11.19</v>
      </c>
      <c r="S4" s="554">
        <v>7.24</v>
      </c>
      <c r="U4" s="204" t="s">
        <v>442</v>
      </c>
      <c r="V4" s="172"/>
      <c r="W4" s="550" t="s">
        <v>81</v>
      </c>
      <c r="X4" s="550" t="s">
        <v>638</v>
      </c>
      <c r="Y4" s="567">
        <v>30.0</v>
      </c>
      <c r="Z4" s="550">
        <v>10.64</v>
      </c>
      <c r="AA4" s="554">
        <v>9.21</v>
      </c>
      <c r="AC4" s="568" t="s">
        <v>442</v>
      </c>
      <c r="AD4" s="172" t="s">
        <v>639</v>
      </c>
      <c r="AE4" s="550" t="s">
        <v>238</v>
      </c>
      <c r="AF4" s="550" t="s">
        <v>640</v>
      </c>
      <c r="AG4" s="567">
        <v>30.0</v>
      </c>
      <c r="AH4" s="558">
        <v>0.1042</v>
      </c>
      <c r="AI4" s="553">
        <v>6.659</v>
      </c>
      <c r="AJ4" s="559"/>
      <c r="AK4" s="568" t="s">
        <v>442</v>
      </c>
      <c r="AL4" s="569" t="s">
        <v>639</v>
      </c>
      <c r="AM4" s="562" t="s">
        <v>203</v>
      </c>
      <c r="AN4" s="559"/>
      <c r="AO4" s="559">
        <v>27.0</v>
      </c>
      <c r="AP4" s="559">
        <v>9.61</v>
      </c>
      <c r="AQ4">
        <v>6.666999999999999</v>
      </c>
    </row>
    <row r="5">
      <c r="A5" s="172" t="s">
        <v>450</v>
      </c>
      <c r="B5" s="564" t="s">
        <v>641</v>
      </c>
      <c r="C5" s="550">
        <v>17.0</v>
      </c>
      <c r="D5" s="550">
        <v>6.39</v>
      </c>
      <c r="F5" s="570" t="s">
        <v>449</v>
      </c>
      <c r="G5" s="566" t="s">
        <v>642</v>
      </c>
      <c r="H5" s="550" t="s">
        <v>23</v>
      </c>
      <c r="I5" s="550">
        <v>7.0</v>
      </c>
      <c r="J5" s="550">
        <v>19.0</v>
      </c>
      <c r="K5" s="553">
        <v>7.51</v>
      </c>
      <c r="M5" s="204" t="s">
        <v>442</v>
      </c>
      <c r="N5" s="566" t="s">
        <v>643</v>
      </c>
      <c r="O5" s="550" t="s">
        <v>90</v>
      </c>
      <c r="P5" s="550">
        <v>14.0</v>
      </c>
      <c r="Q5" s="550">
        <v>24.0</v>
      </c>
      <c r="R5" s="550">
        <v>8.66</v>
      </c>
      <c r="S5" s="554">
        <v>8.89</v>
      </c>
      <c r="U5" s="430" t="s">
        <v>449</v>
      </c>
      <c r="V5" s="172"/>
      <c r="W5" s="550" t="s">
        <v>27</v>
      </c>
      <c r="X5" s="550" t="s">
        <v>644</v>
      </c>
      <c r="Y5" s="567">
        <v>22.0</v>
      </c>
      <c r="Z5" s="550">
        <v>7.8</v>
      </c>
      <c r="AA5" s="554">
        <v>7.33</v>
      </c>
      <c r="AC5" s="571" t="s">
        <v>449</v>
      </c>
      <c r="AD5" s="572" t="s">
        <v>645</v>
      </c>
      <c r="AE5" s="573" t="s">
        <v>32</v>
      </c>
      <c r="AF5" s="573" t="s">
        <v>646</v>
      </c>
      <c r="AG5" s="574">
        <v>16.0</v>
      </c>
      <c r="AH5" s="558">
        <v>0.0556</v>
      </c>
      <c r="AI5" s="553">
        <v>4.49</v>
      </c>
      <c r="AJ5" s="559"/>
      <c r="AK5" s="571" t="s">
        <v>449</v>
      </c>
      <c r="AL5" s="575" t="s">
        <v>645</v>
      </c>
      <c r="AM5" s="562" t="s">
        <v>32</v>
      </c>
      <c r="AN5" s="576">
        <v>43474.0</v>
      </c>
      <c r="AO5" s="559">
        <v>17.0</v>
      </c>
      <c r="AP5" s="559">
        <v>6.05</v>
      </c>
      <c r="AQ5">
        <v>4.495</v>
      </c>
    </row>
    <row r="6">
      <c r="A6" s="172" t="s">
        <v>449</v>
      </c>
      <c r="B6" s="549" t="s">
        <v>647</v>
      </c>
      <c r="C6" s="550">
        <v>16.0</v>
      </c>
      <c r="D6" s="550">
        <v>6.02</v>
      </c>
      <c r="F6" s="577" t="s">
        <v>445</v>
      </c>
      <c r="G6" s="549" t="s">
        <v>648</v>
      </c>
      <c r="H6" s="552" t="s">
        <v>236</v>
      </c>
      <c r="I6" s="552">
        <v>9.0</v>
      </c>
      <c r="J6" s="550">
        <v>14.0</v>
      </c>
      <c r="K6" s="553">
        <v>5.53</v>
      </c>
      <c r="M6" s="434" t="s">
        <v>453</v>
      </c>
      <c r="N6" s="549" t="s">
        <v>649</v>
      </c>
      <c r="O6" s="552" t="s">
        <v>27</v>
      </c>
      <c r="P6" s="552">
        <v>13.0</v>
      </c>
      <c r="Q6" s="552">
        <v>19.0</v>
      </c>
      <c r="R6" s="550">
        <v>6.86</v>
      </c>
      <c r="S6" s="554">
        <v>4.1000000000000005</v>
      </c>
      <c r="U6" s="203" t="s">
        <v>445</v>
      </c>
      <c r="V6" s="555"/>
      <c r="W6" s="552" t="s">
        <v>23</v>
      </c>
      <c r="X6" s="552" t="s">
        <v>650</v>
      </c>
      <c r="Y6" s="556">
        <v>13.0</v>
      </c>
      <c r="Z6" s="550">
        <v>4.61</v>
      </c>
      <c r="AA6" s="554">
        <v>4.47</v>
      </c>
      <c r="AC6" s="578" t="s">
        <v>453</v>
      </c>
      <c r="AD6" s="555" t="s">
        <v>651</v>
      </c>
      <c r="AE6" s="552" t="s">
        <v>40</v>
      </c>
      <c r="AF6" s="552" t="s">
        <v>652</v>
      </c>
      <c r="AG6" s="556">
        <v>12.0</v>
      </c>
      <c r="AH6" s="558">
        <v>0.0417</v>
      </c>
      <c r="AI6" s="553">
        <v>2.576</v>
      </c>
      <c r="AJ6" s="559"/>
      <c r="AK6" s="579" t="s">
        <v>450</v>
      </c>
      <c r="AL6" s="575" t="s">
        <v>653</v>
      </c>
      <c r="AM6" s="562" t="s">
        <v>131</v>
      </c>
      <c r="AN6" s="576">
        <v>43687.0</v>
      </c>
      <c r="AO6" s="559">
        <v>16.0</v>
      </c>
      <c r="AP6" s="559">
        <v>5.69</v>
      </c>
      <c r="AQ6">
        <v>3.535</v>
      </c>
    </row>
    <row r="7">
      <c r="A7" s="172" t="s">
        <v>445</v>
      </c>
      <c r="B7" s="549" t="s">
        <v>654</v>
      </c>
      <c r="C7" s="550">
        <v>13.0</v>
      </c>
      <c r="D7" s="550">
        <v>4.89</v>
      </c>
      <c r="F7" s="580" t="s">
        <v>450</v>
      </c>
      <c r="G7" s="549" t="s">
        <v>655</v>
      </c>
      <c r="H7" s="552" t="s">
        <v>102</v>
      </c>
      <c r="I7" s="552">
        <v>11.0</v>
      </c>
      <c r="J7" s="550">
        <v>13.0</v>
      </c>
      <c r="K7" s="553">
        <v>5.14</v>
      </c>
      <c r="M7" s="431" t="s">
        <v>450</v>
      </c>
      <c r="N7" s="549" t="s">
        <v>656</v>
      </c>
      <c r="O7" s="552" t="s">
        <v>236</v>
      </c>
      <c r="P7" s="581">
        <v>43202.0</v>
      </c>
      <c r="Q7" s="552">
        <v>15.0</v>
      </c>
      <c r="R7" s="550">
        <v>5.42</v>
      </c>
      <c r="S7" s="554">
        <v>5.2299999999999995</v>
      </c>
      <c r="U7" s="432" t="s">
        <v>451</v>
      </c>
      <c r="V7" s="555"/>
      <c r="W7" s="552" t="s">
        <v>657</v>
      </c>
      <c r="X7" s="552" t="s">
        <v>658</v>
      </c>
      <c r="Y7" s="556">
        <v>10.0</v>
      </c>
      <c r="Z7" s="550">
        <v>3.55</v>
      </c>
      <c r="AA7" s="554">
        <v>2.58</v>
      </c>
      <c r="AC7" s="579" t="s">
        <v>450</v>
      </c>
      <c r="AD7" s="555" t="s">
        <v>653</v>
      </c>
      <c r="AE7" s="552" t="s">
        <v>131</v>
      </c>
      <c r="AF7" s="552" t="s">
        <v>659</v>
      </c>
      <c r="AG7" s="556">
        <v>11.0</v>
      </c>
      <c r="AH7" s="558">
        <v>0.0382</v>
      </c>
      <c r="AI7" s="553">
        <v>3.529</v>
      </c>
      <c r="AJ7" s="559"/>
      <c r="AK7" s="578" t="s">
        <v>453</v>
      </c>
      <c r="AL7" s="575" t="s">
        <v>651</v>
      </c>
      <c r="AM7" s="562" t="s">
        <v>660</v>
      </c>
      <c r="AN7" s="559"/>
      <c r="AO7" s="559">
        <v>13.0</v>
      </c>
      <c r="AP7" s="559">
        <v>4.63</v>
      </c>
      <c r="AQ7">
        <v>2.581</v>
      </c>
    </row>
    <row r="8">
      <c r="A8" s="172" t="s">
        <v>456</v>
      </c>
      <c r="B8" s="549" t="s">
        <v>661</v>
      </c>
      <c r="C8" s="550">
        <v>12.0</v>
      </c>
      <c r="D8" s="550">
        <v>4.51</v>
      </c>
      <c r="F8" s="582" t="s">
        <v>453</v>
      </c>
      <c r="G8" s="549" t="s">
        <v>662</v>
      </c>
      <c r="H8" s="552" t="s">
        <v>131</v>
      </c>
      <c r="I8" s="552">
        <v>5.0</v>
      </c>
      <c r="J8" s="550">
        <v>10.0</v>
      </c>
      <c r="K8" s="553">
        <v>3.95</v>
      </c>
      <c r="M8" s="203" t="s">
        <v>445</v>
      </c>
      <c r="N8" s="549" t="s">
        <v>663</v>
      </c>
      <c r="O8" s="552" t="s">
        <v>15</v>
      </c>
      <c r="P8" s="552">
        <v>14.0</v>
      </c>
      <c r="Q8" s="552">
        <v>10.0</v>
      </c>
      <c r="R8" s="550">
        <v>3.61</v>
      </c>
      <c r="S8" s="554">
        <v>4.45</v>
      </c>
      <c r="U8" s="205" t="s">
        <v>447</v>
      </c>
      <c r="V8" s="555"/>
      <c r="W8" s="552" t="s">
        <v>62</v>
      </c>
      <c r="X8" s="552">
        <v>2.0</v>
      </c>
      <c r="Y8" s="556">
        <v>10.0</v>
      </c>
      <c r="Z8" s="550">
        <v>3.55</v>
      </c>
      <c r="AA8" s="554">
        <v>2.7199999999999998</v>
      </c>
      <c r="AC8" s="583" t="s">
        <v>445</v>
      </c>
      <c r="AD8" s="23" t="s">
        <v>664</v>
      </c>
      <c r="AE8" s="584" t="s">
        <v>665</v>
      </c>
      <c r="AF8" s="584" t="s">
        <v>666</v>
      </c>
      <c r="AG8" s="585">
        <v>10.0</v>
      </c>
      <c r="AH8" s="558">
        <v>0.0347</v>
      </c>
      <c r="AI8" s="553">
        <v>6.491</v>
      </c>
      <c r="AJ8" s="559"/>
      <c r="AK8" s="586" t="s">
        <v>457</v>
      </c>
      <c r="AL8" s="575" t="s">
        <v>667</v>
      </c>
      <c r="AM8" s="562" t="s">
        <v>668</v>
      </c>
      <c r="AN8" s="559"/>
      <c r="AO8" s="559">
        <v>12.0</v>
      </c>
      <c r="AP8" s="559">
        <v>4.27</v>
      </c>
      <c r="AQ8">
        <v>1.694</v>
      </c>
    </row>
    <row r="9">
      <c r="A9" s="172" t="s">
        <v>453</v>
      </c>
      <c r="B9" s="549" t="s">
        <v>669</v>
      </c>
      <c r="C9" s="550">
        <v>11.0</v>
      </c>
      <c r="D9" s="550">
        <v>4.14</v>
      </c>
      <c r="F9" s="587" t="s">
        <v>455</v>
      </c>
      <c r="G9" s="549" t="s">
        <v>670</v>
      </c>
      <c r="H9" s="552" t="s">
        <v>111</v>
      </c>
      <c r="I9" s="552">
        <v>4.0</v>
      </c>
      <c r="J9" s="550">
        <v>9.0</v>
      </c>
      <c r="K9" s="553">
        <v>3.56</v>
      </c>
      <c r="M9" s="205" t="s">
        <v>447</v>
      </c>
      <c r="N9" s="549" t="s">
        <v>671</v>
      </c>
      <c r="O9" s="552" t="s">
        <v>119</v>
      </c>
      <c r="P9" s="552">
        <v>11.0</v>
      </c>
      <c r="Q9" s="552">
        <v>10.0</v>
      </c>
      <c r="R9" s="550">
        <v>3.61</v>
      </c>
      <c r="S9" s="554">
        <v>2.53</v>
      </c>
      <c r="U9" s="438" t="s">
        <v>457</v>
      </c>
      <c r="V9" s="555"/>
      <c r="W9" s="552" t="s">
        <v>153</v>
      </c>
      <c r="X9" s="588">
        <v>40306.0</v>
      </c>
      <c r="Y9" s="556">
        <v>10.0</v>
      </c>
      <c r="Z9" s="550">
        <v>3.55</v>
      </c>
      <c r="AA9" s="554">
        <v>2.3</v>
      </c>
      <c r="AC9" s="586" t="s">
        <v>457</v>
      </c>
      <c r="AD9" s="23" t="s">
        <v>667</v>
      </c>
      <c r="AE9" s="552" t="s">
        <v>138</v>
      </c>
      <c r="AF9" s="552" t="s">
        <v>672</v>
      </c>
      <c r="AG9" s="556">
        <v>9.0</v>
      </c>
      <c r="AH9" s="589">
        <v>0.0313</v>
      </c>
      <c r="AI9" s="553">
        <v>1.687</v>
      </c>
      <c r="AJ9" s="559"/>
      <c r="AK9" s="583" t="s">
        <v>445</v>
      </c>
      <c r="AL9" s="590" t="s">
        <v>664</v>
      </c>
      <c r="AM9" s="562" t="s">
        <v>79</v>
      </c>
      <c r="AN9" s="559" t="s">
        <v>673</v>
      </c>
      <c r="AO9" s="559">
        <v>9.0</v>
      </c>
      <c r="AP9" s="23">
        <v>3.2</v>
      </c>
      <c r="AQ9">
        <v>6.483</v>
      </c>
    </row>
    <row r="10">
      <c r="A10" s="172" t="s">
        <v>447</v>
      </c>
      <c r="B10" s="549" t="s">
        <v>674</v>
      </c>
      <c r="C10" s="550">
        <v>8.0</v>
      </c>
      <c r="D10" s="550">
        <v>3.01</v>
      </c>
      <c r="F10" s="591" t="s">
        <v>457</v>
      </c>
      <c r="G10" s="549" t="s">
        <v>675</v>
      </c>
      <c r="H10" s="552" t="s">
        <v>59</v>
      </c>
      <c r="I10" s="552">
        <v>6.0</v>
      </c>
      <c r="J10" s="550">
        <v>9.0</v>
      </c>
      <c r="K10" s="553">
        <v>3.56</v>
      </c>
      <c r="M10" s="438" t="s">
        <v>457</v>
      </c>
      <c r="N10" s="549" t="s">
        <v>676</v>
      </c>
      <c r="O10" s="552" t="s">
        <v>84</v>
      </c>
      <c r="P10" s="581">
        <v>43199.0</v>
      </c>
      <c r="Q10" s="552">
        <v>7.0</v>
      </c>
      <c r="R10" s="550">
        <v>2.53</v>
      </c>
      <c r="S10" s="554">
        <v>2.01</v>
      </c>
      <c r="U10" s="431" t="s">
        <v>450</v>
      </c>
      <c r="V10" s="555"/>
      <c r="W10" s="552" t="s">
        <v>111</v>
      </c>
      <c r="X10" s="552">
        <v>4.0</v>
      </c>
      <c r="Y10" s="556">
        <v>9.0</v>
      </c>
      <c r="Z10" s="550">
        <v>3.19</v>
      </c>
      <c r="AA10" s="554">
        <v>4.82</v>
      </c>
      <c r="AC10" s="592" t="s">
        <v>447</v>
      </c>
      <c r="AD10" s="555" t="s">
        <v>677</v>
      </c>
      <c r="AE10" s="552" t="s">
        <v>45</v>
      </c>
      <c r="AF10" s="552" t="s">
        <v>678</v>
      </c>
      <c r="AG10" s="556">
        <v>8.0</v>
      </c>
      <c r="AH10" s="558">
        <v>0.0278</v>
      </c>
      <c r="AI10" s="553">
        <v>5.661</v>
      </c>
      <c r="AJ10" s="559"/>
      <c r="AK10" s="593" t="s">
        <v>456</v>
      </c>
      <c r="AL10" s="590" t="s">
        <v>679</v>
      </c>
      <c r="AM10" s="594"/>
      <c r="AN10" s="23"/>
      <c r="AO10" s="23">
        <v>9.0</v>
      </c>
      <c r="AP10" s="23">
        <v>3.2</v>
      </c>
      <c r="AQ10">
        <v>2.297</v>
      </c>
    </row>
    <row r="11">
      <c r="A11" s="172" t="s">
        <v>451</v>
      </c>
      <c r="B11" s="549" t="s">
        <v>680</v>
      </c>
      <c r="C11" s="550">
        <v>7.0</v>
      </c>
      <c r="D11" s="550">
        <v>2.63</v>
      </c>
      <c r="F11" s="595" t="s">
        <v>451</v>
      </c>
      <c r="G11" s="549" t="s">
        <v>681</v>
      </c>
      <c r="H11" s="552" t="s">
        <v>15</v>
      </c>
      <c r="I11" s="552">
        <v>3.0</v>
      </c>
      <c r="J11" s="550">
        <v>8.0</v>
      </c>
      <c r="K11" s="553">
        <v>3.16</v>
      </c>
      <c r="M11" s="334" t="s">
        <v>455</v>
      </c>
      <c r="N11" s="555" t="s">
        <v>682</v>
      </c>
      <c r="O11" s="552" t="s">
        <v>683</v>
      </c>
      <c r="P11" s="581">
        <v>43146.0</v>
      </c>
      <c r="Q11" s="552">
        <v>6.0</v>
      </c>
      <c r="R11" s="550">
        <v>2.17</v>
      </c>
      <c r="S11" s="554">
        <v>2.7</v>
      </c>
      <c r="U11" s="201" t="s">
        <v>456</v>
      </c>
      <c r="V11" s="555"/>
      <c r="W11" s="552" t="s">
        <v>57</v>
      </c>
      <c r="X11" s="552">
        <v>5.0</v>
      </c>
      <c r="Y11" s="556">
        <v>9.0</v>
      </c>
      <c r="Z11" s="550">
        <v>3.19</v>
      </c>
      <c r="AA11" s="554">
        <v>2.79</v>
      </c>
      <c r="AC11" s="593" t="s">
        <v>456</v>
      </c>
      <c r="AD11" s="555" t="s">
        <v>679</v>
      </c>
      <c r="AE11" s="552" t="s">
        <v>135</v>
      </c>
      <c r="AF11" s="552" t="s">
        <v>678</v>
      </c>
      <c r="AG11" s="556">
        <v>7.0</v>
      </c>
      <c r="AH11" s="558">
        <v>0.0243</v>
      </c>
      <c r="AI11" s="553">
        <v>2.294</v>
      </c>
      <c r="AJ11" s="559"/>
      <c r="AK11" s="596" t="s">
        <v>458</v>
      </c>
      <c r="AL11" s="575" t="s">
        <v>684</v>
      </c>
      <c r="AM11" s="562" t="s">
        <v>685</v>
      </c>
      <c r="AN11" s="559" t="s">
        <v>686</v>
      </c>
      <c r="AO11" s="559">
        <v>8.0</v>
      </c>
      <c r="AP11" s="559">
        <v>2.85</v>
      </c>
      <c r="AQ11">
        <v>1.496</v>
      </c>
    </row>
    <row r="12">
      <c r="A12" s="172" t="s">
        <v>455</v>
      </c>
      <c r="B12" s="549" t="s">
        <v>687</v>
      </c>
      <c r="C12" s="550">
        <v>6.0</v>
      </c>
      <c r="D12" s="550">
        <v>2.26</v>
      </c>
      <c r="F12" s="597" t="s">
        <v>456</v>
      </c>
      <c r="G12" s="549" t="s">
        <v>688</v>
      </c>
      <c r="H12" s="552" t="s">
        <v>84</v>
      </c>
      <c r="I12" s="552">
        <v>1.0</v>
      </c>
      <c r="J12" s="550">
        <v>7.0</v>
      </c>
      <c r="K12" s="553">
        <v>2.77</v>
      </c>
      <c r="M12" s="433" t="s">
        <v>452</v>
      </c>
      <c r="N12" s="549" t="s">
        <v>689</v>
      </c>
      <c r="O12" s="552" t="s">
        <v>105</v>
      </c>
      <c r="P12" s="552">
        <v>12.0</v>
      </c>
      <c r="Q12" s="552">
        <v>5.0</v>
      </c>
      <c r="R12" s="550">
        <v>1.81</v>
      </c>
      <c r="S12" s="554">
        <v>1.39</v>
      </c>
      <c r="U12" s="434" t="s">
        <v>453</v>
      </c>
      <c r="V12" s="555"/>
      <c r="W12" s="552" t="s">
        <v>163</v>
      </c>
      <c r="X12" s="552">
        <v>11.0</v>
      </c>
      <c r="Y12" s="556">
        <v>6.0</v>
      </c>
      <c r="Z12" s="550">
        <v>2.13</v>
      </c>
      <c r="AA12" s="554">
        <v>3.6999999999999997</v>
      </c>
      <c r="AC12" s="598" t="s">
        <v>451</v>
      </c>
      <c r="AD12" s="555" t="s">
        <v>690</v>
      </c>
      <c r="AE12" s="552" t="s">
        <v>236</v>
      </c>
      <c r="AF12" s="552">
        <v>2.0</v>
      </c>
      <c r="AG12" s="556">
        <v>5.0</v>
      </c>
      <c r="AH12" s="558">
        <v>0.0174</v>
      </c>
      <c r="AI12" s="553">
        <v>2.909</v>
      </c>
      <c r="AJ12" s="559"/>
      <c r="AK12" s="592" t="s">
        <v>447</v>
      </c>
      <c r="AL12" s="575" t="s">
        <v>677</v>
      </c>
      <c r="AM12" s="562" t="s">
        <v>691</v>
      </c>
      <c r="AN12" s="559" t="s">
        <v>692</v>
      </c>
      <c r="AO12" s="559">
        <v>5.0</v>
      </c>
      <c r="AP12" s="559">
        <v>1.78</v>
      </c>
      <c r="AQ12">
        <v>5.652</v>
      </c>
    </row>
    <row r="13">
      <c r="A13" s="172" t="s">
        <v>462</v>
      </c>
      <c r="B13" s="549" t="s">
        <v>693</v>
      </c>
      <c r="C13" s="550">
        <v>5.0</v>
      </c>
      <c r="D13" s="550">
        <v>1.88</v>
      </c>
      <c r="F13" s="599" t="s">
        <v>447</v>
      </c>
      <c r="G13" s="549" t="s">
        <v>694</v>
      </c>
      <c r="H13" s="552" t="s">
        <v>246</v>
      </c>
      <c r="I13" s="552">
        <v>14.0</v>
      </c>
      <c r="J13" s="550">
        <v>7.0</v>
      </c>
      <c r="K13" s="553">
        <v>2.77</v>
      </c>
      <c r="M13" s="201" t="s">
        <v>456</v>
      </c>
      <c r="N13" s="549" t="s">
        <v>695</v>
      </c>
      <c r="O13" s="552" t="s">
        <v>54</v>
      </c>
      <c r="P13" s="552">
        <v>14.0</v>
      </c>
      <c r="Q13" s="552">
        <v>4.0</v>
      </c>
      <c r="R13" s="550">
        <v>1.44</v>
      </c>
      <c r="S13" s="554">
        <v>2.7</v>
      </c>
      <c r="U13" s="433" t="s">
        <v>452</v>
      </c>
      <c r="V13" s="555"/>
      <c r="W13" s="552" t="s">
        <v>45</v>
      </c>
      <c r="X13" s="552">
        <v>3.0</v>
      </c>
      <c r="Y13" s="600">
        <v>5.0</v>
      </c>
      <c r="Z13" s="550">
        <v>1.77</v>
      </c>
      <c r="AA13" s="554">
        <v>1.47</v>
      </c>
      <c r="AC13" s="596" t="s">
        <v>458</v>
      </c>
      <c r="AD13" s="555" t="s">
        <v>684</v>
      </c>
      <c r="AE13" s="552" t="s">
        <v>48</v>
      </c>
      <c r="AF13" s="552" t="s">
        <v>696</v>
      </c>
      <c r="AG13" s="473">
        <v>5.0</v>
      </c>
      <c r="AH13" s="558">
        <v>0.0174</v>
      </c>
      <c r="AI13" s="172">
        <v>1.492</v>
      </c>
      <c r="AJ13" s="23"/>
      <c r="AK13" s="601" t="s">
        <v>455</v>
      </c>
      <c r="AL13" s="575" t="s">
        <v>697</v>
      </c>
      <c r="AM13" s="562" t="s">
        <v>698</v>
      </c>
      <c r="AN13" s="559" t="s">
        <v>699</v>
      </c>
      <c r="AO13" s="559">
        <v>4.0</v>
      </c>
      <c r="AP13" s="559">
        <v>1.42</v>
      </c>
      <c r="AQ13">
        <v>2.442</v>
      </c>
    </row>
    <row r="14">
      <c r="A14" s="172" t="s">
        <v>458</v>
      </c>
      <c r="B14" s="549" t="s">
        <v>700</v>
      </c>
      <c r="C14" s="550">
        <v>4.0</v>
      </c>
      <c r="D14" s="550">
        <v>1.5</v>
      </c>
      <c r="F14" s="602" t="s">
        <v>458</v>
      </c>
      <c r="G14" s="549" t="s">
        <v>701</v>
      </c>
      <c r="H14" s="552" t="s">
        <v>79</v>
      </c>
      <c r="I14" s="552">
        <v>13.0</v>
      </c>
      <c r="J14" s="550">
        <v>6.0</v>
      </c>
      <c r="K14" s="553">
        <v>2.37</v>
      </c>
      <c r="M14" s="432" t="s">
        <v>451</v>
      </c>
      <c r="N14" s="549" t="s">
        <v>702</v>
      </c>
      <c r="O14" s="552" t="s">
        <v>32</v>
      </c>
      <c r="P14" s="552">
        <v>13.0</v>
      </c>
      <c r="Q14" s="552">
        <v>3.0</v>
      </c>
      <c r="R14" s="550">
        <v>1.08</v>
      </c>
      <c r="S14" s="554">
        <v>2.35</v>
      </c>
      <c r="U14" s="334" t="s">
        <v>455</v>
      </c>
      <c r="V14" s="555"/>
      <c r="W14" s="552" t="s">
        <v>79</v>
      </c>
      <c r="X14" s="552" t="s">
        <v>703</v>
      </c>
      <c r="Y14" s="556">
        <v>3.0</v>
      </c>
      <c r="Z14" s="550">
        <v>1.06</v>
      </c>
      <c r="AA14" s="554">
        <v>2.37</v>
      </c>
      <c r="AC14" s="603" t="s">
        <v>452</v>
      </c>
      <c r="AD14" s="555" t="s">
        <v>704</v>
      </c>
      <c r="AE14" s="552" t="s">
        <v>705</v>
      </c>
      <c r="AF14" s="552" t="s">
        <v>706</v>
      </c>
      <c r="AG14" s="556">
        <v>2.0</v>
      </c>
      <c r="AH14" s="604">
        <v>0.0069</v>
      </c>
      <c r="AI14" s="553">
        <v>2.666</v>
      </c>
      <c r="AJ14" s="559"/>
      <c r="AK14" s="598" t="s">
        <v>451</v>
      </c>
      <c r="AL14" s="575" t="s">
        <v>690</v>
      </c>
      <c r="AM14" s="562" t="s">
        <v>707</v>
      </c>
      <c r="AN14" s="559" t="s">
        <v>708</v>
      </c>
      <c r="AO14" s="559">
        <v>3.0</v>
      </c>
      <c r="AP14" s="559">
        <v>1.07</v>
      </c>
      <c r="AQ14">
        <v>2.905</v>
      </c>
    </row>
    <row r="15">
      <c r="A15" s="172" t="s">
        <v>452</v>
      </c>
      <c r="B15" s="549" t="s">
        <v>709</v>
      </c>
      <c r="C15" s="550">
        <v>3.0</v>
      </c>
      <c r="D15" s="550">
        <v>1.13</v>
      </c>
      <c r="F15" s="605" t="s">
        <v>452</v>
      </c>
      <c r="G15" s="549" t="s">
        <v>710</v>
      </c>
      <c r="H15" s="552" t="s">
        <v>125</v>
      </c>
      <c r="I15" s="552">
        <v>13.0</v>
      </c>
      <c r="J15" s="550">
        <v>4.0</v>
      </c>
      <c r="K15" s="553">
        <v>1.58</v>
      </c>
      <c r="M15" s="439" t="s">
        <v>458</v>
      </c>
      <c r="N15" s="549" t="s">
        <v>711</v>
      </c>
      <c r="O15" s="552" t="s">
        <v>138</v>
      </c>
      <c r="P15" s="552">
        <v>4.0</v>
      </c>
      <c r="Q15" s="552">
        <v>3.0</v>
      </c>
      <c r="R15" s="550">
        <v>1.08</v>
      </c>
      <c r="S15" s="554">
        <v>1.66</v>
      </c>
      <c r="U15" s="443" t="s">
        <v>462</v>
      </c>
      <c r="W15" s="552" t="s">
        <v>169</v>
      </c>
      <c r="X15" s="552">
        <v>10.0</v>
      </c>
      <c r="Y15" s="556">
        <v>2.0</v>
      </c>
      <c r="Z15" s="573">
        <v>0.71</v>
      </c>
      <c r="AA15" s="554">
        <v>0.84</v>
      </c>
      <c r="AC15" s="601" t="s">
        <v>455</v>
      </c>
      <c r="AD15" s="555" t="s">
        <v>697</v>
      </c>
      <c r="AE15" s="552" t="s">
        <v>59</v>
      </c>
      <c r="AF15" s="552">
        <v>6.0</v>
      </c>
      <c r="AG15" s="556">
        <v>2.0</v>
      </c>
      <c r="AH15" s="604">
        <v>0.0069</v>
      </c>
      <c r="AI15" s="553">
        <v>2.444</v>
      </c>
      <c r="AJ15" s="559"/>
      <c r="AK15" s="603" t="s">
        <v>452</v>
      </c>
      <c r="AL15" s="575" t="s">
        <v>704</v>
      </c>
      <c r="AM15" s="562" t="s">
        <v>712</v>
      </c>
      <c r="AN15" s="559" t="s">
        <v>713</v>
      </c>
      <c r="AO15" s="559">
        <v>2.0</v>
      </c>
      <c r="AP15" s="23">
        <v>0.71</v>
      </c>
      <c r="AQ15">
        <v>2.662</v>
      </c>
    </row>
    <row r="16">
      <c r="A16" s="172" t="s">
        <v>457</v>
      </c>
      <c r="B16" s="549" t="s">
        <v>714</v>
      </c>
      <c r="C16" s="550">
        <v>2.0</v>
      </c>
      <c r="D16" s="550">
        <v>0.75</v>
      </c>
      <c r="F16" s="606" t="s">
        <v>474</v>
      </c>
      <c r="G16" s="549" t="s">
        <v>715</v>
      </c>
      <c r="H16" s="552" t="s">
        <v>187</v>
      </c>
      <c r="I16" s="552">
        <v>10.0</v>
      </c>
      <c r="J16" s="550">
        <v>3.0</v>
      </c>
      <c r="K16" s="172">
        <v>1.19</v>
      </c>
      <c r="M16" s="455" t="s">
        <v>485</v>
      </c>
      <c r="N16" s="24" t="s">
        <v>716</v>
      </c>
      <c r="O16" s="552" t="s">
        <v>40</v>
      </c>
      <c r="P16" s="581">
        <v>43104.0</v>
      </c>
      <c r="Q16" s="552">
        <v>2.0</v>
      </c>
      <c r="R16" s="550">
        <v>0.72</v>
      </c>
      <c r="S16" s="554">
        <v>0.26</v>
      </c>
      <c r="U16" s="453" t="s">
        <v>480</v>
      </c>
      <c r="V16" s="555"/>
      <c r="W16" s="552" t="s">
        <v>84</v>
      </c>
      <c r="X16" s="552">
        <v>12.0</v>
      </c>
      <c r="Y16" s="584">
        <v>2.0</v>
      </c>
      <c r="Z16" s="584">
        <v>0.71</v>
      </c>
      <c r="AA16" s="607">
        <v>0.35000000000000003</v>
      </c>
      <c r="AC16" s="443" t="s">
        <v>462</v>
      </c>
      <c r="AD16" s="555" t="s">
        <v>717</v>
      </c>
      <c r="AE16" s="552" t="s">
        <v>718</v>
      </c>
      <c r="AF16" s="552" t="s">
        <v>719</v>
      </c>
      <c r="AG16" s="584">
        <v>2.0</v>
      </c>
      <c r="AH16" s="604">
        <v>0.0069</v>
      </c>
      <c r="AI16" s="172">
        <v>0.874</v>
      </c>
      <c r="AJ16" s="23"/>
      <c r="AK16" s="443" t="s">
        <v>462</v>
      </c>
      <c r="AL16" s="590" t="s">
        <v>717</v>
      </c>
      <c r="AM16" s="594" t="s">
        <v>720</v>
      </c>
      <c r="AN16" s="608">
        <v>43534.0</v>
      </c>
      <c r="AO16" s="23">
        <v>2.0</v>
      </c>
      <c r="AP16" s="23">
        <v>0.71</v>
      </c>
      <c r="AQ16">
        <v>0.874</v>
      </c>
    </row>
    <row r="17">
      <c r="A17" s="172" t="s">
        <v>486</v>
      </c>
      <c r="B17" s="549" t="s">
        <v>721</v>
      </c>
      <c r="C17" s="550">
        <v>2.0</v>
      </c>
      <c r="D17" s="550">
        <v>0.75</v>
      </c>
      <c r="F17" s="609" t="s">
        <v>462</v>
      </c>
      <c r="G17" s="549" t="s">
        <v>722</v>
      </c>
      <c r="H17" s="552" t="s">
        <v>48</v>
      </c>
      <c r="I17" s="552">
        <v>2.0</v>
      </c>
      <c r="J17" s="550">
        <v>2.0</v>
      </c>
      <c r="K17" s="553">
        <v>0.79</v>
      </c>
      <c r="M17" s="443" t="s">
        <v>462</v>
      </c>
      <c r="N17" s="549" t="s">
        <v>723</v>
      </c>
      <c r="O17" s="552" t="s">
        <v>167</v>
      </c>
      <c r="P17" s="552">
        <v>9.0</v>
      </c>
      <c r="Q17" s="552">
        <v>1.0</v>
      </c>
      <c r="R17" s="550">
        <v>0.36</v>
      </c>
      <c r="S17" s="473">
        <v>0.8699999999999999</v>
      </c>
      <c r="U17" s="448" t="s">
        <v>472</v>
      </c>
      <c r="V17" s="555"/>
      <c r="W17" s="552" t="s">
        <v>114</v>
      </c>
      <c r="X17" s="552">
        <v>13.0</v>
      </c>
      <c r="Y17" s="23">
        <v>2.0</v>
      </c>
      <c r="Z17" s="23">
        <v>0.71</v>
      </c>
      <c r="AA17">
        <v>0.27999999999999997</v>
      </c>
      <c r="AC17" s="460" t="s">
        <v>497</v>
      </c>
      <c r="AD17" s="23" t="s">
        <v>724</v>
      </c>
      <c r="AE17" s="552" t="s">
        <v>100</v>
      </c>
      <c r="AF17" s="552" t="s">
        <v>725</v>
      </c>
      <c r="AG17" s="610">
        <v>2.0</v>
      </c>
      <c r="AH17" s="611">
        <v>0.0069</v>
      </c>
      <c r="AI17" s="23">
        <v>0.112</v>
      </c>
      <c r="AJ17" s="23"/>
      <c r="AK17" s="612" t="s">
        <v>466</v>
      </c>
      <c r="AL17" s="590" t="s">
        <v>726</v>
      </c>
      <c r="AM17" s="594" t="s">
        <v>727</v>
      </c>
      <c r="AN17" s="608">
        <v>43784.0</v>
      </c>
      <c r="AO17" s="23">
        <v>2.0</v>
      </c>
      <c r="AP17" s="23">
        <v>0.71</v>
      </c>
      <c r="AQ17">
        <v>0.49500000000000005</v>
      </c>
    </row>
    <row r="18">
      <c r="A18" s="172" t="s">
        <v>468</v>
      </c>
      <c r="B18" s="549" t="s">
        <v>728</v>
      </c>
      <c r="C18" s="550">
        <v>1.0</v>
      </c>
      <c r="D18" s="550">
        <v>0.38</v>
      </c>
      <c r="F18" s="613" t="s">
        <v>468</v>
      </c>
      <c r="G18" s="549" t="s">
        <v>729</v>
      </c>
      <c r="H18" s="552" t="s">
        <v>88</v>
      </c>
      <c r="I18" s="552">
        <v>2.0</v>
      </c>
      <c r="J18" s="550">
        <v>2.0</v>
      </c>
      <c r="K18" s="614">
        <v>0.79</v>
      </c>
      <c r="M18" s="453" t="s">
        <v>480</v>
      </c>
      <c r="N18" s="549" t="s">
        <v>730</v>
      </c>
      <c r="O18" s="552" t="s">
        <v>141</v>
      </c>
      <c r="P18" s="552">
        <v>3.0</v>
      </c>
      <c r="Q18" s="552">
        <v>1.0</v>
      </c>
      <c r="R18" s="550">
        <v>0.36</v>
      </c>
      <c r="S18">
        <v>0.26</v>
      </c>
      <c r="U18" s="439" t="s">
        <v>458</v>
      </c>
      <c r="V18" s="555"/>
      <c r="W18" s="552" t="s">
        <v>246</v>
      </c>
      <c r="X18" s="552">
        <v>11.0</v>
      </c>
      <c r="Y18">
        <v>1.0</v>
      </c>
      <c r="Z18" s="23">
        <v>0.35</v>
      </c>
      <c r="AA18" s="615">
        <v>1.4000000000000001</v>
      </c>
      <c r="AC18" s="616" t="s">
        <v>454</v>
      </c>
      <c r="AD18" s="555" t="s">
        <v>731</v>
      </c>
      <c r="AE18" s="552" t="s">
        <v>72</v>
      </c>
      <c r="AF18" s="552">
        <v>2.0</v>
      </c>
      <c r="AG18" s="600">
        <v>1.0</v>
      </c>
      <c r="AH18" s="589">
        <v>0.0035</v>
      </c>
      <c r="AI18" s="559">
        <v>2.502</v>
      </c>
      <c r="AJ18" s="559"/>
      <c r="AK18" s="453" t="s">
        <v>480</v>
      </c>
      <c r="AL18" s="590" t="s">
        <v>732</v>
      </c>
      <c r="AM18" s="594" t="s">
        <v>237</v>
      </c>
      <c r="AN18" s="608">
        <v>43659.0</v>
      </c>
      <c r="AO18" s="23">
        <v>2.0</v>
      </c>
      <c r="AP18" s="23">
        <v>0.71</v>
      </c>
      <c r="AQ18">
        <v>0.257</v>
      </c>
    </row>
    <row r="19">
      <c r="A19" s="172" t="s">
        <v>474</v>
      </c>
      <c r="B19" s="549" t="s">
        <v>733</v>
      </c>
      <c r="C19" s="550">
        <v>1.0</v>
      </c>
      <c r="D19" s="550">
        <v>0.38</v>
      </c>
      <c r="F19" s="617" t="s">
        <v>470</v>
      </c>
      <c r="G19" s="549" t="s">
        <v>734</v>
      </c>
      <c r="H19" s="552" t="s">
        <v>62</v>
      </c>
      <c r="I19" s="552">
        <v>5.0</v>
      </c>
      <c r="J19" s="550">
        <v>2.0</v>
      </c>
      <c r="K19" s="614">
        <v>0.79</v>
      </c>
      <c r="M19" s="456" t="s">
        <v>486</v>
      </c>
      <c r="N19" s="549" t="s">
        <v>735</v>
      </c>
      <c r="O19" s="552" t="s">
        <v>238</v>
      </c>
      <c r="P19" s="552">
        <v>11.0</v>
      </c>
      <c r="Q19" s="552">
        <v>1.0</v>
      </c>
      <c r="R19" s="550">
        <v>0.36</v>
      </c>
      <c r="S19">
        <v>0.26</v>
      </c>
      <c r="U19" s="449" t="s">
        <v>474</v>
      </c>
      <c r="V19" s="555"/>
      <c r="W19" s="552" t="s">
        <v>59</v>
      </c>
      <c r="X19" s="552">
        <v>13.0</v>
      </c>
      <c r="Y19" s="23">
        <v>1.0</v>
      </c>
      <c r="Z19" s="23">
        <v>0.35</v>
      </c>
      <c r="AA19">
        <v>0.35000000000000003</v>
      </c>
      <c r="AC19" s="445" t="s">
        <v>466</v>
      </c>
      <c r="AD19" s="555" t="s">
        <v>726</v>
      </c>
      <c r="AE19" s="552" t="s">
        <v>203</v>
      </c>
      <c r="AF19" s="552">
        <v>11.0</v>
      </c>
      <c r="AG19" s="23">
        <v>1.0</v>
      </c>
      <c r="AH19" s="589">
        <v>0.0035</v>
      </c>
      <c r="AI19" s="559">
        <v>0.494</v>
      </c>
      <c r="AJ19" s="559"/>
      <c r="AK19" s="454" t="s">
        <v>483</v>
      </c>
      <c r="AL19" s="590" t="s">
        <v>736</v>
      </c>
      <c r="AM19" s="594" t="s">
        <v>737</v>
      </c>
      <c r="AN19" s="608">
        <v>43531.0</v>
      </c>
      <c r="AO19" s="23">
        <v>2.0</v>
      </c>
      <c r="AP19" s="23">
        <v>0.71</v>
      </c>
      <c r="AQ19">
        <v>0.215</v>
      </c>
    </row>
    <row r="20">
      <c r="A20" s="172" t="s">
        <v>524</v>
      </c>
      <c r="B20" s="549" t="s">
        <v>738</v>
      </c>
      <c r="C20" s="550">
        <v>1.0</v>
      </c>
      <c r="D20" s="550">
        <v>0.38</v>
      </c>
      <c r="F20" s="618" t="s">
        <v>459</v>
      </c>
      <c r="G20" s="549" t="s">
        <v>739</v>
      </c>
      <c r="H20" s="552" t="s">
        <v>122</v>
      </c>
      <c r="I20" s="552">
        <v>10.0</v>
      </c>
      <c r="J20" s="550">
        <v>1.0</v>
      </c>
      <c r="K20" s="550">
        <v>0.4</v>
      </c>
      <c r="M20" s="441" t="s">
        <v>459</v>
      </c>
      <c r="N20" s="549" t="s">
        <v>740</v>
      </c>
      <c r="O20" s="552" t="s">
        <v>262</v>
      </c>
      <c r="P20" s="552">
        <v>10.0</v>
      </c>
      <c r="Q20" s="552">
        <v>1.0</v>
      </c>
      <c r="R20" s="550">
        <v>0.36</v>
      </c>
      <c r="S20">
        <v>0.26</v>
      </c>
      <c r="U20" s="619" t="s">
        <v>486</v>
      </c>
      <c r="V20" s="610"/>
      <c r="W20" s="552" t="s">
        <v>246</v>
      </c>
      <c r="X20" s="552">
        <v>6.0</v>
      </c>
      <c r="Y20" s="23">
        <v>1.0</v>
      </c>
      <c r="Z20" s="23">
        <v>0.35</v>
      </c>
      <c r="AA20">
        <v>0.27999999999999997</v>
      </c>
      <c r="AC20" s="446" t="s">
        <v>468</v>
      </c>
      <c r="AD20" s="23" t="s">
        <v>741</v>
      </c>
      <c r="AE20" s="552" t="s">
        <v>40</v>
      </c>
      <c r="AF20" s="552">
        <v>15.0</v>
      </c>
      <c r="AG20" s="610">
        <v>1.0</v>
      </c>
      <c r="AH20" s="589">
        <v>0.0035</v>
      </c>
      <c r="AI20" s="473">
        <v>0.468</v>
      </c>
      <c r="AJ20" s="473"/>
      <c r="AK20" s="620" t="s">
        <v>468</v>
      </c>
      <c r="AL20" s="575" t="s">
        <v>741</v>
      </c>
      <c r="AM20" s="562" t="s">
        <v>105</v>
      </c>
      <c r="AN20" s="559">
        <v>6.0</v>
      </c>
      <c r="AO20" s="559">
        <v>1.0</v>
      </c>
      <c r="AP20" s="23">
        <v>0.36</v>
      </c>
      <c r="AQ20">
        <v>0.468</v>
      </c>
    </row>
    <row r="21">
      <c r="A21" s="172" t="s">
        <v>454</v>
      </c>
      <c r="B21" s="549" t="s">
        <v>742</v>
      </c>
      <c r="C21" s="550">
        <v>1.0</v>
      </c>
      <c r="D21" s="550">
        <v>0.38</v>
      </c>
      <c r="F21" s="621" t="s">
        <v>464</v>
      </c>
      <c r="G21" s="549" t="s">
        <v>743</v>
      </c>
      <c r="H21" s="552" t="s">
        <v>48</v>
      </c>
      <c r="I21" s="552">
        <v>3.0</v>
      </c>
      <c r="J21" s="550">
        <v>1.0</v>
      </c>
      <c r="K21" s="550">
        <v>0.4</v>
      </c>
      <c r="M21" s="435" t="s">
        <v>454</v>
      </c>
      <c r="N21" s="549" t="s">
        <v>744</v>
      </c>
      <c r="O21" s="552" t="s">
        <v>72</v>
      </c>
      <c r="P21" s="552">
        <v>1.0</v>
      </c>
      <c r="Q21" s="552">
        <v>1.0</v>
      </c>
      <c r="R21" s="550">
        <v>0.36</v>
      </c>
      <c r="S21">
        <v>0.26</v>
      </c>
      <c r="U21" s="622" t="s">
        <v>526</v>
      </c>
      <c r="V21" s="555"/>
      <c r="W21" s="552" t="s">
        <v>111</v>
      </c>
      <c r="X21" s="552">
        <v>11.0</v>
      </c>
      <c r="Y21" s="23">
        <v>1.0</v>
      </c>
      <c r="Z21" s="23">
        <v>0.35</v>
      </c>
      <c r="AA21">
        <v>0.21</v>
      </c>
      <c r="AC21" s="623" t="s">
        <v>472</v>
      </c>
      <c r="AD21" s="555" t="s">
        <v>745</v>
      </c>
      <c r="AE21" s="552" t="s">
        <v>191</v>
      </c>
      <c r="AF21" s="552">
        <v>1.0</v>
      </c>
      <c r="AG21" s="23">
        <v>1.0</v>
      </c>
      <c r="AH21" s="589">
        <v>0.0035</v>
      </c>
      <c r="AI21" s="23">
        <v>0.382</v>
      </c>
      <c r="AJ21" s="23"/>
      <c r="AK21" s="624" t="s">
        <v>470</v>
      </c>
      <c r="AL21" s="575" t="s">
        <v>746</v>
      </c>
      <c r="AM21" s="562" t="s">
        <v>81</v>
      </c>
      <c r="AN21" s="559">
        <v>4.0</v>
      </c>
      <c r="AO21" s="559">
        <v>1.0</v>
      </c>
      <c r="AP21" s="23">
        <v>0.36</v>
      </c>
      <c r="AQ21">
        <v>0.466</v>
      </c>
    </row>
    <row r="22">
      <c r="A22" s="172" t="s">
        <v>553</v>
      </c>
      <c r="B22" s="549" t="s">
        <v>747</v>
      </c>
      <c r="C22" s="550">
        <v>1.0</v>
      </c>
      <c r="D22" s="550">
        <v>0.38</v>
      </c>
      <c r="F22" s="625" t="s">
        <v>454</v>
      </c>
      <c r="G22" s="549" t="s">
        <v>748</v>
      </c>
      <c r="H22" s="552" t="s">
        <v>72</v>
      </c>
      <c r="I22" s="552">
        <v>3.0</v>
      </c>
      <c r="J22" s="550">
        <v>1.0</v>
      </c>
      <c r="K22" s="172">
        <v>0.4</v>
      </c>
      <c r="M22" s="447" t="s">
        <v>470</v>
      </c>
      <c r="N22" s="549" t="s">
        <v>749</v>
      </c>
      <c r="O22" s="552" t="s">
        <v>23</v>
      </c>
      <c r="P22" s="552">
        <v>10.0</v>
      </c>
      <c r="Q22" s="552">
        <v>1.0</v>
      </c>
      <c r="R22" s="550">
        <v>0.36</v>
      </c>
      <c r="S22">
        <v>0.26</v>
      </c>
      <c r="U22" s="454" t="s">
        <v>483</v>
      </c>
      <c r="V22" s="555"/>
      <c r="W22" s="552" t="s">
        <v>138</v>
      </c>
      <c r="X22" s="552">
        <v>6.0</v>
      </c>
      <c r="Y22" s="552">
        <v>1.0</v>
      </c>
      <c r="Z22" s="552">
        <v>0.35</v>
      </c>
      <c r="AA22">
        <v>0.13999999999999999</v>
      </c>
      <c r="AC22" s="626" t="s">
        <v>474</v>
      </c>
      <c r="AD22" s="610" t="s">
        <v>750</v>
      </c>
      <c r="AE22" s="552" t="s">
        <v>79</v>
      </c>
      <c r="AF22" s="552">
        <v>3.0</v>
      </c>
      <c r="AG22" s="584">
        <v>1.0</v>
      </c>
      <c r="AH22" s="589">
        <v>0.0035</v>
      </c>
      <c r="AI22" s="23">
        <v>0.338</v>
      </c>
      <c r="AJ22" s="23"/>
      <c r="AK22" s="450" t="s">
        <v>476</v>
      </c>
      <c r="AL22" s="590" t="s">
        <v>751</v>
      </c>
      <c r="AM22" s="594" t="s">
        <v>114</v>
      </c>
      <c r="AN22" s="23">
        <v>2.0</v>
      </c>
      <c r="AO22" s="23">
        <v>1.0</v>
      </c>
      <c r="AP22" s="23">
        <v>0.36</v>
      </c>
      <c r="AQ22">
        <v>0.322</v>
      </c>
    </row>
    <row r="23">
      <c r="A23" s="172" t="s">
        <v>490</v>
      </c>
      <c r="B23" s="549" t="s">
        <v>752</v>
      </c>
      <c r="C23" s="550">
        <v>1.0</v>
      </c>
      <c r="D23" s="550">
        <v>0.38</v>
      </c>
      <c r="F23" s="627" t="s">
        <v>485</v>
      </c>
      <c r="G23" s="549" t="s">
        <v>753</v>
      </c>
      <c r="H23" s="552" t="s">
        <v>238</v>
      </c>
      <c r="I23" s="552">
        <v>8.0</v>
      </c>
      <c r="J23" s="550">
        <v>1.0</v>
      </c>
      <c r="K23" s="550">
        <v>0.4</v>
      </c>
      <c r="M23" s="202" t="s">
        <v>502</v>
      </c>
      <c r="N23" s="549" t="s">
        <v>754</v>
      </c>
      <c r="O23" s="552" t="s">
        <v>125</v>
      </c>
      <c r="P23" s="552">
        <v>1.0</v>
      </c>
      <c r="Q23" s="552">
        <v>1.0</v>
      </c>
      <c r="R23" s="550">
        <v>0.36</v>
      </c>
      <c r="S23" s="628">
        <v>0.16999999999999998</v>
      </c>
      <c r="U23" s="629" t="s">
        <v>513</v>
      </c>
      <c r="V23" s="555"/>
      <c r="W23" s="552" t="s">
        <v>262</v>
      </c>
      <c r="X23" s="552">
        <v>13.0</v>
      </c>
      <c r="Y23" s="552">
        <v>1.0</v>
      </c>
      <c r="Z23" s="552">
        <v>0.35</v>
      </c>
      <c r="AA23" s="628">
        <v>0.13999999999999999</v>
      </c>
      <c r="AC23" s="630" t="s">
        <v>476</v>
      </c>
      <c r="AD23" s="555" t="s">
        <v>751</v>
      </c>
      <c r="AE23" s="552" t="s">
        <v>125</v>
      </c>
      <c r="AF23" s="552">
        <v>7.0</v>
      </c>
      <c r="AG23" s="584">
        <v>1.0</v>
      </c>
      <c r="AH23" s="589">
        <v>0.0035</v>
      </c>
      <c r="AI23" s="550">
        <v>0.321</v>
      </c>
      <c r="AJ23" s="23"/>
      <c r="AK23" s="457" t="s">
        <v>488</v>
      </c>
      <c r="AL23" s="590" t="s">
        <v>755</v>
      </c>
      <c r="AM23" s="594" t="s">
        <v>107</v>
      </c>
      <c r="AN23" s="23">
        <v>13.0</v>
      </c>
      <c r="AO23" s="23">
        <v>1.0</v>
      </c>
      <c r="AP23" s="23">
        <v>0.36</v>
      </c>
      <c r="AQ23">
        <v>0.164</v>
      </c>
    </row>
    <row r="24">
      <c r="A24" s="172" t="s">
        <v>472</v>
      </c>
      <c r="B24" s="549" t="s">
        <v>756</v>
      </c>
      <c r="C24" s="550">
        <v>1.0</v>
      </c>
      <c r="D24" s="550">
        <v>0.38</v>
      </c>
      <c r="F24" s="631" t="s">
        <v>488</v>
      </c>
      <c r="G24" s="549" t="s">
        <v>757</v>
      </c>
      <c r="H24" s="552" t="s">
        <v>70</v>
      </c>
      <c r="I24" s="552">
        <v>15.0</v>
      </c>
      <c r="J24" s="550">
        <v>1.0</v>
      </c>
      <c r="K24" s="550">
        <v>0.4</v>
      </c>
      <c r="M24" s="463" t="s">
        <v>504</v>
      </c>
      <c r="N24" s="549" t="s">
        <v>758</v>
      </c>
      <c r="O24" s="552" t="s">
        <v>81</v>
      </c>
      <c r="P24" s="552">
        <v>10.0</v>
      </c>
      <c r="Q24" s="610">
        <v>1.0</v>
      </c>
      <c r="R24" s="23">
        <v>0.36</v>
      </c>
      <c r="S24" s="567">
        <v>0.16999999999999998</v>
      </c>
      <c r="U24" s="632" t="s">
        <v>544</v>
      </c>
      <c r="V24" s="555"/>
      <c r="W24" s="552" t="s">
        <v>105</v>
      </c>
      <c r="X24" s="552">
        <v>1.0</v>
      </c>
      <c r="Y24" s="610">
        <v>1.0</v>
      </c>
      <c r="Z24" s="610">
        <v>0.35</v>
      </c>
      <c r="AA24" s="567">
        <v>0.06999999999999999</v>
      </c>
      <c r="AC24" s="633" t="s">
        <v>425</v>
      </c>
      <c r="AD24" s="555" t="s">
        <v>759</v>
      </c>
      <c r="AE24" s="552" t="s">
        <v>62</v>
      </c>
      <c r="AF24" s="552">
        <v>14.0</v>
      </c>
      <c r="AG24" s="610">
        <v>1.0</v>
      </c>
      <c r="AH24" s="589">
        <v>0.0035</v>
      </c>
      <c r="AI24" s="550">
        <v>0.287</v>
      </c>
      <c r="AJ24" s="23"/>
      <c r="AK24" s="460" t="s">
        <v>497</v>
      </c>
      <c r="AL24" s="590" t="s">
        <v>724</v>
      </c>
      <c r="AM24" s="594" t="s">
        <v>100</v>
      </c>
      <c r="AN24" s="23">
        <v>9.0</v>
      </c>
      <c r="AO24" s="23">
        <v>1.0</v>
      </c>
      <c r="AP24" s="23">
        <v>0.36</v>
      </c>
      <c r="AQ24">
        <v>0.11299999999999999</v>
      </c>
    </row>
    <row r="25">
      <c r="A25" s="172" t="s">
        <v>464</v>
      </c>
      <c r="B25" s="564" t="s">
        <v>760</v>
      </c>
      <c r="C25" s="550">
        <v>1.0</v>
      </c>
      <c r="D25" s="550">
        <v>0.38</v>
      </c>
      <c r="F25" s="172" t="s">
        <v>761</v>
      </c>
      <c r="G25" s="566" t="s">
        <v>762</v>
      </c>
      <c r="H25" s="550" t="s">
        <v>81</v>
      </c>
      <c r="I25" s="550">
        <v>2.0</v>
      </c>
      <c r="J25" s="550">
        <v>1.0</v>
      </c>
      <c r="K25" s="550">
        <v>0.4</v>
      </c>
      <c r="M25" s="448" t="s">
        <v>472</v>
      </c>
      <c r="N25" s="634" t="s">
        <v>763</v>
      </c>
      <c r="O25" s="552" t="s">
        <v>23</v>
      </c>
      <c r="P25" s="552">
        <v>6.0</v>
      </c>
      <c r="Q25" s="610">
        <v>1.0</v>
      </c>
      <c r="R25" s="23">
        <v>0.36</v>
      </c>
      <c r="S25" s="567">
        <v>0.16999999999999998</v>
      </c>
      <c r="U25" s="635" t="s">
        <v>498</v>
      </c>
      <c r="V25" s="572"/>
      <c r="W25" s="552" t="s">
        <v>167</v>
      </c>
      <c r="X25" s="552">
        <v>2.0</v>
      </c>
      <c r="Y25" s="610">
        <v>1.0</v>
      </c>
      <c r="Z25" s="610">
        <v>0.35</v>
      </c>
      <c r="AA25" s="567">
        <v>0.06999999999999999</v>
      </c>
      <c r="AC25" s="636" t="s">
        <v>480</v>
      </c>
      <c r="AD25" s="572" t="s">
        <v>732</v>
      </c>
      <c r="AE25" s="552" t="s">
        <v>122</v>
      </c>
      <c r="AF25" s="552">
        <v>4.0</v>
      </c>
      <c r="AG25" s="610">
        <v>1.0</v>
      </c>
      <c r="AH25" s="589">
        <v>0.0035</v>
      </c>
      <c r="AI25" s="550">
        <v>0.255</v>
      </c>
      <c r="AJ25" s="23"/>
      <c r="AK25" s="463" t="s">
        <v>504</v>
      </c>
      <c r="AL25" s="590" t="s">
        <v>764</v>
      </c>
      <c r="AM25" s="594" t="s">
        <v>100</v>
      </c>
      <c r="AN25" s="23">
        <v>6.0</v>
      </c>
      <c r="AO25" s="23">
        <v>1.0</v>
      </c>
      <c r="AP25" s="23">
        <v>0.36</v>
      </c>
      <c r="AQ25">
        <v>0.082</v>
      </c>
    </row>
    <row r="26">
      <c r="A26" s="172" t="s">
        <v>506</v>
      </c>
      <c r="B26" s="564" t="s">
        <v>765</v>
      </c>
      <c r="C26" s="550">
        <v>1.0</v>
      </c>
      <c r="D26" s="550">
        <v>0.38</v>
      </c>
      <c r="F26" s="23"/>
      <c r="G26" s="23"/>
      <c r="H26" s="23"/>
      <c r="I26" s="23"/>
      <c r="J26" s="23"/>
      <c r="K26" s="23"/>
      <c r="M26" s="454" t="s">
        <v>483</v>
      </c>
      <c r="N26" s="24" t="s">
        <v>766</v>
      </c>
      <c r="O26" s="552" t="s">
        <v>146</v>
      </c>
      <c r="P26" s="552">
        <v>1.0</v>
      </c>
      <c r="Q26" s="610">
        <v>1.0</v>
      </c>
      <c r="R26" s="23">
        <v>0.36</v>
      </c>
      <c r="S26" s="567">
        <v>0.09</v>
      </c>
      <c r="U26" s="637" t="s">
        <v>466</v>
      </c>
      <c r="W26" s="23" t="s">
        <v>90</v>
      </c>
      <c r="X26" s="552">
        <v>14.0</v>
      </c>
      <c r="Y26" s="610">
        <v>1.0</v>
      </c>
      <c r="Z26" s="610">
        <v>0.35</v>
      </c>
      <c r="AA26" s="567">
        <v>0.06999999999999999</v>
      </c>
      <c r="AC26" s="454" t="s">
        <v>483</v>
      </c>
      <c r="AD26" s="555" t="s">
        <v>736</v>
      </c>
      <c r="AE26" s="610" t="s">
        <v>100</v>
      </c>
      <c r="AF26" s="552">
        <v>6.0</v>
      </c>
      <c r="AG26" s="610">
        <v>1.0</v>
      </c>
      <c r="AH26" s="589">
        <v>0.0035</v>
      </c>
      <c r="AI26" s="550">
        <v>0.214</v>
      </c>
      <c r="AJ26" s="23"/>
      <c r="AK26" s="638" t="s">
        <v>506</v>
      </c>
      <c r="AL26" s="590" t="s">
        <v>767</v>
      </c>
      <c r="AM26" s="594" t="s">
        <v>19</v>
      </c>
      <c r="AN26" s="23">
        <v>12.0</v>
      </c>
      <c r="AO26" s="23">
        <v>1.0</v>
      </c>
      <c r="AP26" s="23">
        <v>0.36</v>
      </c>
      <c r="AQ26">
        <v>0.062</v>
      </c>
    </row>
    <row r="27">
      <c r="M27" s="639" t="s">
        <v>460</v>
      </c>
      <c r="N27" s="24" t="s">
        <v>768</v>
      </c>
      <c r="O27" s="552" t="s">
        <v>246</v>
      </c>
      <c r="P27" s="552">
        <v>1.0</v>
      </c>
      <c r="Q27" s="552">
        <v>1.0</v>
      </c>
      <c r="R27" s="550">
        <v>0.36</v>
      </c>
      <c r="S27" s="567">
        <v>0.09</v>
      </c>
      <c r="U27" s="197"/>
      <c r="W27" s="552"/>
      <c r="X27" s="552"/>
      <c r="Y27" s="552"/>
      <c r="Z27" s="550"/>
      <c r="AA27" s="567"/>
      <c r="AC27" s="464" t="s">
        <v>506</v>
      </c>
      <c r="AD27" s="555" t="s">
        <v>767</v>
      </c>
      <c r="AE27" s="552" t="s">
        <v>65</v>
      </c>
      <c r="AF27" s="552">
        <v>7.0</v>
      </c>
      <c r="AG27" s="552">
        <v>1.0</v>
      </c>
      <c r="AH27" s="589">
        <v>0.0035</v>
      </c>
      <c r="AI27" s="550">
        <v>0.061</v>
      </c>
      <c r="AJ27" s="23"/>
      <c r="AK27" s="640" t="s">
        <v>508</v>
      </c>
      <c r="AL27" s="590" t="s">
        <v>769</v>
      </c>
      <c r="AM27" s="594" t="s">
        <v>105</v>
      </c>
      <c r="AN27" s="23">
        <v>2.0</v>
      </c>
      <c r="AO27" s="23">
        <v>1.0</v>
      </c>
      <c r="AP27" s="23">
        <v>0.36</v>
      </c>
      <c r="AQ27">
        <v>0.06</v>
      </c>
    </row>
    <row r="28">
      <c r="A28" s="23" t="s">
        <v>612</v>
      </c>
      <c r="B28" s="23" t="s">
        <v>770</v>
      </c>
      <c r="C28" s="23" t="s">
        <v>616</v>
      </c>
      <c r="D28" s="23" t="s">
        <v>771</v>
      </c>
      <c r="E28" s="23" t="s">
        <v>772</v>
      </c>
      <c r="M28" s="629" t="s">
        <v>773</v>
      </c>
      <c r="N28" s="24" t="s">
        <v>774</v>
      </c>
      <c r="O28" s="552" t="s">
        <v>48</v>
      </c>
      <c r="P28" s="552">
        <v>7.0</v>
      </c>
      <c r="Q28" s="552">
        <v>1.0</v>
      </c>
      <c r="R28" s="550">
        <v>0.36</v>
      </c>
      <c r="S28" s="641">
        <v>0.09</v>
      </c>
      <c r="U28" s="197"/>
      <c r="W28" s="552"/>
      <c r="X28" s="552"/>
      <c r="Y28" s="552"/>
      <c r="Z28" s="550"/>
      <c r="AA28" s="641"/>
      <c r="AC28" s="481" t="s">
        <v>594</v>
      </c>
      <c r="AD28" s="23" t="s">
        <v>775</v>
      </c>
      <c r="AE28" s="584" t="s">
        <v>65</v>
      </c>
      <c r="AF28" s="552">
        <v>9.0</v>
      </c>
      <c r="AG28" s="552">
        <v>1.0</v>
      </c>
      <c r="AH28" s="589">
        <v>0.0035</v>
      </c>
      <c r="AI28" s="23">
        <v>0.001</v>
      </c>
      <c r="AJ28" s="23"/>
      <c r="AK28" s="470" t="s">
        <v>526</v>
      </c>
      <c r="AL28" s="590" t="s">
        <v>776</v>
      </c>
      <c r="AM28" s="594" t="s">
        <v>131</v>
      </c>
      <c r="AN28" s="23">
        <v>12.0</v>
      </c>
      <c r="AO28" s="23">
        <v>1.0</v>
      </c>
      <c r="AP28" s="23">
        <v>0.36</v>
      </c>
      <c r="AQ28">
        <v>0.025</v>
      </c>
    </row>
    <row r="29">
      <c r="A29" s="23" t="s">
        <v>468</v>
      </c>
      <c r="C29" s="23" t="s">
        <v>48</v>
      </c>
      <c r="D29" s="23" t="s">
        <v>777</v>
      </c>
      <c r="M29" s="642" t="s">
        <v>476</v>
      </c>
      <c r="N29" s="24" t="s">
        <v>778</v>
      </c>
      <c r="O29" s="552" t="s">
        <v>238</v>
      </c>
      <c r="P29" s="552">
        <v>15.0</v>
      </c>
      <c r="Q29" s="610">
        <v>1.0</v>
      </c>
      <c r="R29" s="23">
        <v>0.36</v>
      </c>
      <c r="S29" s="567">
        <v>0.09</v>
      </c>
      <c r="U29" s="197"/>
      <c r="W29" s="552"/>
      <c r="X29" s="552"/>
      <c r="Y29" s="610"/>
      <c r="AA29" s="567"/>
      <c r="AC29" s="197"/>
      <c r="AE29" s="552"/>
      <c r="AF29" s="552"/>
      <c r="AG29" s="610"/>
      <c r="AI29" s="567"/>
      <c r="AJ29" s="473"/>
      <c r="AK29" s="473"/>
      <c r="AL29" s="473"/>
      <c r="AM29" s="473"/>
      <c r="AN29" s="473"/>
      <c r="AO29" s="473"/>
      <c r="AP29" s="473"/>
      <c r="AQ29" s="473"/>
    </row>
    <row r="30">
      <c r="A30" s="23" t="s">
        <v>508</v>
      </c>
      <c r="C30" s="23" t="s">
        <v>107</v>
      </c>
      <c r="D30" s="23" t="s">
        <v>779</v>
      </c>
      <c r="M30" s="23" t="s">
        <v>596</v>
      </c>
      <c r="N30" s="24" t="s">
        <v>780</v>
      </c>
      <c r="O30" s="552" t="s">
        <v>240</v>
      </c>
      <c r="P30" s="552">
        <v>11.0</v>
      </c>
      <c r="Q30" s="552"/>
      <c r="R30" s="550"/>
      <c r="S30" s="550"/>
      <c r="W30" s="552"/>
      <c r="X30" s="552"/>
      <c r="Y30" s="552"/>
      <c r="Z30" s="550"/>
      <c r="AA30" s="550"/>
      <c r="AE30" s="552"/>
      <c r="AF30" s="552"/>
      <c r="AG30" s="552"/>
      <c r="AH30" s="550"/>
      <c r="AI30" s="550"/>
      <c r="AJ30" s="23"/>
      <c r="AK30" s="23"/>
      <c r="AL30" s="23"/>
      <c r="AM30" s="23"/>
      <c r="AN30" s="608">
        <v>43599.0</v>
      </c>
      <c r="AO30" s="23"/>
      <c r="AP30" s="23"/>
      <c r="AQ30" s="23"/>
    </row>
    <row r="31">
      <c r="A31" s="23" t="s">
        <v>497</v>
      </c>
      <c r="C31" s="23" t="s">
        <v>246</v>
      </c>
      <c r="D31" s="23" t="s">
        <v>781</v>
      </c>
    </row>
    <row r="32">
      <c r="A32" s="23" t="s">
        <v>540</v>
      </c>
      <c r="B32" s="24" t="s">
        <v>782</v>
      </c>
      <c r="C32" s="23" t="s">
        <v>220</v>
      </c>
      <c r="D32" s="23" t="s">
        <v>783</v>
      </c>
    </row>
    <row r="33">
      <c r="A33" s="23" t="s">
        <v>580</v>
      </c>
      <c r="C33" s="23" t="s">
        <v>582</v>
      </c>
      <c r="D33" s="23" t="s">
        <v>784</v>
      </c>
    </row>
    <row r="34">
      <c r="A34" s="23" t="s">
        <v>538</v>
      </c>
      <c r="C34" s="23" t="s">
        <v>238</v>
      </c>
      <c r="D34" s="23" t="s">
        <v>785</v>
      </c>
    </row>
    <row r="35">
      <c r="A35" s="23" t="s">
        <v>442</v>
      </c>
      <c r="C35" s="23" t="s">
        <v>199</v>
      </c>
      <c r="D35" s="23" t="s">
        <v>786</v>
      </c>
    </row>
    <row r="36">
      <c r="A36" s="23" t="s">
        <v>450</v>
      </c>
      <c r="C36" s="23" t="s">
        <v>32</v>
      </c>
      <c r="D36" s="23" t="s">
        <v>779</v>
      </c>
    </row>
    <row r="37">
      <c r="A37" s="23" t="s">
        <v>502</v>
      </c>
      <c r="C37" s="23" t="s">
        <v>125</v>
      </c>
      <c r="D37" s="23" t="s">
        <v>787</v>
      </c>
    </row>
    <row r="38">
      <c r="A38" s="23" t="s">
        <v>560</v>
      </c>
      <c r="C38" s="23" t="s">
        <v>261</v>
      </c>
      <c r="D38" s="23" t="s">
        <v>788</v>
      </c>
      <c r="E38" s="23" t="s">
        <v>789</v>
      </c>
    </row>
    <row r="39">
      <c r="A39" s="23" t="s">
        <v>583</v>
      </c>
      <c r="C39" s="23" t="s">
        <v>585</v>
      </c>
      <c r="D39" s="23" t="s">
        <v>790</v>
      </c>
    </row>
    <row r="40">
      <c r="A40" s="23" t="s">
        <v>504</v>
      </c>
      <c r="C40" s="23" t="s">
        <v>81</v>
      </c>
      <c r="D40" s="23" t="s">
        <v>791</v>
      </c>
    </row>
    <row r="41">
      <c r="A41" s="23" t="s">
        <v>488</v>
      </c>
      <c r="B41" s="24" t="s">
        <v>792</v>
      </c>
      <c r="C41" s="23" t="s">
        <v>70</v>
      </c>
      <c r="D41" s="23" t="s">
        <v>793</v>
      </c>
    </row>
    <row r="42">
      <c r="A42" s="23" t="s">
        <v>598</v>
      </c>
      <c r="E42" s="23" t="s">
        <v>794</v>
      </c>
    </row>
    <row r="43">
      <c r="A43" s="23" t="s">
        <v>462</v>
      </c>
      <c r="C43" s="23" t="s">
        <v>57</v>
      </c>
      <c r="D43" s="23" t="s">
        <v>779</v>
      </c>
    </row>
    <row r="44">
      <c r="A44" s="23" t="s">
        <v>521</v>
      </c>
      <c r="B44" s="24" t="s">
        <v>795</v>
      </c>
      <c r="C44" s="23" t="s">
        <v>523</v>
      </c>
      <c r="D44" s="23" t="s">
        <v>796</v>
      </c>
    </row>
    <row r="45">
      <c r="A45" s="23" t="s">
        <v>498</v>
      </c>
      <c r="B45" s="24" t="s">
        <v>797</v>
      </c>
      <c r="C45" s="23" t="s">
        <v>167</v>
      </c>
      <c r="D45" s="23" t="s">
        <v>798</v>
      </c>
    </row>
    <row r="46">
      <c r="A46" s="23" t="s">
        <v>481</v>
      </c>
      <c r="C46" s="23" t="s">
        <v>271</v>
      </c>
      <c r="D46" s="23" t="s">
        <v>799</v>
      </c>
    </row>
    <row r="47">
      <c r="A47" s="23" t="s">
        <v>472</v>
      </c>
      <c r="C47" s="23" t="s">
        <v>153</v>
      </c>
      <c r="D47" s="23" t="s">
        <v>786</v>
      </c>
    </row>
    <row r="48">
      <c r="A48" s="23" t="s">
        <v>500</v>
      </c>
      <c r="B48" s="24" t="s">
        <v>800</v>
      </c>
      <c r="C48" s="23" t="s">
        <v>218</v>
      </c>
      <c r="D48" s="23" t="s">
        <v>801</v>
      </c>
    </row>
    <row r="49">
      <c r="A49" s="23" t="s">
        <v>464</v>
      </c>
      <c r="B49" s="24" t="s">
        <v>802</v>
      </c>
      <c r="C49" s="23" t="s">
        <v>48</v>
      </c>
      <c r="D49" s="23" t="s">
        <v>803</v>
      </c>
    </row>
    <row r="50">
      <c r="A50" s="23" t="s">
        <v>490</v>
      </c>
      <c r="C50" s="23" t="s">
        <v>125</v>
      </c>
      <c r="D50" s="23" t="s">
        <v>804</v>
      </c>
    </row>
    <row r="51">
      <c r="A51" s="23" t="s">
        <v>558</v>
      </c>
      <c r="B51" s="24" t="s">
        <v>805</v>
      </c>
      <c r="C51" s="23" t="s">
        <v>256</v>
      </c>
      <c r="D51" s="23" t="s">
        <v>806</v>
      </c>
    </row>
    <row r="52">
      <c r="A52" s="23" t="s">
        <v>553</v>
      </c>
      <c r="C52" s="23" t="s">
        <v>271</v>
      </c>
      <c r="D52" s="23" t="s">
        <v>804</v>
      </c>
    </row>
    <row r="53">
      <c r="A53" s="23" t="s">
        <v>457</v>
      </c>
      <c r="C53" s="23" t="s">
        <v>150</v>
      </c>
      <c r="D53" s="23" t="s">
        <v>779</v>
      </c>
    </row>
    <row r="54">
      <c r="A54" s="23" t="s">
        <v>567</v>
      </c>
      <c r="C54" s="23" t="s">
        <v>569</v>
      </c>
      <c r="D54" s="23" t="s">
        <v>807</v>
      </c>
    </row>
    <row r="55">
      <c r="A55" s="23" t="s">
        <v>549</v>
      </c>
      <c r="C55" s="23" t="s">
        <v>59</v>
      </c>
      <c r="D55" s="23" t="s">
        <v>808</v>
      </c>
    </row>
    <row r="56">
      <c r="A56" s="23" t="s">
        <v>425</v>
      </c>
      <c r="C56" s="23" t="s">
        <v>173</v>
      </c>
      <c r="D56" s="23" t="s">
        <v>809</v>
      </c>
    </row>
    <row r="57">
      <c r="A57" s="23" t="s">
        <v>485</v>
      </c>
      <c r="C57" s="23" t="s">
        <v>40</v>
      </c>
      <c r="D57" s="23" t="s">
        <v>810</v>
      </c>
    </row>
    <row r="58">
      <c r="A58" s="23" t="s">
        <v>571</v>
      </c>
      <c r="C58" s="23" t="s">
        <v>811</v>
      </c>
      <c r="D58" s="23" t="s">
        <v>812</v>
      </c>
    </row>
    <row r="59">
      <c r="A59" s="23" t="s">
        <v>533</v>
      </c>
      <c r="C59" s="23" t="s">
        <v>276</v>
      </c>
      <c r="D59" s="23" t="s">
        <v>813</v>
      </c>
    </row>
    <row r="60">
      <c r="A60" s="23" t="s">
        <v>511</v>
      </c>
      <c r="B60" s="24" t="s">
        <v>814</v>
      </c>
      <c r="C60" s="23" t="s">
        <v>254</v>
      </c>
      <c r="D60" s="23" t="s">
        <v>815</v>
      </c>
      <c r="E60" s="23" t="s">
        <v>816</v>
      </c>
    </row>
    <row r="61">
      <c r="A61" s="23" t="s">
        <v>455</v>
      </c>
      <c r="C61" s="23" t="s">
        <v>167</v>
      </c>
      <c r="D61" s="23" t="s">
        <v>809</v>
      </c>
    </row>
    <row r="62">
      <c r="A62" s="23" t="s">
        <v>594</v>
      </c>
      <c r="E62" s="23" t="s">
        <v>794</v>
      </c>
    </row>
    <row r="63">
      <c r="A63" s="23" t="s">
        <v>544</v>
      </c>
      <c r="C63" s="23" t="s">
        <v>105</v>
      </c>
      <c r="D63" s="23" t="s">
        <v>817</v>
      </c>
    </row>
    <row r="64">
      <c r="A64" s="23" t="s">
        <v>524</v>
      </c>
      <c r="C64" s="23" t="s">
        <v>84</v>
      </c>
      <c r="D64" s="23" t="s">
        <v>786</v>
      </c>
    </row>
    <row r="65">
      <c r="A65" s="23" t="s">
        <v>474</v>
      </c>
      <c r="C65" s="23" t="s">
        <v>57</v>
      </c>
      <c r="D65" s="23" t="s">
        <v>818</v>
      </c>
    </row>
    <row r="66">
      <c r="A66" s="23" t="s">
        <v>578</v>
      </c>
      <c r="B66" s="24" t="s">
        <v>819</v>
      </c>
      <c r="C66" s="23" t="s">
        <v>231</v>
      </c>
      <c r="D66" s="23" t="s">
        <v>820</v>
      </c>
    </row>
    <row r="67">
      <c r="A67" s="23" t="s">
        <v>570</v>
      </c>
      <c r="B67" s="24" t="s">
        <v>821</v>
      </c>
      <c r="C67" s="23" t="s">
        <v>822</v>
      </c>
      <c r="D67" s="23" t="s">
        <v>813</v>
      </c>
    </row>
    <row r="68">
      <c r="A68" s="23" t="s">
        <v>575</v>
      </c>
      <c r="C68" s="23" t="s">
        <v>577</v>
      </c>
      <c r="D68" s="23" t="s">
        <v>823</v>
      </c>
      <c r="E68" s="23" t="s">
        <v>824</v>
      </c>
    </row>
    <row r="69">
      <c r="A69" s="23" t="s">
        <v>573</v>
      </c>
      <c r="C69" s="23" t="s">
        <v>235</v>
      </c>
      <c r="D69" s="23" t="s">
        <v>825</v>
      </c>
    </row>
    <row r="70">
      <c r="A70" s="23" t="s">
        <v>439</v>
      </c>
      <c r="C70" s="23" t="s">
        <v>236</v>
      </c>
      <c r="D70" s="23" t="s">
        <v>786</v>
      </c>
    </row>
    <row r="71">
      <c r="A71" s="23" t="s">
        <v>456</v>
      </c>
      <c r="C71" s="23" t="s">
        <v>238</v>
      </c>
      <c r="D71" s="23" t="s">
        <v>786</v>
      </c>
    </row>
    <row r="72">
      <c r="A72" s="23" t="s">
        <v>509</v>
      </c>
      <c r="C72" s="23" t="s">
        <v>248</v>
      </c>
      <c r="D72" s="23" t="s">
        <v>826</v>
      </c>
    </row>
    <row r="73">
      <c r="A73" s="23" t="s">
        <v>528</v>
      </c>
      <c r="C73" s="23" t="s">
        <v>45</v>
      </c>
      <c r="D73" s="23" t="s">
        <v>827</v>
      </c>
    </row>
    <row r="74">
      <c r="A74" s="23" t="s">
        <v>470</v>
      </c>
      <c r="C74" s="23" t="s">
        <v>15</v>
      </c>
      <c r="D74" s="23" t="s">
        <v>828</v>
      </c>
    </row>
    <row r="75">
      <c r="A75" s="23" t="s">
        <v>476</v>
      </c>
      <c r="C75" s="23" t="s">
        <v>238</v>
      </c>
      <c r="D75" s="23" t="s">
        <v>829</v>
      </c>
    </row>
    <row r="76">
      <c r="A76" s="23" t="s">
        <v>452</v>
      </c>
      <c r="C76" s="23" t="s">
        <v>79</v>
      </c>
      <c r="D76" s="23" t="s">
        <v>830</v>
      </c>
    </row>
    <row r="77">
      <c r="A77" s="23" t="s">
        <v>602</v>
      </c>
      <c r="C77" s="23" t="s">
        <v>831</v>
      </c>
      <c r="D77" s="23" t="s">
        <v>832</v>
      </c>
    </row>
    <row r="78">
      <c r="A78" s="23" t="s">
        <v>535</v>
      </c>
      <c r="C78" s="23" t="s">
        <v>59</v>
      </c>
      <c r="D78" s="23" t="s">
        <v>833</v>
      </c>
    </row>
    <row r="79">
      <c r="A79" s="23" t="s">
        <v>459</v>
      </c>
      <c r="C79" s="23" t="s">
        <v>236</v>
      </c>
      <c r="D79" s="23" t="s">
        <v>834</v>
      </c>
    </row>
    <row r="80">
      <c r="A80" s="23" t="s">
        <v>551</v>
      </c>
      <c r="C80" s="23" t="s">
        <v>291</v>
      </c>
      <c r="D80" s="23" t="s">
        <v>835</v>
      </c>
      <c r="E80" s="23" t="s">
        <v>836</v>
      </c>
    </row>
    <row r="81">
      <c r="A81" s="23" t="s">
        <v>542</v>
      </c>
      <c r="C81" s="23" t="s">
        <v>291</v>
      </c>
      <c r="D81" s="23" t="s">
        <v>837</v>
      </c>
      <c r="E81" s="23" t="s">
        <v>838</v>
      </c>
    </row>
    <row r="82">
      <c r="A82" s="23" t="s">
        <v>603</v>
      </c>
      <c r="C82" s="23" t="s">
        <v>839</v>
      </c>
      <c r="E82" s="23" t="s">
        <v>840</v>
      </c>
    </row>
    <row r="83">
      <c r="A83" s="23" t="s">
        <v>451</v>
      </c>
      <c r="C83" s="23" t="s">
        <v>105</v>
      </c>
      <c r="D83" s="23" t="s">
        <v>830</v>
      </c>
    </row>
    <row r="84">
      <c r="A84" s="23" t="s">
        <v>506</v>
      </c>
      <c r="C84" s="23" t="s">
        <v>141</v>
      </c>
      <c r="D84" s="23" t="s">
        <v>841</v>
      </c>
    </row>
    <row r="85">
      <c r="A85" s="23" t="s">
        <v>556</v>
      </c>
      <c r="B85" s="24" t="s">
        <v>842</v>
      </c>
      <c r="C85" s="23" t="s">
        <v>234</v>
      </c>
      <c r="D85" s="23" t="s">
        <v>843</v>
      </c>
    </row>
    <row r="86">
      <c r="A86" s="23" t="s">
        <v>599</v>
      </c>
      <c r="C86" s="23" t="s">
        <v>601</v>
      </c>
      <c r="D86" s="23" t="s">
        <v>844</v>
      </c>
    </row>
    <row r="87">
      <c r="A87" s="23" t="s">
        <v>596</v>
      </c>
      <c r="C87" s="23" t="s">
        <v>593</v>
      </c>
      <c r="D87" s="23" t="s">
        <v>845</v>
      </c>
      <c r="E87" s="23" t="s">
        <v>846</v>
      </c>
    </row>
    <row r="88">
      <c r="A88" s="23" t="s">
        <v>480</v>
      </c>
      <c r="C88" s="23" t="s">
        <v>122</v>
      </c>
      <c r="D88" s="23" t="s">
        <v>777</v>
      </c>
    </row>
    <row r="89">
      <c r="A89" s="23" t="s">
        <v>591</v>
      </c>
      <c r="C89" s="23" t="s">
        <v>593</v>
      </c>
      <c r="D89" s="23" t="s">
        <v>847</v>
      </c>
    </row>
    <row r="90">
      <c r="A90" s="23" t="s">
        <v>453</v>
      </c>
      <c r="C90" s="23" t="s">
        <v>48</v>
      </c>
      <c r="D90" s="23" t="s">
        <v>779</v>
      </c>
    </row>
    <row r="91">
      <c r="A91" s="23" t="s">
        <v>449</v>
      </c>
      <c r="C91" s="23" t="s">
        <v>59</v>
      </c>
      <c r="D91" s="23" t="s">
        <v>786</v>
      </c>
    </row>
    <row r="92">
      <c r="A92" s="23" t="s">
        <v>466</v>
      </c>
      <c r="C92" s="23" t="s">
        <v>90</v>
      </c>
      <c r="D92" s="23" t="s">
        <v>848</v>
      </c>
    </row>
    <row r="93">
      <c r="A93" s="23" t="s">
        <v>588</v>
      </c>
      <c r="C93" s="23" t="s">
        <v>590</v>
      </c>
      <c r="D93" s="23" t="s">
        <v>849</v>
      </c>
    </row>
    <row r="94">
      <c r="A94" s="23" t="s">
        <v>454</v>
      </c>
      <c r="C94" s="23" t="s">
        <v>72</v>
      </c>
      <c r="D94" s="23" t="s">
        <v>850</v>
      </c>
    </row>
    <row r="95">
      <c r="A95" s="23" t="s">
        <v>516</v>
      </c>
      <c r="C95" s="23" t="s">
        <v>246</v>
      </c>
      <c r="D95" s="23" t="s">
        <v>851</v>
      </c>
    </row>
    <row r="96">
      <c r="A96" s="23" t="s">
        <v>586</v>
      </c>
      <c r="B96" s="24" t="s">
        <v>852</v>
      </c>
      <c r="C96" s="23" t="s">
        <v>231</v>
      </c>
      <c r="D96" s="23" t="s">
        <v>853</v>
      </c>
    </row>
    <row r="97">
      <c r="A97" s="23" t="s">
        <v>477</v>
      </c>
      <c r="C97" s="23" t="s">
        <v>167</v>
      </c>
      <c r="D97" s="23" t="s">
        <v>854</v>
      </c>
    </row>
    <row r="98">
      <c r="A98" s="23" t="s">
        <v>492</v>
      </c>
      <c r="B98" s="24" t="s">
        <v>855</v>
      </c>
      <c r="C98" s="23" t="s">
        <v>72</v>
      </c>
      <c r="D98" s="23" t="s">
        <v>856</v>
      </c>
    </row>
    <row r="99">
      <c r="A99" s="23" t="s">
        <v>554</v>
      </c>
      <c r="B99" s="24" t="s">
        <v>857</v>
      </c>
      <c r="C99" s="23" t="s">
        <v>221</v>
      </c>
      <c r="D99" s="23" t="s">
        <v>858</v>
      </c>
    </row>
    <row r="100">
      <c r="A100" s="23" t="s">
        <v>460</v>
      </c>
      <c r="C100" s="23" t="s">
        <v>246</v>
      </c>
      <c r="D100" s="23" t="s">
        <v>850</v>
      </c>
    </row>
    <row r="101">
      <c r="A101" s="23" t="s">
        <v>458</v>
      </c>
      <c r="C101" s="23" t="s">
        <v>48</v>
      </c>
      <c r="D101" s="23" t="s">
        <v>830</v>
      </c>
    </row>
    <row r="102">
      <c r="A102" s="23" t="s">
        <v>483</v>
      </c>
      <c r="C102" s="23" t="s">
        <v>138</v>
      </c>
      <c r="D102" s="23" t="s">
        <v>859</v>
      </c>
    </row>
    <row r="103">
      <c r="A103" s="23" t="s">
        <v>445</v>
      </c>
      <c r="C103" s="23" t="s">
        <v>23</v>
      </c>
      <c r="D103" s="23" t="s">
        <v>786</v>
      </c>
    </row>
    <row r="104">
      <c r="A104" s="23" t="s">
        <v>531</v>
      </c>
      <c r="B104" s="24" t="s">
        <v>860</v>
      </c>
      <c r="C104" s="23" t="s">
        <v>233</v>
      </c>
      <c r="D104" s="23" t="s">
        <v>861</v>
      </c>
    </row>
    <row r="105">
      <c r="A105" s="23" t="s">
        <v>486</v>
      </c>
      <c r="C105" s="23" t="s">
        <v>246</v>
      </c>
      <c r="D105" s="23" t="s">
        <v>859</v>
      </c>
    </row>
    <row r="106">
      <c r="A106" s="23" t="s">
        <v>530</v>
      </c>
      <c r="B106" s="24" t="s">
        <v>862</v>
      </c>
      <c r="C106" s="23" t="s">
        <v>15</v>
      </c>
      <c r="D106" s="23" t="s">
        <v>801</v>
      </c>
    </row>
    <row r="107">
      <c r="A107" s="23" t="s">
        <v>536</v>
      </c>
      <c r="B107" s="24" t="s">
        <v>863</v>
      </c>
      <c r="C107" s="23" t="s">
        <v>15</v>
      </c>
      <c r="D107" s="23" t="s">
        <v>864</v>
      </c>
    </row>
    <row r="108">
      <c r="A108" s="23" t="s">
        <v>435</v>
      </c>
      <c r="C108" s="23" t="s">
        <v>81</v>
      </c>
      <c r="D108" s="23" t="s">
        <v>786</v>
      </c>
    </row>
    <row r="109">
      <c r="A109" s="23" t="s">
        <v>447</v>
      </c>
      <c r="C109" s="23" t="s">
        <v>45</v>
      </c>
      <c r="D109" s="23" t="s">
        <v>786</v>
      </c>
    </row>
    <row r="110">
      <c r="A110" s="23" t="s">
        <v>564</v>
      </c>
      <c r="C110" s="23" t="s">
        <v>566</v>
      </c>
      <c r="D110" s="23" t="s">
        <v>865</v>
      </c>
    </row>
  </sheetData>
  <hyperlinks>
    <hyperlink r:id="rId1" ref="B2"/>
    <hyperlink r:id="rId2" ref="G2"/>
    <hyperlink r:id="rId3" ref="N2"/>
    <hyperlink r:id="rId4" ref="B3"/>
    <hyperlink r:id="rId5" ref="G3"/>
    <hyperlink r:id="rId6" ref="N3"/>
    <hyperlink r:id="rId7" ref="B4"/>
    <hyperlink r:id="rId8" ref="G4"/>
    <hyperlink r:id="rId9" ref="N4"/>
    <hyperlink r:id="rId10" ref="B5"/>
    <hyperlink r:id="rId11" ref="G5"/>
    <hyperlink r:id="rId12" ref="N5"/>
    <hyperlink r:id="rId13" ref="B6"/>
    <hyperlink r:id="rId14" ref="G6"/>
    <hyperlink r:id="rId15" ref="N6"/>
    <hyperlink r:id="rId16" ref="B7"/>
    <hyperlink r:id="rId17" ref="G7"/>
    <hyperlink r:id="rId18" ref="N7"/>
    <hyperlink r:id="rId19" ref="B8"/>
    <hyperlink r:id="rId20" ref="G8"/>
    <hyperlink r:id="rId21" ref="N8"/>
    <hyperlink r:id="rId22" ref="B9"/>
    <hyperlink r:id="rId23" ref="G9"/>
    <hyperlink r:id="rId24" ref="N9"/>
    <hyperlink r:id="rId25" ref="B10"/>
    <hyperlink r:id="rId26" ref="G10"/>
    <hyperlink r:id="rId27" ref="N10"/>
    <hyperlink r:id="rId28" ref="B11"/>
    <hyperlink r:id="rId29" ref="G11"/>
    <hyperlink r:id="rId30" ref="B12"/>
    <hyperlink r:id="rId31" ref="G12"/>
    <hyperlink r:id="rId32" ref="N12"/>
    <hyperlink r:id="rId33" ref="B13"/>
    <hyperlink r:id="rId34" ref="G13"/>
    <hyperlink r:id="rId35" ref="N13"/>
    <hyperlink r:id="rId36" ref="B14"/>
    <hyperlink r:id="rId37" ref="G14"/>
    <hyperlink r:id="rId38" ref="N14"/>
    <hyperlink r:id="rId39" ref="B15"/>
    <hyperlink r:id="rId40" ref="G15"/>
    <hyperlink r:id="rId41" ref="N15"/>
    <hyperlink r:id="rId42" ref="B16"/>
    <hyperlink r:id="rId43" ref="G16"/>
    <hyperlink r:id="rId44" ref="N16"/>
    <hyperlink r:id="rId45" ref="B17"/>
    <hyperlink r:id="rId46" ref="G17"/>
    <hyperlink r:id="rId47" ref="N17"/>
    <hyperlink r:id="rId48" ref="B18"/>
    <hyperlink r:id="rId49" ref="G18"/>
    <hyperlink r:id="rId50" ref="N18"/>
    <hyperlink r:id="rId51" ref="B19"/>
    <hyperlink r:id="rId52" ref="G19"/>
    <hyperlink r:id="rId53" ref="N19"/>
    <hyperlink r:id="rId54" ref="B20"/>
    <hyperlink r:id="rId55" ref="G20"/>
    <hyperlink r:id="rId56" ref="N20"/>
    <hyperlink r:id="rId57" ref="B21"/>
    <hyperlink r:id="rId58" ref="G21"/>
    <hyperlink r:id="rId59" ref="N21"/>
    <hyperlink r:id="rId60" ref="B22"/>
    <hyperlink r:id="rId61" ref="G22"/>
    <hyperlink r:id="rId62" ref="N22"/>
    <hyperlink r:id="rId63" ref="B23"/>
    <hyperlink r:id="rId64" ref="G23"/>
    <hyperlink r:id="rId65" ref="N23"/>
    <hyperlink r:id="rId66" ref="B24"/>
    <hyperlink r:id="rId67" ref="G24"/>
    <hyperlink r:id="rId68" ref="N24"/>
    <hyperlink r:id="rId69" ref="B25"/>
    <hyperlink r:id="rId70" ref="G25"/>
    <hyperlink r:id="rId71" ref="N25"/>
    <hyperlink r:id="rId72" ref="B26"/>
    <hyperlink r:id="rId73" ref="N26"/>
    <hyperlink r:id="rId74" ref="N27"/>
    <hyperlink r:id="rId75" ref="N28"/>
    <hyperlink r:id="rId76" ref="N29"/>
    <hyperlink r:id="rId77" ref="N30"/>
    <hyperlink r:id="rId78" ref="B32"/>
    <hyperlink r:id="rId79" ref="B41"/>
    <hyperlink r:id="rId80" ref="B44"/>
    <hyperlink r:id="rId81" ref="B45"/>
    <hyperlink r:id="rId82" ref="B48"/>
    <hyperlink r:id="rId83" ref="B49"/>
    <hyperlink r:id="rId84" ref="B51"/>
    <hyperlink r:id="rId85" ref="B60"/>
    <hyperlink r:id="rId86" ref="B66"/>
    <hyperlink r:id="rId87" ref="B67"/>
    <hyperlink r:id="rId88" ref="B85"/>
    <hyperlink r:id="rId89" ref="B96"/>
    <hyperlink r:id="rId90" ref="B98"/>
    <hyperlink r:id="rId91" ref="B99"/>
    <hyperlink r:id="rId92" ref="B104"/>
    <hyperlink r:id="rId93" ref="B106"/>
    <hyperlink r:id="rId94" ref="B107"/>
  </hyperlinks>
  <drawing r:id="rId9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.43"/>
    <col customWidth="1" min="3" max="3" width="13.14"/>
    <col customWidth="1" min="4" max="4" width="14.43"/>
    <col customWidth="1" min="5" max="5" width="17.57"/>
  </cols>
  <sheetData>
    <row r="1">
      <c r="A1" s="27" t="s">
        <v>617</v>
      </c>
      <c r="B1" s="27" t="s">
        <v>866</v>
      </c>
      <c r="C1" s="27" t="s">
        <v>867</v>
      </c>
      <c r="D1" s="27" t="s">
        <v>868</v>
      </c>
      <c r="E1" s="27" t="s">
        <v>612</v>
      </c>
      <c r="F1" s="23" t="s">
        <v>869</v>
      </c>
      <c r="G1" s="23" t="s">
        <v>870</v>
      </c>
      <c r="H1" s="23" t="s">
        <v>436</v>
      </c>
      <c r="I1" s="23"/>
    </row>
    <row r="2">
      <c r="A2" s="643">
        <v>2.0</v>
      </c>
      <c r="B2" s="644">
        <v>5.0</v>
      </c>
      <c r="C2" s="645" t="s">
        <v>114</v>
      </c>
      <c r="D2" s="645" t="s">
        <v>119</v>
      </c>
      <c r="E2" s="646" t="s">
        <v>435</v>
      </c>
      <c r="F2" s="647">
        <v>79.0</v>
      </c>
      <c r="G2" s="648">
        <v>26.25</v>
      </c>
      <c r="H2" s="27">
        <v>29.804</v>
      </c>
      <c r="I2" s="25"/>
    </row>
    <row r="3">
      <c r="A3" s="649">
        <v>5.0</v>
      </c>
      <c r="B3" s="27">
        <v>6.0</v>
      </c>
      <c r="C3" s="650" t="s">
        <v>114</v>
      </c>
      <c r="D3" s="650" t="s">
        <v>125</v>
      </c>
      <c r="E3" s="648" t="s">
        <v>435</v>
      </c>
      <c r="F3" s="651">
        <v>79.0</v>
      </c>
      <c r="H3" s="25"/>
      <c r="I3" s="652"/>
    </row>
    <row r="4">
      <c r="A4" s="653">
        <v>6.0</v>
      </c>
      <c r="B4" s="27">
        <v>4.0</v>
      </c>
      <c r="C4" s="650" t="s">
        <v>114</v>
      </c>
      <c r="D4" s="650" t="s">
        <v>169</v>
      </c>
      <c r="E4" s="648" t="s">
        <v>435</v>
      </c>
      <c r="F4" s="651">
        <v>79.0</v>
      </c>
      <c r="H4" s="25"/>
      <c r="I4" s="25"/>
    </row>
    <row r="5">
      <c r="A5" s="649">
        <v>9.0</v>
      </c>
      <c r="B5" s="27">
        <v>7.0</v>
      </c>
      <c r="C5" s="650" t="s">
        <v>114</v>
      </c>
      <c r="D5" s="650" t="s">
        <v>238</v>
      </c>
      <c r="E5" s="648" t="s">
        <v>435</v>
      </c>
      <c r="F5" s="651">
        <v>79.0</v>
      </c>
      <c r="H5" s="25"/>
      <c r="I5" s="25"/>
    </row>
    <row r="6">
      <c r="A6" s="653">
        <v>11.0</v>
      </c>
      <c r="B6" s="27">
        <v>2.0</v>
      </c>
      <c r="C6" s="650" t="s">
        <v>114</v>
      </c>
      <c r="D6" s="650" t="s">
        <v>163</v>
      </c>
      <c r="E6" s="648" t="s">
        <v>435</v>
      </c>
      <c r="F6" s="651">
        <v>79.0</v>
      </c>
      <c r="G6" s="654"/>
      <c r="H6" s="652"/>
      <c r="I6" s="652"/>
    </row>
    <row r="7">
      <c r="A7" s="649">
        <v>13.0</v>
      </c>
      <c r="B7" s="27">
        <v>6.0</v>
      </c>
      <c r="C7" s="650" t="s">
        <v>114</v>
      </c>
      <c r="D7" s="650" t="s">
        <v>72</v>
      </c>
      <c r="E7" s="648" t="s">
        <v>435</v>
      </c>
      <c r="F7" s="651">
        <v>79.0</v>
      </c>
      <c r="G7" s="655"/>
      <c r="H7" s="225"/>
      <c r="I7" s="656"/>
    </row>
    <row r="8">
      <c r="A8" s="643">
        <v>4.0</v>
      </c>
      <c r="B8" s="644">
        <v>19.0</v>
      </c>
      <c r="C8" s="645" t="s">
        <v>40</v>
      </c>
      <c r="D8" s="645" t="s">
        <v>27</v>
      </c>
      <c r="E8" s="646" t="s">
        <v>439</v>
      </c>
      <c r="F8" s="647">
        <v>77.0</v>
      </c>
      <c r="G8" s="27">
        <v>25.58</v>
      </c>
      <c r="H8" s="27">
        <v>15.506</v>
      </c>
      <c r="I8" s="652"/>
    </row>
    <row r="9">
      <c r="A9" s="657">
        <v>5.0</v>
      </c>
      <c r="B9" s="27">
        <v>16.0</v>
      </c>
      <c r="C9" s="650" t="s">
        <v>40</v>
      </c>
      <c r="D9" s="650" t="s">
        <v>57</v>
      </c>
      <c r="E9" s="648" t="s">
        <v>439</v>
      </c>
      <c r="F9" s="651">
        <v>77.0</v>
      </c>
      <c r="H9" s="25"/>
      <c r="I9" s="25"/>
    </row>
    <row r="10">
      <c r="A10" s="657">
        <v>6.0</v>
      </c>
      <c r="B10" s="27">
        <v>17.0</v>
      </c>
      <c r="C10" s="650" t="s">
        <v>40</v>
      </c>
      <c r="D10" s="650" t="s">
        <v>32</v>
      </c>
      <c r="E10" s="648" t="s">
        <v>439</v>
      </c>
      <c r="F10" s="651">
        <v>77.0</v>
      </c>
      <c r="H10" s="650"/>
      <c r="I10" s="25"/>
    </row>
    <row r="11">
      <c r="A11" s="657">
        <v>7.0</v>
      </c>
      <c r="B11" s="27">
        <v>14.0</v>
      </c>
      <c r="C11" s="650" t="s">
        <v>40</v>
      </c>
      <c r="D11" s="650" t="s">
        <v>70</v>
      </c>
      <c r="E11" s="648" t="s">
        <v>439</v>
      </c>
      <c r="F11" s="651">
        <v>77.0</v>
      </c>
      <c r="G11" s="648"/>
      <c r="H11" s="25"/>
      <c r="I11" s="25"/>
    </row>
    <row r="12">
      <c r="A12" s="657">
        <v>8.0</v>
      </c>
      <c r="B12" s="27">
        <v>14.0</v>
      </c>
      <c r="C12" s="650" t="s">
        <v>40</v>
      </c>
      <c r="D12" s="650" t="s">
        <v>92</v>
      </c>
      <c r="E12" s="648" t="s">
        <v>439</v>
      </c>
      <c r="F12" s="651">
        <v>77.0</v>
      </c>
      <c r="G12" s="648"/>
      <c r="H12" s="25"/>
      <c r="I12" s="25"/>
    </row>
    <row r="13">
      <c r="A13" s="657">
        <v>9.0</v>
      </c>
      <c r="B13" s="27">
        <v>14.0</v>
      </c>
      <c r="C13" s="650" t="s">
        <v>40</v>
      </c>
      <c r="D13" s="650" t="s">
        <v>45</v>
      </c>
      <c r="E13" s="648" t="s">
        <v>439</v>
      </c>
      <c r="F13" s="651">
        <v>77.0</v>
      </c>
      <c r="G13" s="648"/>
      <c r="H13" s="650"/>
      <c r="I13" s="650"/>
    </row>
    <row r="14">
      <c r="A14" s="658">
        <v>10.0</v>
      </c>
      <c r="B14" s="155">
        <v>14.0</v>
      </c>
      <c r="C14" s="659" t="s">
        <v>40</v>
      </c>
      <c r="D14" s="659" t="s">
        <v>131</v>
      </c>
      <c r="E14" s="660" t="s">
        <v>439</v>
      </c>
      <c r="F14" s="661">
        <v>77.0</v>
      </c>
      <c r="G14" s="648"/>
      <c r="H14" s="650"/>
      <c r="I14" s="25"/>
    </row>
    <row r="15">
      <c r="A15" s="657">
        <v>1.0</v>
      </c>
      <c r="B15" s="27">
        <v>8.0</v>
      </c>
      <c r="C15" s="650" t="s">
        <v>111</v>
      </c>
      <c r="D15" s="650" t="s">
        <v>238</v>
      </c>
      <c r="E15" s="648" t="s">
        <v>442</v>
      </c>
      <c r="F15" s="651">
        <v>22.0</v>
      </c>
      <c r="G15" s="648">
        <v>7.31</v>
      </c>
      <c r="H15" s="27">
        <v>6.696</v>
      </c>
      <c r="I15" s="25"/>
    </row>
    <row r="16">
      <c r="A16" s="657">
        <v>5.0</v>
      </c>
      <c r="B16" s="27">
        <v>9.0</v>
      </c>
      <c r="C16" s="650" t="s">
        <v>111</v>
      </c>
      <c r="D16" s="650" t="s">
        <v>54</v>
      </c>
      <c r="E16" s="648" t="s">
        <v>442</v>
      </c>
      <c r="F16" s="651">
        <v>22.0</v>
      </c>
      <c r="H16" s="650"/>
      <c r="I16" s="650"/>
    </row>
    <row r="17">
      <c r="A17" s="657">
        <v>6.0</v>
      </c>
      <c r="B17" s="27">
        <v>7.0</v>
      </c>
      <c r="C17" s="650" t="s">
        <v>111</v>
      </c>
      <c r="D17" s="650" t="s">
        <v>105</v>
      </c>
      <c r="E17" s="648" t="s">
        <v>442</v>
      </c>
      <c r="F17" s="651">
        <v>22.0</v>
      </c>
      <c r="G17" s="648"/>
      <c r="H17" s="650"/>
      <c r="I17" s="650"/>
    </row>
    <row r="18">
      <c r="A18" s="657">
        <v>7.0</v>
      </c>
      <c r="B18" s="27">
        <v>7.0</v>
      </c>
      <c r="C18" s="650" t="s">
        <v>111</v>
      </c>
      <c r="D18" s="650" t="s">
        <v>150</v>
      </c>
      <c r="E18" s="648" t="s">
        <v>442</v>
      </c>
      <c r="F18" s="651">
        <v>22.0</v>
      </c>
      <c r="G18" s="662"/>
      <c r="H18" s="650"/>
      <c r="I18" s="650"/>
    </row>
    <row r="19">
      <c r="A19" s="657">
        <v>10.0</v>
      </c>
      <c r="B19" s="27">
        <v>9.0</v>
      </c>
      <c r="C19" s="650" t="s">
        <v>111</v>
      </c>
      <c r="D19" s="650" t="s">
        <v>76</v>
      </c>
      <c r="E19" s="648" t="s">
        <v>442</v>
      </c>
      <c r="F19" s="651">
        <v>22.0</v>
      </c>
      <c r="G19" s="663"/>
      <c r="H19" s="664"/>
      <c r="I19" s="656"/>
    </row>
    <row r="20">
      <c r="A20" s="657">
        <v>14.0</v>
      </c>
      <c r="B20" s="27">
        <v>4.0</v>
      </c>
      <c r="C20" s="650" t="s">
        <v>111</v>
      </c>
      <c r="D20" s="665" t="s">
        <v>114</v>
      </c>
      <c r="E20" s="648" t="s">
        <v>442</v>
      </c>
      <c r="F20" s="651">
        <v>22.0</v>
      </c>
      <c r="G20" s="648"/>
      <c r="H20" s="650"/>
      <c r="I20" s="650"/>
    </row>
    <row r="21">
      <c r="A21" s="643">
        <v>10.0</v>
      </c>
      <c r="B21" s="644">
        <v>12.0</v>
      </c>
      <c r="C21" s="645" t="s">
        <v>70</v>
      </c>
      <c r="D21" s="645" t="s">
        <v>84</v>
      </c>
      <c r="E21" s="646" t="s">
        <v>449</v>
      </c>
      <c r="F21" s="647">
        <v>21.0</v>
      </c>
      <c r="G21" s="648">
        <v>6.98</v>
      </c>
      <c r="H21" s="650">
        <v>4.534</v>
      </c>
      <c r="I21" s="650"/>
    </row>
    <row r="22">
      <c r="A22" s="657">
        <v>12.0</v>
      </c>
      <c r="B22" s="27">
        <v>11.0</v>
      </c>
      <c r="C22" s="650" t="s">
        <v>70</v>
      </c>
      <c r="D22" s="650" t="s">
        <v>131</v>
      </c>
      <c r="E22" s="648" t="s">
        <v>449</v>
      </c>
      <c r="F22" s="651">
        <v>21.0</v>
      </c>
      <c r="G22" s="662"/>
      <c r="H22" s="650"/>
      <c r="I22" s="650"/>
    </row>
    <row r="23">
      <c r="A23" s="658">
        <v>15.0</v>
      </c>
      <c r="B23" s="155">
        <v>12.0</v>
      </c>
      <c r="C23" s="659" t="s">
        <v>70</v>
      </c>
      <c r="D23" s="659" t="s">
        <v>163</v>
      </c>
      <c r="E23" s="660" t="s">
        <v>449</v>
      </c>
      <c r="F23" s="661">
        <v>21.0</v>
      </c>
      <c r="G23" s="663"/>
      <c r="H23" s="664"/>
      <c r="I23" s="656"/>
    </row>
    <row r="24">
      <c r="A24" s="643">
        <v>2.0</v>
      </c>
      <c r="B24" s="644">
        <v>19.0</v>
      </c>
      <c r="C24" s="645" t="s">
        <v>45</v>
      </c>
      <c r="D24" s="645" t="s">
        <v>27</v>
      </c>
      <c r="E24" s="646" t="s">
        <v>445</v>
      </c>
      <c r="F24" s="647">
        <v>17.0</v>
      </c>
      <c r="G24" s="648">
        <v>5.65</v>
      </c>
      <c r="H24" s="27">
        <v>6.455</v>
      </c>
      <c r="I24" s="656"/>
    </row>
    <row r="25">
      <c r="A25" s="658">
        <v>15.0</v>
      </c>
      <c r="B25" s="155">
        <v>14.0</v>
      </c>
      <c r="C25" s="659" t="s">
        <v>45</v>
      </c>
      <c r="D25" s="666" t="s">
        <v>114</v>
      </c>
      <c r="E25" s="660" t="s">
        <v>445</v>
      </c>
      <c r="F25" s="661">
        <v>17.0</v>
      </c>
      <c r="G25" s="648"/>
      <c r="H25" s="650"/>
      <c r="I25" s="650"/>
    </row>
    <row r="26">
      <c r="A26" s="657">
        <v>3.0</v>
      </c>
      <c r="B26" s="27">
        <v>19.0</v>
      </c>
      <c r="C26" s="650" t="s">
        <v>27</v>
      </c>
      <c r="D26" s="650" t="s">
        <v>48</v>
      </c>
      <c r="E26" s="667" t="s">
        <v>453</v>
      </c>
      <c r="F26" s="651">
        <v>12.0</v>
      </c>
      <c r="G26" s="648">
        <v>3.99</v>
      </c>
      <c r="H26" s="650">
        <v>2.602</v>
      </c>
      <c r="I26" s="650"/>
    </row>
    <row r="27">
      <c r="A27" s="657">
        <v>6.0</v>
      </c>
      <c r="B27" s="27">
        <v>18.0</v>
      </c>
      <c r="C27" s="650" t="s">
        <v>27</v>
      </c>
      <c r="D27" s="650" t="s">
        <v>100</v>
      </c>
      <c r="E27" s="667" t="s">
        <v>453</v>
      </c>
      <c r="F27" s="651">
        <v>12.0</v>
      </c>
      <c r="G27" s="662"/>
      <c r="H27" s="650"/>
      <c r="I27" s="650"/>
    </row>
    <row r="28">
      <c r="A28" s="657">
        <v>14.0</v>
      </c>
      <c r="B28" s="27">
        <v>18.0</v>
      </c>
      <c r="C28" s="650" t="s">
        <v>27</v>
      </c>
      <c r="D28" s="650" t="s">
        <v>102</v>
      </c>
      <c r="E28" s="667" t="s">
        <v>453</v>
      </c>
      <c r="F28" s="651">
        <v>12.0</v>
      </c>
      <c r="G28" s="25"/>
      <c r="H28" s="25"/>
      <c r="I28" s="656"/>
    </row>
    <row r="29">
      <c r="A29" s="643">
        <v>12.0</v>
      </c>
      <c r="B29" s="644">
        <v>17.0</v>
      </c>
      <c r="C29" s="645" t="s">
        <v>23</v>
      </c>
      <c r="D29" s="645" t="s">
        <v>54</v>
      </c>
      <c r="E29" s="646" t="s">
        <v>456</v>
      </c>
      <c r="F29" s="647">
        <v>10.0</v>
      </c>
      <c r="G29" s="27">
        <v>3.32</v>
      </c>
      <c r="H29" s="27">
        <v>2.297</v>
      </c>
      <c r="I29" s="656"/>
    </row>
    <row r="30">
      <c r="A30" s="658">
        <v>15.0</v>
      </c>
      <c r="B30" s="155">
        <v>19.0</v>
      </c>
      <c r="C30" s="659" t="s">
        <v>23</v>
      </c>
      <c r="D30" s="659" t="s">
        <v>27</v>
      </c>
      <c r="E30" s="660" t="s">
        <v>456</v>
      </c>
      <c r="F30" s="661">
        <v>10.0</v>
      </c>
      <c r="G30" s="25"/>
      <c r="H30" s="25"/>
      <c r="I30" s="650"/>
    </row>
    <row r="31">
      <c r="A31" s="657">
        <v>3.0</v>
      </c>
      <c r="B31" s="668">
        <v>14.0</v>
      </c>
      <c r="C31" s="650" t="s">
        <v>131</v>
      </c>
      <c r="D31" s="650" t="s">
        <v>102</v>
      </c>
      <c r="E31" s="648" t="s">
        <v>450</v>
      </c>
      <c r="F31" s="651">
        <v>9.0</v>
      </c>
      <c r="G31" s="648">
        <v>2.99</v>
      </c>
      <c r="H31" s="650">
        <v>3.526</v>
      </c>
      <c r="I31" s="650"/>
    </row>
    <row r="32">
      <c r="A32" s="657">
        <v>4.0</v>
      </c>
      <c r="B32" s="668">
        <v>14.0</v>
      </c>
      <c r="C32" s="650" t="s">
        <v>131</v>
      </c>
      <c r="D32" s="650" t="s">
        <v>62</v>
      </c>
      <c r="E32" s="648" t="s">
        <v>450</v>
      </c>
      <c r="F32" s="651">
        <v>9.0</v>
      </c>
      <c r="G32" s="648"/>
      <c r="H32" s="650"/>
      <c r="I32" s="25"/>
    </row>
    <row r="33">
      <c r="A33" s="657">
        <v>14.0</v>
      </c>
      <c r="B33" s="668">
        <v>16.0</v>
      </c>
      <c r="C33" s="650" t="s">
        <v>131</v>
      </c>
      <c r="D33" s="650" t="s">
        <v>48</v>
      </c>
      <c r="E33" s="648" t="s">
        <v>450</v>
      </c>
      <c r="F33" s="651">
        <v>9.0</v>
      </c>
      <c r="G33" s="648"/>
      <c r="H33" s="650"/>
      <c r="I33" s="650"/>
    </row>
    <row r="34">
      <c r="A34" s="653">
        <v>2.0</v>
      </c>
      <c r="B34" s="27">
        <v>18.0</v>
      </c>
      <c r="C34" s="669" t="s">
        <v>32</v>
      </c>
      <c r="D34" s="668" t="s">
        <v>81</v>
      </c>
      <c r="E34" s="648" t="s">
        <v>451</v>
      </c>
      <c r="F34" s="651">
        <v>9.0</v>
      </c>
      <c r="G34" s="648">
        <v>2.99</v>
      </c>
      <c r="H34" s="27">
        <v>2.893</v>
      </c>
      <c r="I34" s="656"/>
    </row>
    <row r="35">
      <c r="A35" s="653">
        <v>2.0</v>
      </c>
      <c r="B35" s="27">
        <v>20.0</v>
      </c>
      <c r="C35" s="669" t="s">
        <v>15</v>
      </c>
      <c r="D35" s="668" t="s">
        <v>40</v>
      </c>
      <c r="E35" s="648" t="s">
        <v>451</v>
      </c>
      <c r="F35" s="651">
        <v>9.0</v>
      </c>
      <c r="G35" s="648"/>
      <c r="H35" s="27"/>
      <c r="I35" s="656"/>
    </row>
    <row r="36">
      <c r="A36" s="657">
        <v>4.0</v>
      </c>
      <c r="B36" s="27">
        <v>7.0</v>
      </c>
      <c r="C36" s="650" t="s">
        <v>65</v>
      </c>
      <c r="D36" s="650" t="s">
        <v>114</v>
      </c>
      <c r="E36" s="648" t="s">
        <v>452</v>
      </c>
      <c r="F36" s="651">
        <v>9.0</v>
      </c>
      <c r="G36" s="648">
        <v>2.99</v>
      </c>
      <c r="H36" s="27">
        <v>2.656</v>
      </c>
      <c r="I36" s="25"/>
    </row>
    <row r="37">
      <c r="A37" s="657">
        <v>5.0</v>
      </c>
      <c r="B37" s="27">
        <v>8.0</v>
      </c>
      <c r="C37" s="650" t="s">
        <v>65</v>
      </c>
      <c r="D37" s="650" t="s">
        <v>72</v>
      </c>
      <c r="E37" s="648" t="s">
        <v>452</v>
      </c>
      <c r="F37" s="651">
        <v>9.0</v>
      </c>
      <c r="I37" s="650"/>
    </row>
    <row r="38">
      <c r="A38" s="657">
        <v>7.0</v>
      </c>
      <c r="B38" s="27">
        <v>6.0</v>
      </c>
      <c r="C38" s="650" t="s">
        <v>65</v>
      </c>
      <c r="D38" s="650" t="s">
        <v>90</v>
      </c>
      <c r="E38" s="648" t="s">
        <v>452</v>
      </c>
      <c r="F38" s="651">
        <v>9.0</v>
      </c>
      <c r="G38" s="648"/>
      <c r="H38" s="27"/>
      <c r="I38" s="650"/>
    </row>
    <row r="39">
      <c r="A39" s="657">
        <v>3.0</v>
      </c>
      <c r="B39" s="27">
        <v>11.0</v>
      </c>
      <c r="C39" s="650" t="s">
        <v>138</v>
      </c>
      <c r="D39" s="650" t="s">
        <v>79</v>
      </c>
      <c r="E39" s="648" t="s">
        <v>455</v>
      </c>
      <c r="F39" s="651">
        <v>9.0</v>
      </c>
      <c r="G39" s="648">
        <v>2.99</v>
      </c>
      <c r="H39" s="167">
        <v>2.447</v>
      </c>
      <c r="I39" s="656"/>
    </row>
    <row r="40">
      <c r="A40" s="657">
        <v>13.0</v>
      </c>
      <c r="B40" s="27">
        <v>13.0</v>
      </c>
      <c r="C40" s="650" t="s">
        <v>138</v>
      </c>
      <c r="D40" s="650" t="s">
        <v>92</v>
      </c>
      <c r="E40" s="648" t="s">
        <v>455</v>
      </c>
      <c r="F40" s="651">
        <v>9.0</v>
      </c>
      <c r="G40" s="648"/>
      <c r="H40" s="167"/>
      <c r="I40" s="650"/>
    </row>
    <row r="41">
      <c r="A41" s="657">
        <v>8.0</v>
      </c>
      <c r="B41" s="27">
        <v>4.0</v>
      </c>
      <c r="C41" s="650" t="s">
        <v>125</v>
      </c>
      <c r="D41" s="650" t="s">
        <v>153</v>
      </c>
      <c r="E41" s="648" t="s">
        <v>462</v>
      </c>
      <c r="F41" s="670">
        <v>4.0</v>
      </c>
      <c r="G41" s="656">
        <v>1.33</v>
      </c>
      <c r="H41" s="167">
        <v>0.88</v>
      </c>
      <c r="I41" s="656"/>
    </row>
    <row r="42">
      <c r="A42" s="657">
        <v>4.0</v>
      </c>
      <c r="B42" s="27">
        <v>5.0</v>
      </c>
      <c r="C42" s="650" t="s">
        <v>90</v>
      </c>
      <c r="D42" s="650" t="s">
        <v>153</v>
      </c>
      <c r="E42" s="648" t="s">
        <v>457</v>
      </c>
      <c r="F42" s="651">
        <v>3.0</v>
      </c>
      <c r="G42" s="27">
        <v>1.0</v>
      </c>
      <c r="H42" s="27">
        <v>1.689</v>
      </c>
      <c r="I42" s="656"/>
    </row>
    <row r="43">
      <c r="A43" s="657">
        <v>14.0</v>
      </c>
      <c r="B43" s="27">
        <v>1.0</v>
      </c>
      <c r="C43" s="650" t="s">
        <v>159</v>
      </c>
      <c r="D43" s="668" t="s">
        <v>153</v>
      </c>
      <c r="E43" s="648" t="s">
        <v>458</v>
      </c>
      <c r="F43" s="651">
        <v>3.0</v>
      </c>
      <c r="G43" s="648"/>
      <c r="H43" s="27">
        <v>1.498</v>
      </c>
      <c r="I43" s="650"/>
    </row>
    <row r="44">
      <c r="A44" s="657">
        <v>12.0</v>
      </c>
      <c r="B44" s="27">
        <v>15.0</v>
      </c>
      <c r="C44" s="650" t="s">
        <v>102</v>
      </c>
      <c r="D44" s="650" t="s">
        <v>40</v>
      </c>
      <c r="E44" s="648" t="s">
        <v>447</v>
      </c>
      <c r="F44" s="651">
        <v>2.0</v>
      </c>
      <c r="G44" s="648">
        <v>0.66</v>
      </c>
      <c r="H44" s="27">
        <v>5.61</v>
      </c>
      <c r="I44" s="25"/>
    </row>
    <row r="45">
      <c r="A45" s="657">
        <v>9.0</v>
      </c>
      <c r="B45" s="27">
        <v>10.0</v>
      </c>
      <c r="C45" s="650" t="s">
        <v>79</v>
      </c>
      <c r="D45" s="650" t="s">
        <v>76</v>
      </c>
      <c r="E45" s="648" t="s">
        <v>472</v>
      </c>
      <c r="F45" s="670">
        <v>2.0</v>
      </c>
      <c r="G45" s="648"/>
      <c r="H45" s="650">
        <v>0.381</v>
      </c>
      <c r="I45" s="650"/>
    </row>
    <row r="46">
      <c r="A46" s="657">
        <v>2.0</v>
      </c>
      <c r="B46" s="27">
        <v>21.0</v>
      </c>
      <c r="C46" s="650" t="s">
        <v>57</v>
      </c>
      <c r="D46" s="650" t="s">
        <v>19</v>
      </c>
      <c r="E46" s="648" t="s">
        <v>474</v>
      </c>
      <c r="F46" s="670">
        <v>2.0</v>
      </c>
      <c r="G46" s="648"/>
      <c r="H46" s="27">
        <v>0.338</v>
      </c>
      <c r="I46" s="650"/>
    </row>
    <row r="47">
      <c r="A47" s="657">
        <v>14.0</v>
      </c>
      <c r="B47" s="27">
        <v>12.0</v>
      </c>
      <c r="C47" s="650" t="s">
        <v>76</v>
      </c>
      <c r="D47" s="650" t="s">
        <v>45</v>
      </c>
      <c r="E47" s="648" t="s">
        <v>483</v>
      </c>
      <c r="F47" s="670">
        <v>2.0</v>
      </c>
      <c r="G47" s="648"/>
      <c r="H47" s="650">
        <v>0.217</v>
      </c>
      <c r="I47" s="656"/>
    </row>
    <row r="48">
      <c r="A48" s="657">
        <v>11.0</v>
      </c>
      <c r="B48" s="27">
        <v>6.0</v>
      </c>
      <c r="C48" s="650" t="s">
        <v>122</v>
      </c>
      <c r="D48" s="650" t="s">
        <v>105</v>
      </c>
      <c r="E48" s="648" t="s">
        <v>502</v>
      </c>
      <c r="F48" s="670">
        <v>2.0</v>
      </c>
      <c r="G48" s="648"/>
      <c r="H48" s="650">
        <v>0.084</v>
      </c>
      <c r="I48" s="648"/>
    </row>
    <row r="49">
      <c r="A49" s="657">
        <v>15.0</v>
      </c>
      <c r="B49" s="27">
        <v>4.0</v>
      </c>
      <c r="C49" s="650" t="s">
        <v>153</v>
      </c>
      <c r="D49" s="650" t="s">
        <v>105</v>
      </c>
      <c r="E49" s="648" t="s">
        <v>454</v>
      </c>
      <c r="F49" s="651">
        <v>1.0</v>
      </c>
      <c r="G49" s="648">
        <v>0.33</v>
      </c>
      <c r="H49" s="650">
        <v>2.472</v>
      </c>
      <c r="I49" s="650"/>
    </row>
    <row r="50">
      <c r="A50" s="657">
        <v>7.0</v>
      </c>
      <c r="B50" s="27">
        <v>13.0</v>
      </c>
      <c r="C50" s="650" t="s">
        <v>88</v>
      </c>
      <c r="D50" s="648" t="s">
        <v>138</v>
      </c>
      <c r="E50" s="648" t="s">
        <v>468</v>
      </c>
      <c r="F50" s="670">
        <v>1.0</v>
      </c>
      <c r="G50" s="648"/>
      <c r="H50" s="650">
        <v>0.468</v>
      </c>
      <c r="I50" s="650"/>
    </row>
    <row r="51">
      <c r="A51" s="657">
        <v>8.0</v>
      </c>
      <c r="B51" s="27">
        <v>10.0</v>
      </c>
      <c r="C51" s="650" t="s">
        <v>72</v>
      </c>
      <c r="D51" s="650" t="s">
        <v>59</v>
      </c>
      <c r="E51" s="648" t="s">
        <v>470</v>
      </c>
      <c r="F51" s="670">
        <v>1.0</v>
      </c>
      <c r="G51" s="648"/>
      <c r="H51" s="650">
        <v>0.466</v>
      </c>
      <c r="I51" s="650"/>
    </row>
    <row r="52">
      <c r="A52" s="657">
        <v>3.0</v>
      </c>
      <c r="B52" s="27">
        <v>8.0</v>
      </c>
      <c r="C52" s="648" t="s">
        <v>125</v>
      </c>
      <c r="D52" s="650" t="s">
        <v>238</v>
      </c>
      <c r="E52" s="648" t="s">
        <v>476</v>
      </c>
      <c r="F52" s="671">
        <v>1.0</v>
      </c>
      <c r="G52" s="648"/>
      <c r="H52" s="650">
        <v>0.321</v>
      </c>
      <c r="I52" s="650"/>
    </row>
    <row r="53">
      <c r="A53" s="657">
        <v>8.0</v>
      </c>
      <c r="B53" s="27">
        <v>19.0</v>
      </c>
      <c r="C53" s="650" t="s">
        <v>15</v>
      </c>
      <c r="D53" s="650" t="s">
        <v>131</v>
      </c>
      <c r="E53" s="648" t="s">
        <v>480</v>
      </c>
      <c r="F53" s="670">
        <v>1.0</v>
      </c>
      <c r="G53" s="648"/>
      <c r="H53" s="650">
        <v>0.257</v>
      </c>
      <c r="I53" s="652"/>
    </row>
    <row r="54">
      <c r="A54" s="657">
        <v>10.0</v>
      </c>
      <c r="B54" s="27">
        <v>6.0</v>
      </c>
      <c r="C54" s="648" t="s">
        <v>65</v>
      </c>
      <c r="D54" s="665" t="s">
        <v>159</v>
      </c>
      <c r="E54" s="648" t="s">
        <v>497</v>
      </c>
      <c r="F54" s="671">
        <v>1.0</v>
      </c>
      <c r="G54" s="648"/>
      <c r="H54" s="27">
        <v>0.113</v>
      </c>
      <c r="I54" s="650"/>
    </row>
    <row r="55">
      <c r="A55" s="657">
        <v>12.0</v>
      </c>
      <c r="B55" s="27">
        <v>16.0</v>
      </c>
      <c r="C55" s="648" t="s">
        <v>57</v>
      </c>
      <c r="D55" s="648" t="s">
        <v>100</v>
      </c>
      <c r="E55" s="648" t="s">
        <v>500</v>
      </c>
      <c r="F55" s="671">
        <v>1.0</v>
      </c>
      <c r="G55" s="648"/>
      <c r="H55" s="650">
        <v>0.084</v>
      </c>
      <c r="I55" s="665"/>
    </row>
    <row r="56">
      <c r="A56" s="658">
        <v>11.0</v>
      </c>
      <c r="B56" s="155">
        <v>8.0</v>
      </c>
      <c r="C56" s="659" t="s">
        <v>76</v>
      </c>
      <c r="D56" s="659" t="s">
        <v>153</v>
      </c>
      <c r="E56" s="660" t="s">
        <v>524</v>
      </c>
      <c r="F56" s="672">
        <v>1.0</v>
      </c>
      <c r="G56" s="648"/>
      <c r="H56" s="650">
        <v>0.028</v>
      </c>
      <c r="I56" s="650"/>
    </row>
    <row r="58">
      <c r="C58" s="23" t="s">
        <v>226</v>
      </c>
      <c r="D58" s="23" t="s">
        <v>871</v>
      </c>
    </row>
    <row r="59">
      <c r="A59" s="656">
        <v>2.0</v>
      </c>
      <c r="B59" s="27">
        <v>14.0</v>
      </c>
      <c r="C59" s="27" t="s">
        <v>183</v>
      </c>
      <c r="D59" s="167" t="s">
        <v>96</v>
      </c>
      <c r="E59" s="668" t="s">
        <v>872</v>
      </c>
      <c r="F59" s="27">
        <v>1.0</v>
      </c>
      <c r="G59" s="25"/>
      <c r="H59" s="25"/>
      <c r="I59" s="656"/>
    </row>
    <row r="60">
      <c r="A60" s="656">
        <v>3.0</v>
      </c>
      <c r="B60" s="27">
        <v>9.0</v>
      </c>
      <c r="C60" s="673" t="s">
        <v>107</v>
      </c>
      <c r="D60" s="167" t="s">
        <v>386</v>
      </c>
      <c r="E60" s="656" t="s">
        <v>873</v>
      </c>
      <c r="F60" s="27">
        <v>1.0</v>
      </c>
      <c r="G60" s="25"/>
      <c r="H60" s="25"/>
      <c r="I60" s="656"/>
    </row>
    <row r="61">
      <c r="A61" s="656">
        <v>4.0</v>
      </c>
      <c r="B61" s="27">
        <v>3.0</v>
      </c>
      <c r="C61" s="27" t="s">
        <v>874</v>
      </c>
      <c r="D61" s="167" t="s">
        <v>875</v>
      </c>
      <c r="E61" s="668" t="s">
        <v>876</v>
      </c>
      <c r="F61" s="27">
        <v>1.0</v>
      </c>
      <c r="G61" s="25"/>
      <c r="H61" s="25"/>
      <c r="I61" s="656"/>
    </row>
    <row r="62">
      <c r="A62" s="656">
        <v>14.0</v>
      </c>
      <c r="B62" s="27">
        <v>7.0</v>
      </c>
      <c r="C62" s="27" t="s">
        <v>128</v>
      </c>
      <c r="D62" s="167" t="s">
        <v>874</v>
      </c>
      <c r="E62" s="668" t="s">
        <v>877</v>
      </c>
      <c r="F62" s="27">
        <v>1.0</v>
      </c>
      <c r="G62" s="25"/>
      <c r="H62" s="25"/>
      <c r="I62" s="656"/>
    </row>
    <row r="67">
      <c r="A67" s="674">
        <v>1.0</v>
      </c>
      <c r="B67" s="675">
        <v>8.0</v>
      </c>
      <c r="C67" s="676" t="s">
        <v>111</v>
      </c>
      <c r="D67" s="676" t="s">
        <v>238</v>
      </c>
      <c r="E67" s="677" t="s">
        <v>442</v>
      </c>
      <c r="F67" s="678">
        <v>22.0</v>
      </c>
      <c r="G67" s="655"/>
      <c r="H67" s="225"/>
      <c r="I67" s="656"/>
    </row>
    <row r="68">
      <c r="A68" s="643">
        <v>2.0</v>
      </c>
      <c r="B68" s="644">
        <v>5.0</v>
      </c>
      <c r="C68" s="645" t="s">
        <v>114</v>
      </c>
      <c r="D68" s="645" t="s">
        <v>119</v>
      </c>
      <c r="E68" s="646" t="s">
        <v>435</v>
      </c>
      <c r="F68" s="647">
        <v>79.0</v>
      </c>
      <c r="G68" s="25"/>
      <c r="H68" s="25"/>
      <c r="I68" s="656"/>
    </row>
    <row r="69">
      <c r="A69" s="653">
        <v>2.0</v>
      </c>
      <c r="B69" s="27">
        <v>18.0</v>
      </c>
      <c r="C69" s="669" t="s">
        <v>32</v>
      </c>
      <c r="D69" s="668" t="s">
        <v>81</v>
      </c>
      <c r="E69" s="648" t="s">
        <v>451</v>
      </c>
      <c r="F69" s="651"/>
      <c r="G69" s="25"/>
      <c r="H69" s="25"/>
      <c r="I69" s="656"/>
    </row>
    <row r="70">
      <c r="A70" s="657">
        <v>2.0</v>
      </c>
      <c r="B70" s="27">
        <v>19.0</v>
      </c>
      <c r="C70" s="650" t="s">
        <v>45</v>
      </c>
      <c r="D70" s="650" t="s">
        <v>27</v>
      </c>
      <c r="E70" s="648" t="s">
        <v>445</v>
      </c>
      <c r="F70" s="651">
        <v>17.0</v>
      </c>
      <c r="G70" s="25"/>
      <c r="H70" s="25"/>
      <c r="I70" s="656"/>
    </row>
    <row r="71">
      <c r="A71" s="653">
        <v>2.0</v>
      </c>
      <c r="B71" s="27">
        <v>20.0</v>
      </c>
      <c r="C71" s="669" t="s">
        <v>15</v>
      </c>
      <c r="D71" s="668" t="s">
        <v>40</v>
      </c>
      <c r="E71" s="648" t="s">
        <v>451</v>
      </c>
      <c r="F71" s="651">
        <v>9.0</v>
      </c>
      <c r="G71" s="25"/>
      <c r="H71" s="25"/>
      <c r="I71" s="656"/>
    </row>
    <row r="72">
      <c r="A72" s="658">
        <v>2.0</v>
      </c>
      <c r="B72" s="155">
        <v>21.0</v>
      </c>
      <c r="C72" s="659" t="s">
        <v>57</v>
      </c>
      <c r="D72" s="659" t="s">
        <v>19</v>
      </c>
      <c r="E72" s="660" t="s">
        <v>474</v>
      </c>
      <c r="F72" s="672">
        <v>2.0</v>
      </c>
      <c r="G72" s="655"/>
      <c r="H72" s="225"/>
      <c r="I72" s="656"/>
    </row>
    <row r="73">
      <c r="A73" s="657">
        <v>3.0</v>
      </c>
      <c r="B73" s="27">
        <v>8.0</v>
      </c>
      <c r="C73" s="648" t="s">
        <v>125</v>
      </c>
      <c r="D73" s="650" t="s">
        <v>238</v>
      </c>
      <c r="E73" s="648" t="s">
        <v>476</v>
      </c>
      <c r="F73" s="671">
        <v>1.0</v>
      </c>
      <c r="G73" s="655"/>
      <c r="H73" s="225"/>
      <c r="I73" s="656"/>
    </row>
    <row r="74">
      <c r="A74" s="657">
        <v>3.0</v>
      </c>
      <c r="B74" s="27">
        <v>11.0</v>
      </c>
      <c r="C74" s="650" t="s">
        <v>138</v>
      </c>
      <c r="D74" s="650" t="s">
        <v>79</v>
      </c>
      <c r="E74" s="648" t="s">
        <v>455</v>
      </c>
      <c r="F74" s="651">
        <v>9.0</v>
      </c>
      <c r="G74" s="655"/>
      <c r="H74" s="225"/>
    </row>
    <row r="75">
      <c r="A75" s="657">
        <v>3.0</v>
      </c>
      <c r="B75" s="668">
        <v>14.0</v>
      </c>
      <c r="C75" s="650" t="s">
        <v>131</v>
      </c>
      <c r="D75" s="650" t="s">
        <v>102</v>
      </c>
      <c r="E75" s="648" t="s">
        <v>450</v>
      </c>
      <c r="F75" s="651">
        <v>9.0</v>
      </c>
      <c r="G75" s="225"/>
      <c r="H75" s="225"/>
    </row>
    <row r="76">
      <c r="A76" s="657">
        <v>3.0</v>
      </c>
      <c r="B76" s="27">
        <v>19.0</v>
      </c>
      <c r="C76" s="650" t="s">
        <v>27</v>
      </c>
      <c r="D76" s="650" t="s">
        <v>48</v>
      </c>
      <c r="E76" s="667" t="s">
        <v>453</v>
      </c>
      <c r="F76" s="651">
        <v>12.0</v>
      </c>
      <c r="G76" s="225"/>
      <c r="H76" s="225"/>
    </row>
    <row r="77">
      <c r="A77" s="643">
        <v>4.0</v>
      </c>
      <c r="B77" s="644">
        <v>5.0</v>
      </c>
      <c r="C77" s="645" t="s">
        <v>90</v>
      </c>
      <c r="D77" s="645" t="s">
        <v>153</v>
      </c>
      <c r="E77" s="646" t="s">
        <v>457</v>
      </c>
      <c r="F77" s="647">
        <v>3.0</v>
      </c>
      <c r="G77" s="225"/>
      <c r="H77" s="225"/>
    </row>
    <row r="78">
      <c r="A78" s="657">
        <v>4.0</v>
      </c>
      <c r="B78" s="27">
        <v>7.0</v>
      </c>
      <c r="C78" s="650" t="s">
        <v>65</v>
      </c>
      <c r="D78" s="650" t="s">
        <v>114</v>
      </c>
      <c r="E78" s="648" t="s">
        <v>452</v>
      </c>
      <c r="F78" s="651">
        <v>9.0</v>
      </c>
      <c r="G78" s="225"/>
      <c r="H78" s="225"/>
    </row>
    <row r="79">
      <c r="A79" s="657">
        <v>4.0</v>
      </c>
      <c r="B79" s="668">
        <v>14.0</v>
      </c>
      <c r="C79" s="650" t="s">
        <v>131</v>
      </c>
      <c r="D79" s="650" t="s">
        <v>62</v>
      </c>
      <c r="E79" s="648" t="s">
        <v>450</v>
      </c>
      <c r="F79" s="651">
        <v>9.0</v>
      </c>
      <c r="G79" s="225"/>
      <c r="H79" s="225"/>
    </row>
    <row r="80">
      <c r="A80" s="658">
        <v>4.0</v>
      </c>
      <c r="B80" s="155">
        <v>19.0</v>
      </c>
      <c r="C80" s="659" t="s">
        <v>40</v>
      </c>
      <c r="D80" s="659" t="s">
        <v>27</v>
      </c>
      <c r="E80" s="660" t="s">
        <v>439</v>
      </c>
      <c r="F80" s="661">
        <v>77.0</v>
      </c>
      <c r="G80" s="225"/>
      <c r="H80" s="225"/>
    </row>
    <row r="81">
      <c r="A81" s="649">
        <v>5.0</v>
      </c>
      <c r="B81" s="27">
        <v>6.0</v>
      </c>
      <c r="C81" s="650" t="s">
        <v>114</v>
      </c>
      <c r="D81" s="650" t="s">
        <v>125</v>
      </c>
      <c r="E81" s="648" t="s">
        <v>435</v>
      </c>
      <c r="F81" s="651"/>
      <c r="G81" s="225"/>
      <c r="H81" s="225"/>
    </row>
    <row r="82">
      <c r="A82" s="657">
        <v>5.0</v>
      </c>
      <c r="B82" s="27">
        <v>8.0</v>
      </c>
      <c r="C82" s="650" t="s">
        <v>65</v>
      </c>
      <c r="D82" s="650" t="s">
        <v>72</v>
      </c>
      <c r="E82" s="648" t="s">
        <v>452</v>
      </c>
      <c r="F82" s="651"/>
      <c r="G82" s="225"/>
      <c r="H82" s="225"/>
    </row>
    <row r="83">
      <c r="A83" s="657">
        <v>5.0</v>
      </c>
      <c r="B83" s="27">
        <v>9.0</v>
      </c>
      <c r="C83" s="650" t="s">
        <v>111</v>
      </c>
      <c r="D83" s="650" t="s">
        <v>54</v>
      </c>
      <c r="E83" s="648" t="s">
        <v>442</v>
      </c>
      <c r="F83" s="651"/>
      <c r="G83" s="225"/>
      <c r="H83" s="225"/>
    </row>
    <row r="84">
      <c r="A84" s="657">
        <v>5.0</v>
      </c>
      <c r="B84" s="27">
        <v>16.0</v>
      </c>
      <c r="C84" s="650" t="s">
        <v>40</v>
      </c>
      <c r="D84" s="650" t="s">
        <v>57</v>
      </c>
      <c r="E84" s="648" t="s">
        <v>439</v>
      </c>
      <c r="F84" s="651"/>
      <c r="G84" s="225"/>
      <c r="H84" s="225"/>
    </row>
    <row r="85">
      <c r="A85" s="679">
        <v>6.0</v>
      </c>
      <c r="B85" s="644">
        <v>4.0</v>
      </c>
      <c r="C85" s="645" t="s">
        <v>114</v>
      </c>
      <c r="D85" s="645" t="s">
        <v>169</v>
      </c>
      <c r="E85" s="646" t="s">
        <v>435</v>
      </c>
      <c r="F85" s="647"/>
      <c r="G85" s="225"/>
      <c r="H85" s="225"/>
    </row>
    <row r="86">
      <c r="A86" s="657">
        <v>6.0</v>
      </c>
      <c r="B86" s="27">
        <v>7.0</v>
      </c>
      <c r="C86" s="650" t="s">
        <v>111</v>
      </c>
      <c r="D86" s="650" t="s">
        <v>105</v>
      </c>
      <c r="E86" s="648" t="s">
        <v>442</v>
      </c>
      <c r="F86" s="651"/>
      <c r="G86" s="225"/>
      <c r="H86" s="225"/>
    </row>
    <row r="87">
      <c r="A87" s="657">
        <v>6.0</v>
      </c>
      <c r="B87" s="27">
        <v>17.0</v>
      </c>
      <c r="C87" s="650" t="s">
        <v>40</v>
      </c>
      <c r="D87" s="650" t="s">
        <v>32</v>
      </c>
      <c r="E87" s="648" t="s">
        <v>439</v>
      </c>
      <c r="F87" s="651"/>
      <c r="G87" s="225"/>
      <c r="H87" s="225"/>
    </row>
    <row r="88">
      <c r="A88" s="658">
        <v>6.0</v>
      </c>
      <c r="B88" s="155">
        <v>18.0</v>
      </c>
      <c r="C88" s="659" t="s">
        <v>27</v>
      </c>
      <c r="D88" s="659" t="s">
        <v>100</v>
      </c>
      <c r="E88" s="680" t="s">
        <v>453</v>
      </c>
      <c r="F88" s="661"/>
      <c r="G88" s="225"/>
      <c r="H88" s="225"/>
      <c r="I88" s="421"/>
    </row>
    <row r="89">
      <c r="A89" s="657">
        <v>7.0</v>
      </c>
      <c r="B89" s="27">
        <v>6.0</v>
      </c>
      <c r="C89" s="650" t="s">
        <v>65</v>
      </c>
      <c r="D89" s="650" t="s">
        <v>90</v>
      </c>
      <c r="E89" s="648" t="s">
        <v>452</v>
      </c>
      <c r="F89" s="651"/>
      <c r="G89" s="225"/>
      <c r="H89" s="225"/>
      <c r="I89" s="421"/>
    </row>
    <row r="90">
      <c r="A90" s="657">
        <v>7.0</v>
      </c>
      <c r="B90" s="27">
        <v>7.0</v>
      </c>
      <c r="C90" s="650" t="s">
        <v>111</v>
      </c>
      <c r="D90" s="650" t="s">
        <v>150</v>
      </c>
      <c r="E90" s="648" t="s">
        <v>442</v>
      </c>
      <c r="F90" s="651"/>
      <c r="G90" s="225"/>
      <c r="H90" s="225"/>
      <c r="I90" s="421"/>
    </row>
    <row r="91">
      <c r="A91" s="657">
        <v>7.0</v>
      </c>
      <c r="B91" s="27">
        <v>13.0</v>
      </c>
      <c r="C91" s="650" t="s">
        <v>88</v>
      </c>
      <c r="D91" s="648" t="s">
        <v>138</v>
      </c>
      <c r="E91" s="648" t="s">
        <v>468</v>
      </c>
      <c r="F91" s="670">
        <v>1.0</v>
      </c>
      <c r="G91" s="225"/>
      <c r="H91" s="225"/>
      <c r="I91" s="421"/>
    </row>
    <row r="92">
      <c r="A92" s="657">
        <v>7.0</v>
      </c>
      <c r="B92" s="27">
        <v>14.0</v>
      </c>
      <c r="C92" s="650" t="s">
        <v>40</v>
      </c>
      <c r="D92" s="650" t="s">
        <v>70</v>
      </c>
      <c r="E92" s="648" t="s">
        <v>439</v>
      </c>
      <c r="F92" s="651"/>
      <c r="I92" s="421"/>
    </row>
    <row r="93">
      <c r="A93" s="643">
        <v>8.0</v>
      </c>
      <c r="B93" s="644">
        <v>4.0</v>
      </c>
      <c r="C93" s="645" t="s">
        <v>125</v>
      </c>
      <c r="D93" s="645" t="s">
        <v>153</v>
      </c>
      <c r="E93" s="646" t="s">
        <v>462</v>
      </c>
      <c r="F93" s="681">
        <v>4.0</v>
      </c>
      <c r="G93" s="421"/>
      <c r="H93" s="421"/>
      <c r="I93" s="421"/>
    </row>
    <row r="94">
      <c r="A94" s="657">
        <v>8.0</v>
      </c>
      <c r="B94" s="27">
        <v>10.0</v>
      </c>
      <c r="C94" s="650" t="s">
        <v>72</v>
      </c>
      <c r="D94" s="650" t="s">
        <v>59</v>
      </c>
      <c r="E94" s="648" t="s">
        <v>470</v>
      </c>
      <c r="F94" s="670">
        <v>1.0</v>
      </c>
      <c r="G94" s="421"/>
      <c r="H94" s="421"/>
      <c r="I94" s="421"/>
    </row>
    <row r="95">
      <c r="A95" s="657">
        <v>8.0</v>
      </c>
      <c r="B95" s="27">
        <v>14.0</v>
      </c>
      <c r="C95" s="650" t="s">
        <v>40</v>
      </c>
      <c r="D95" s="650" t="s">
        <v>92</v>
      </c>
      <c r="E95" s="648" t="s">
        <v>439</v>
      </c>
      <c r="F95" s="651"/>
      <c r="I95" s="421"/>
    </row>
    <row r="96">
      <c r="A96" s="658">
        <v>8.0</v>
      </c>
      <c r="B96" s="155">
        <v>19.0</v>
      </c>
      <c r="C96" s="659" t="s">
        <v>15</v>
      </c>
      <c r="D96" s="659" t="s">
        <v>131</v>
      </c>
      <c r="E96" s="660" t="s">
        <v>480</v>
      </c>
      <c r="F96" s="672">
        <v>1.0</v>
      </c>
      <c r="G96" s="421"/>
      <c r="H96" s="421"/>
      <c r="I96" s="421"/>
    </row>
    <row r="97">
      <c r="A97" s="649">
        <v>9.0</v>
      </c>
      <c r="B97" s="27">
        <v>7.0</v>
      </c>
      <c r="C97" s="650" t="s">
        <v>114</v>
      </c>
      <c r="D97" s="650" t="s">
        <v>238</v>
      </c>
      <c r="E97" s="648" t="s">
        <v>435</v>
      </c>
      <c r="F97" s="682"/>
      <c r="G97" s="421"/>
      <c r="H97" s="421"/>
      <c r="I97" s="421"/>
    </row>
    <row r="98">
      <c r="A98" s="657">
        <v>9.0</v>
      </c>
      <c r="B98" s="27">
        <v>10.0</v>
      </c>
      <c r="C98" s="650" t="s">
        <v>79</v>
      </c>
      <c r="D98" s="650" t="s">
        <v>76</v>
      </c>
      <c r="E98" s="648" t="s">
        <v>472</v>
      </c>
      <c r="F98" s="670">
        <v>2.0</v>
      </c>
      <c r="H98" s="421"/>
      <c r="I98" s="421"/>
    </row>
    <row r="99">
      <c r="A99" s="657">
        <v>9.0</v>
      </c>
      <c r="B99" s="27">
        <v>14.0</v>
      </c>
      <c r="C99" s="650" t="s">
        <v>40</v>
      </c>
      <c r="D99" s="650" t="s">
        <v>45</v>
      </c>
      <c r="E99" s="648" t="s">
        <v>439</v>
      </c>
      <c r="F99" s="651"/>
      <c r="G99" s="421"/>
      <c r="H99" s="421"/>
      <c r="I99" s="421"/>
    </row>
    <row r="100">
      <c r="A100" s="643">
        <v>10.0</v>
      </c>
      <c r="B100" s="644">
        <v>6.0</v>
      </c>
      <c r="C100" s="646" t="s">
        <v>65</v>
      </c>
      <c r="D100" s="683" t="s">
        <v>159</v>
      </c>
      <c r="E100" s="646" t="s">
        <v>497</v>
      </c>
      <c r="F100" s="684">
        <v>1.0</v>
      </c>
      <c r="G100" s="421"/>
      <c r="H100" s="421"/>
      <c r="I100" s="421"/>
    </row>
    <row r="101">
      <c r="A101" s="657">
        <v>10.0</v>
      </c>
      <c r="B101" s="27">
        <v>9.0</v>
      </c>
      <c r="C101" s="650" t="s">
        <v>111</v>
      </c>
      <c r="D101" s="650" t="s">
        <v>76</v>
      </c>
      <c r="E101" s="648" t="s">
        <v>442</v>
      </c>
      <c r="F101" s="651"/>
      <c r="I101" s="421"/>
    </row>
    <row r="102">
      <c r="A102" s="657">
        <v>10.0</v>
      </c>
      <c r="B102" s="27">
        <v>12.0</v>
      </c>
      <c r="C102" s="650" t="s">
        <v>70</v>
      </c>
      <c r="D102" s="650" t="s">
        <v>84</v>
      </c>
      <c r="E102" s="648" t="s">
        <v>449</v>
      </c>
      <c r="F102" s="651">
        <v>21.0</v>
      </c>
      <c r="I102" s="422"/>
    </row>
    <row r="103">
      <c r="A103" s="658">
        <v>10.0</v>
      </c>
      <c r="B103" s="155">
        <v>14.0</v>
      </c>
      <c r="C103" s="659" t="s">
        <v>40</v>
      </c>
      <c r="D103" s="659" t="s">
        <v>131</v>
      </c>
      <c r="E103" s="660" t="s">
        <v>439</v>
      </c>
      <c r="F103" s="661"/>
      <c r="H103" s="421"/>
      <c r="I103" s="421"/>
    </row>
    <row r="104">
      <c r="A104" s="653">
        <v>11.0</v>
      </c>
      <c r="B104" s="27">
        <v>2.0</v>
      </c>
      <c r="C104" s="650" t="s">
        <v>114</v>
      </c>
      <c r="D104" s="650" t="s">
        <v>163</v>
      </c>
      <c r="E104" s="648" t="s">
        <v>435</v>
      </c>
      <c r="F104" s="682"/>
      <c r="G104" s="421"/>
      <c r="H104" s="421"/>
      <c r="I104" s="421"/>
    </row>
    <row r="105">
      <c r="A105" s="657">
        <v>11.0</v>
      </c>
      <c r="B105" s="27">
        <v>6.0</v>
      </c>
      <c r="C105" s="650" t="s">
        <v>122</v>
      </c>
      <c r="D105" s="650" t="s">
        <v>105</v>
      </c>
      <c r="E105" s="648" t="s">
        <v>502</v>
      </c>
      <c r="F105" s="670">
        <v>2.0</v>
      </c>
      <c r="I105" s="421"/>
    </row>
    <row r="106">
      <c r="A106" s="657">
        <v>11.0</v>
      </c>
      <c r="B106" s="27">
        <v>8.0</v>
      </c>
      <c r="C106" s="650" t="s">
        <v>76</v>
      </c>
      <c r="D106" s="650" t="s">
        <v>153</v>
      </c>
      <c r="E106" s="648" t="s">
        <v>524</v>
      </c>
      <c r="F106" s="670">
        <v>1.0</v>
      </c>
      <c r="G106" s="421"/>
      <c r="H106" s="421"/>
      <c r="I106" s="421"/>
    </row>
    <row r="107">
      <c r="A107" s="643">
        <v>12.0</v>
      </c>
      <c r="B107" s="644">
        <v>11.0</v>
      </c>
      <c r="C107" s="645" t="s">
        <v>70</v>
      </c>
      <c r="D107" s="645" t="s">
        <v>131</v>
      </c>
      <c r="E107" s="646" t="s">
        <v>449</v>
      </c>
      <c r="F107" s="647"/>
      <c r="H107" s="421"/>
      <c r="I107" s="422"/>
    </row>
    <row r="108">
      <c r="A108" s="657">
        <v>12.0</v>
      </c>
      <c r="B108" s="27">
        <v>15.0</v>
      </c>
      <c r="C108" s="650" t="s">
        <v>102</v>
      </c>
      <c r="D108" s="650" t="s">
        <v>40</v>
      </c>
      <c r="E108" s="648" t="s">
        <v>447</v>
      </c>
      <c r="F108" s="651">
        <v>2.0</v>
      </c>
      <c r="G108" s="421"/>
      <c r="H108" s="421"/>
      <c r="I108" s="421"/>
    </row>
    <row r="109">
      <c r="A109" s="657">
        <v>12.0</v>
      </c>
      <c r="B109" s="27">
        <v>16.0</v>
      </c>
      <c r="C109" s="648" t="s">
        <v>57</v>
      </c>
      <c r="D109" s="648" t="s">
        <v>100</v>
      </c>
      <c r="E109" s="648" t="s">
        <v>500</v>
      </c>
      <c r="F109" s="671">
        <v>1.0</v>
      </c>
      <c r="G109" s="421"/>
      <c r="H109" s="421"/>
      <c r="I109" s="421"/>
    </row>
    <row r="110">
      <c r="A110" s="658">
        <v>12.0</v>
      </c>
      <c r="B110" s="155">
        <v>17.0</v>
      </c>
      <c r="C110" s="659" t="s">
        <v>23</v>
      </c>
      <c r="D110" s="659" t="s">
        <v>54</v>
      </c>
      <c r="E110" s="660" t="s">
        <v>456</v>
      </c>
      <c r="F110" s="661">
        <v>10.0</v>
      </c>
    </row>
    <row r="111">
      <c r="A111" s="649">
        <v>13.0</v>
      </c>
      <c r="B111" s="27">
        <v>6.0</v>
      </c>
      <c r="C111" s="650" t="s">
        <v>114</v>
      </c>
      <c r="D111" s="650" t="s">
        <v>72</v>
      </c>
      <c r="E111" s="648" t="s">
        <v>435</v>
      </c>
      <c r="F111" s="651"/>
      <c r="H111" s="421"/>
      <c r="I111" s="421"/>
    </row>
    <row r="112">
      <c r="A112" s="657">
        <v>13.0</v>
      </c>
      <c r="B112" s="27">
        <v>13.0</v>
      </c>
      <c r="C112" s="650" t="s">
        <v>138</v>
      </c>
      <c r="D112" s="650" t="s">
        <v>92</v>
      </c>
      <c r="E112" s="648" t="s">
        <v>455</v>
      </c>
      <c r="F112" s="651"/>
      <c r="G112" s="421"/>
      <c r="H112" s="421"/>
      <c r="I112" s="421"/>
    </row>
    <row r="113">
      <c r="A113" s="643">
        <v>14.0</v>
      </c>
      <c r="B113" s="644">
        <v>1.0</v>
      </c>
      <c r="C113" s="645" t="s">
        <v>159</v>
      </c>
      <c r="D113" s="685" t="s">
        <v>153</v>
      </c>
      <c r="E113" s="646" t="s">
        <v>458</v>
      </c>
      <c r="F113" s="647"/>
      <c r="G113" s="421"/>
      <c r="H113" s="421"/>
      <c r="I113" s="421"/>
    </row>
    <row r="114">
      <c r="A114" s="657">
        <v>14.0</v>
      </c>
      <c r="B114" s="27">
        <v>4.0</v>
      </c>
      <c r="C114" s="650" t="s">
        <v>111</v>
      </c>
      <c r="D114" s="665" t="s">
        <v>114</v>
      </c>
      <c r="E114" s="648" t="s">
        <v>442</v>
      </c>
      <c r="F114" s="651"/>
      <c r="G114" s="421"/>
      <c r="H114" s="421"/>
      <c r="I114" s="421"/>
    </row>
    <row r="115">
      <c r="A115" s="657">
        <v>14.0</v>
      </c>
      <c r="B115" s="27">
        <v>12.0</v>
      </c>
      <c r="C115" s="650" t="s">
        <v>76</v>
      </c>
      <c r="D115" s="650" t="s">
        <v>45</v>
      </c>
      <c r="E115" s="648" t="s">
        <v>483</v>
      </c>
      <c r="F115" s="670">
        <v>2.0</v>
      </c>
      <c r="G115" s="421"/>
      <c r="H115" s="421"/>
      <c r="I115" s="421"/>
    </row>
    <row r="116">
      <c r="A116" s="657">
        <v>14.0</v>
      </c>
      <c r="B116" s="668">
        <v>16.0</v>
      </c>
      <c r="C116" s="650" t="s">
        <v>131</v>
      </c>
      <c r="D116" s="650" t="s">
        <v>48</v>
      </c>
      <c r="E116" s="648" t="s">
        <v>450</v>
      </c>
      <c r="F116" s="651">
        <v>9.0</v>
      </c>
      <c r="G116" s="421"/>
      <c r="H116" s="421"/>
      <c r="I116" s="421"/>
    </row>
    <row r="117">
      <c r="A117" s="658">
        <v>14.0</v>
      </c>
      <c r="B117" s="155">
        <v>18.0</v>
      </c>
      <c r="C117" s="659" t="s">
        <v>27</v>
      </c>
      <c r="D117" s="659" t="s">
        <v>102</v>
      </c>
      <c r="E117" s="680" t="s">
        <v>453</v>
      </c>
      <c r="F117" s="661"/>
      <c r="G117" s="421"/>
      <c r="H117" s="422"/>
      <c r="I117" s="421"/>
    </row>
    <row r="118">
      <c r="A118" s="657">
        <v>15.0</v>
      </c>
      <c r="B118" s="27">
        <v>4.0</v>
      </c>
      <c r="C118" s="650" t="s">
        <v>153</v>
      </c>
      <c r="D118" s="650" t="s">
        <v>105</v>
      </c>
      <c r="E118" s="648" t="s">
        <v>454</v>
      </c>
      <c r="F118" s="651">
        <v>1.0</v>
      </c>
      <c r="I118" s="421"/>
    </row>
    <row r="119">
      <c r="A119" s="657">
        <v>15.0</v>
      </c>
      <c r="B119" s="27">
        <v>12.0</v>
      </c>
      <c r="C119" s="650" t="s">
        <v>70</v>
      </c>
      <c r="D119" s="650" t="s">
        <v>163</v>
      </c>
      <c r="E119" s="648" t="s">
        <v>449</v>
      </c>
      <c r="F119" s="651"/>
    </row>
    <row r="120">
      <c r="A120" s="657">
        <v>15.0</v>
      </c>
      <c r="B120" s="27">
        <v>14.0</v>
      </c>
      <c r="C120" s="650" t="s">
        <v>45</v>
      </c>
      <c r="D120" s="665" t="s">
        <v>114</v>
      </c>
      <c r="E120" s="648" t="s">
        <v>445</v>
      </c>
      <c r="F120" s="651"/>
      <c r="G120" s="421"/>
      <c r="H120" s="421"/>
      <c r="I120" s="421"/>
    </row>
    <row r="121">
      <c r="A121" s="658">
        <v>15.0</v>
      </c>
      <c r="B121" s="155">
        <v>19.0</v>
      </c>
      <c r="C121" s="659" t="s">
        <v>23</v>
      </c>
      <c r="D121" s="659" t="s">
        <v>27</v>
      </c>
      <c r="E121" s="660" t="s">
        <v>456</v>
      </c>
      <c r="F121" s="661"/>
      <c r="G121" s="421"/>
      <c r="H121" s="421"/>
      <c r="I121" s="421"/>
    </row>
    <row r="122">
      <c r="F122" s="421"/>
      <c r="G122" s="421"/>
      <c r="H122" s="421"/>
      <c r="I122" s="421"/>
    </row>
    <row r="123">
      <c r="F123" s="421"/>
      <c r="G123" s="421"/>
      <c r="H123" s="421"/>
      <c r="I123" s="421"/>
    </row>
    <row r="124">
      <c r="F124" s="421"/>
      <c r="G124" s="421"/>
      <c r="H124" s="421"/>
      <c r="I124" s="421"/>
    </row>
    <row r="125">
      <c r="F125" s="421"/>
      <c r="G125" s="421"/>
      <c r="H125" s="421"/>
      <c r="I125" s="421"/>
    </row>
    <row r="126">
      <c r="F126" s="421"/>
      <c r="G126" s="421"/>
      <c r="H126" s="421"/>
      <c r="I126" s="421"/>
    </row>
    <row r="127">
      <c r="F127" s="421"/>
      <c r="G127" s="421"/>
      <c r="H127" s="421"/>
      <c r="I127" s="421"/>
    </row>
    <row r="128">
      <c r="F128" s="421"/>
      <c r="G128" s="421"/>
      <c r="H128" s="421"/>
      <c r="I128" s="421"/>
    </row>
    <row r="129">
      <c r="G129" s="421"/>
      <c r="H129" s="421"/>
      <c r="I129" s="421"/>
    </row>
  </sheetData>
  <printOptions gridLines="1" horizontalCentered="1"/>
  <pageMargins bottom="0.75" footer="0.0" header="0.0" left="0.7" right="0.7" top="0.75"/>
  <pageSetup scale="7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6.71"/>
    <col customWidth="1" min="2" max="2" width="4.71"/>
    <col customWidth="1" min="3" max="3" width="18.57"/>
    <col customWidth="1" min="4" max="143" width="7.29"/>
    <col customWidth="1" min="144" max="145" width="12.14"/>
    <col customWidth="1" min="146" max="146" width="0.43"/>
    <col customWidth="1" min="147" max="147" width="12.14"/>
    <col customWidth="1" min="148" max="148" width="33.57"/>
    <col customWidth="1" min="149" max="149" width="18.57"/>
    <col customWidth="1" min="150" max="150" width="9.0"/>
  </cols>
  <sheetData>
    <row r="1">
      <c r="A1" s="26"/>
      <c r="B1" s="26"/>
      <c r="C1" s="27"/>
      <c r="D1" s="27">
        <v>1997.0</v>
      </c>
      <c r="E1" s="27"/>
      <c r="F1" s="27"/>
      <c r="G1" s="27"/>
      <c r="H1" s="27"/>
      <c r="I1" s="27"/>
      <c r="J1" s="27">
        <v>1998.0</v>
      </c>
      <c r="K1" s="27"/>
      <c r="L1" s="27"/>
      <c r="M1" s="27"/>
      <c r="N1" s="27"/>
      <c r="O1" s="27"/>
      <c r="P1" s="27">
        <v>1999.0</v>
      </c>
      <c r="Q1" s="27"/>
      <c r="R1" s="27"/>
      <c r="S1" s="27"/>
      <c r="T1" s="27"/>
      <c r="U1" s="27"/>
      <c r="V1" s="27">
        <v>2000.0</v>
      </c>
      <c r="W1" s="27"/>
      <c r="X1" s="27"/>
      <c r="Y1" s="27"/>
      <c r="Z1" s="27"/>
      <c r="AA1" s="27"/>
      <c r="AB1" s="27">
        <v>2001.0</v>
      </c>
      <c r="AC1" s="27"/>
      <c r="AD1" s="27"/>
      <c r="AE1" s="27"/>
      <c r="AF1" s="27"/>
      <c r="AG1" s="27"/>
      <c r="AH1" s="27">
        <v>2002.0</v>
      </c>
      <c r="AI1" s="27"/>
      <c r="AJ1" s="27"/>
      <c r="AK1" s="27"/>
      <c r="AL1" s="27"/>
      <c r="AM1" s="27"/>
      <c r="AN1" s="27">
        <v>2003.0</v>
      </c>
      <c r="AO1" s="27"/>
      <c r="AP1" s="27"/>
      <c r="AQ1" s="27"/>
      <c r="AR1" s="27"/>
      <c r="AS1" s="27"/>
      <c r="AT1" s="27">
        <v>2004.0</v>
      </c>
      <c r="AU1" s="27"/>
      <c r="AV1" s="27"/>
      <c r="AW1" s="27"/>
      <c r="AX1" s="27"/>
      <c r="AY1" s="27"/>
      <c r="AZ1" s="27">
        <v>2005.0</v>
      </c>
      <c r="BA1" s="27"/>
      <c r="BB1" s="27"/>
      <c r="BC1" s="27"/>
      <c r="BD1" s="27"/>
      <c r="BE1" s="27"/>
      <c r="BF1" s="27">
        <v>2006.0</v>
      </c>
      <c r="BG1" s="27"/>
      <c r="BH1" s="27"/>
      <c r="BI1" s="27"/>
      <c r="BJ1" s="27"/>
      <c r="BK1" s="27"/>
      <c r="BL1" s="27">
        <v>2007.0</v>
      </c>
      <c r="BM1" s="27"/>
      <c r="BN1" s="27"/>
      <c r="BO1" s="27"/>
      <c r="BP1" s="27"/>
      <c r="BQ1" s="27"/>
      <c r="BR1" s="27">
        <v>2008.0</v>
      </c>
      <c r="BS1" s="27"/>
      <c r="BT1" s="27"/>
      <c r="BU1" s="27"/>
      <c r="BV1" s="27"/>
      <c r="BW1" s="27"/>
      <c r="BX1" s="27">
        <v>2009.0</v>
      </c>
      <c r="BY1" s="27"/>
      <c r="BZ1" s="27"/>
      <c r="CA1" s="27"/>
      <c r="CB1" s="27"/>
      <c r="CC1" s="27"/>
      <c r="CD1" s="27">
        <v>2010.0</v>
      </c>
      <c r="CE1" s="27"/>
      <c r="CF1" s="27"/>
      <c r="CG1" s="27"/>
      <c r="CH1" s="27"/>
      <c r="CI1" s="27"/>
      <c r="CJ1" s="27">
        <v>2011.0</v>
      </c>
      <c r="CK1" s="27"/>
      <c r="CL1" s="27"/>
      <c r="CM1" s="27"/>
      <c r="CN1" s="27"/>
      <c r="CO1" s="27">
        <v>2012.0</v>
      </c>
      <c r="CP1" s="27"/>
      <c r="CQ1" s="27"/>
      <c r="CR1" s="27"/>
      <c r="CS1" s="27"/>
      <c r="CT1" s="27"/>
      <c r="CU1" s="27">
        <v>2013.0</v>
      </c>
      <c r="CV1" s="27"/>
      <c r="CW1" s="27"/>
      <c r="CX1" s="27"/>
      <c r="CY1" s="27"/>
      <c r="CZ1" s="27"/>
      <c r="DA1" s="27">
        <v>2014.0</v>
      </c>
      <c r="DB1" s="27"/>
      <c r="DC1" s="27"/>
      <c r="DD1" s="27"/>
      <c r="DE1" s="27"/>
      <c r="DF1" s="27"/>
      <c r="DG1" s="27">
        <v>2015.0</v>
      </c>
      <c r="DH1" s="27"/>
      <c r="DI1" s="27"/>
      <c r="DJ1" s="27"/>
      <c r="DK1" s="27"/>
      <c r="DL1" s="27"/>
      <c r="DM1" s="27">
        <v>2016.0</v>
      </c>
      <c r="DN1" s="27"/>
      <c r="DO1" s="27"/>
      <c r="DP1" s="27"/>
      <c r="DQ1" s="27"/>
      <c r="DR1" s="27"/>
      <c r="DS1" s="27">
        <v>2017.0</v>
      </c>
      <c r="DT1" s="27"/>
      <c r="DU1" s="27"/>
      <c r="DV1" s="27"/>
      <c r="DW1" s="27"/>
      <c r="DX1" s="27"/>
      <c r="DY1" s="27">
        <v>2018.0</v>
      </c>
      <c r="DZ1" s="27"/>
      <c r="EA1" s="27"/>
      <c r="EB1" s="27"/>
      <c r="EC1" s="27"/>
      <c r="ED1" s="25"/>
      <c r="EE1" s="27">
        <v>2019.0</v>
      </c>
      <c r="EF1" s="27"/>
      <c r="EG1" s="27"/>
      <c r="EH1" s="27"/>
      <c r="EI1" s="27"/>
      <c r="EJ1" s="27"/>
      <c r="EK1" s="27">
        <v>2020.0</v>
      </c>
      <c r="EL1" s="27"/>
      <c r="EM1" s="27"/>
      <c r="EN1" s="28" t="s">
        <v>204</v>
      </c>
      <c r="EO1" s="27" t="s">
        <v>204</v>
      </c>
      <c r="EP1" s="27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</row>
    <row r="2">
      <c r="A2" s="1"/>
      <c r="B2" s="1" t="s">
        <v>205</v>
      </c>
      <c r="C2" s="2" t="s">
        <v>206</v>
      </c>
      <c r="D2" s="1">
        <v>1.0</v>
      </c>
      <c r="E2" s="1">
        <v>3.0</v>
      </c>
      <c r="F2" s="1">
        <v>5.0</v>
      </c>
      <c r="G2" s="1">
        <v>7.0</v>
      </c>
      <c r="H2" s="1">
        <v>9.0</v>
      </c>
      <c r="I2" s="1">
        <v>11.0</v>
      </c>
      <c r="J2" s="1">
        <v>1.0</v>
      </c>
      <c r="K2" s="1">
        <v>3.0</v>
      </c>
      <c r="L2" s="1">
        <v>5.0</v>
      </c>
      <c r="M2" s="1">
        <v>7.0</v>
      </c>
      <c r="N2" s="1">
        <v>9.0</v>
      </c>
      <c r="O2" s="1">
        <v>11.0</v>
      </c>
      <c r="P2" s="1">
        <v>1.0</v>
      </c>
      <c r="Q2" s="1">
        <v>3.0</v>
      </c>
      <c r="R2" s="1">
        <v>5.0</v>
      </c>
      <c r="S2" s="1">
        <v>7.0</v>
      </c>
      <c r="T2" s="1">
        <v>9.0</v>
      </c>
      <c r="U2" s="1">
        <v>11.0</v>
      </c>
      <c r="V2" s="5">
        <v>1.0</v>
      </c>
      <c r="W2" s="1">
        <v>3.0</v>
      </c>
      <c r="X2" s="1">
        <v>5.0</v>
      </c>
      <c r="Y2" s="1">
        <v>7.0</v>
      </c>
      <c r="Z2" s="1">
        <v>9.0</v>
      </c>
      <c r="AA2" s="1">
        <v>11.0</v>
      </c>
      <c r="AB2" s="1">
        <v>1.0</v>
      </c>
      <c r="AC2" s="1">
        <v>3.0</v>
      </c>
      <c r="AD2" s="1">
        <v>5.0</v>
      </c>
      <c r="AE2" s="1">
        <v>7.0</v>
      </c>
      <c r="AF2" s="1">
        <v>9.0</v>
      </c>
      <c r="AG2" s="1">
        <v>11.0</v>
      </c>
      <c r="AH2" s="1">
        <v>1.0</v>
      </c>
      <c r="AI2" s="1">
        <v>3.0</v>
      </c>
      <c r="AJ2" s="1">
        <v>5.0</v>
      </c>
      <c r="AK2" s="1">
        <v>7.0</v>
      </c>
      <c r="AL2" s="1">
        <v>9.0</v>
      </c>
      <c r="AM2" s="1">
        <v>11.0</v>
      </c>
      <c r="AN2" s="1">
        <v>1.0</v>
      </c>
      <c r="AO2" s="1">
        <v>3.0</v>
      </c>
      <c r="AP2" s="1">
        <v>5.0</v>
      </c>
      <c r="AQ2" s="1">
        <v>7.0</v>
      </c>
      <c r="AR2" s="1">
        <v>9.0</v>
      </c>
      <c r="AS2" s="1">
        <v>11.0</v>
      </c>
      <c r="AT2" s="27">
        <v>1.0</v>
      </c>
      <c r="AU2" s="1">
        <v>3.0</v>
      </c>
      <c r="AV2" s="1">
        <v>5.0</v>
      </c>
      <c r="AW2" s="1">
        <v>7.0</v>
      </c>
      <c r="AX2" s="1">
        <v>9.0</v>
      </c>
      <c r="AY2" s="1">
        <v>11.0</v>
      </c>
      <c r="AZ2" s="1">
        <v>1.0</v>
      </c>
      <c r="BA2" s="1">
        <v>3.0</v>
      </c>
      <c r="BB2" s="1">
        <v>5.0</v>
      </c>
      <c r="BC2" s="1">
        <v>7.0</v>
      </c>
      <c r="BD2" s="1">
        <v>9.0</v>
      </c>
      <c r="BE2" s="1">
        <v>11.0</v>
      </c>
      <c r="BF2" s="1">
        <v>1.0</v>
      </c>
      <c r="BG2" s="1">
        <v>3.0</v>
      </c>
      <c r="BH2" s="1">
        <v>5.0</v>
      </c>
      <c r="BI2" s="1">
        <v>7.0</v>
      </c>
      <c r="BJ2" s="1">
        <v>9.0</v>
      </c>
      <c r="BK2" s="1">
        <v>11.0</v>
      </c>
      <c r="BL2" s="1">
        <v>1.0</v>
      </c>
      <c r="BM2" s="1">
        <v>3.0</v>
      </c>
      <c r="BN2" s="1">
        <v>5.0</v>
      </c>
      <c r="BO2" s="1">
        <v>7.0</v>
      </c>
      <c r="BP2" s="1">
        <v>9.0</v>
      </c>
      <c r="BQ2" s="1">
        <v>11.0</v>
      </c>
      <c r="BR2" s="1">
        <v>1.0</v>
      </c>
      <c r="BS2" s="1">
        <v>3.0</v>
      </c>
      <c r="BT2" s="1">
        <v>5.0</v>
      </c>
      <c r="BU2" s="1">
        <v>7.0</v>
      </c>
      <c r="BV2" s="1">
        <v>9.0</v>
      </c>
      <c r="BW2" s="1">
        <v>11.0</v>
      </c>
      <c r="BX2" s="1">
        <v>1.0</v>
      </c>
      <c r="BY2" s="1">
        <v>3.0</v>
      </c>
      <c r="BZ2" s="1">
        <v>5.0</v>
      </c>
      <c r="CA2" s="1">
        <v>7.0</v>
      </c>
      <c r="CB2" s="1">
        <v>9.0</v>
      </c>
      <c r="CC2" s="1">
        <v>11.0</v>
      </c>
      <c r="CD2" s="1">
        <v>1.0</v>
      </c>
      <c r="CE2" s="1">
        <v>3.0</v>
      </c>
      <c r="CF2" s="1">
        <v>5.0</v>
      </c>
      <c r="CG2" s="1">
        <v>7.0</v>
      </c>
      <c r="CH2" s="1">
        <v>9.0</v>
      </c>
      <c r="CI2" s="1">
        <v>11.0</v>
      </c>
      <c r="CJ2" s="1">
        <v>1.0</v>
      </c>
      <c r="CK2" s="1">
        <v>5.0</v>
      </c>
      <c r="CL2" s="1">
        <v>7.0</v>
      </c>
      <c r="CM2" s="1">
        <v>9.0</v>
      </c>
      <c r="CN2" s="1">
        <v>11.0</v>
      </c>
      <c r="CO2" s="1">
        <v>1.0</v>
      </c>
      <c r="CP2" s="1">
        <v>3.0</v>
      </c>
      <c r="CQ2" s="1">
        <v>5.0</v>
      </c>
      <c r="CR2" s="1">
        <v>7.0</v>
      </c>
      <c r="CS2" s="1">
        <v>9.0</v>
      </c>
      <c r="CT2" s="1">
        <v>11.0</v>
      </c>
      <c r="CU2" s="1">
        <v>1.0</v>
      </c>
      <c r="CV2" s="1">
        <v>3.0</v>
      </c>
      <c r="CW2" s="1">
        <v>5.0</v>
      </c>
      <c r="CX2" s="1">
        <v>7.0</v>
      </c>
      <c r="CY2" s="1">
        <v>9.0</v>
      </c>
      <c r="CZ2" s="1">
        <v>11.0</v>
      </c>
      <c r="DA2" s="1">
        <v>1.0</v>
      </c>
      <c r="DB2" s="1">
        <v>3.0</v>
      </c>
      <c r="DC2" s="1">
        <v>5.0</v>
      </c>
      <c r="DD2" s="1">
        <v>7.0</v>
      </c>
      <c r="DE2" s="1">
        <v>9.0</v>
      </c>
      <c r="DF2" s="1">
        <v>11.0</v>
      </c>
      <c r="DG2" s="1">
        <v>1.0</v>
      </c>
      <c r="DH2" s="1">
        <v>3.0</v>
      </c>
      <c r="DI2" s="1">
        <v>5.0</v>
      </c>
      <c r="DJ2" s="1">
        <v>7.0</v>
      </c>
      <c r="DK2" s="1">
        <v>9.0</v>
      </c>
      <c r="DL2" s="1">
        <v>11.0</v>
      </c>
      <c r="DM2" s="1">
        <v>1.0</v>
      </c>
      <c r="DN2" s="1">
        <v>3.0</v>
      </c>
      <c r="DO2" s="1">
        <v>5.0</v>
      </c>
      <c r="DP2" s="1">
        <v>7.0</v>
      </c>
      <c r="DQ2" s="1">
        <v>9.0</v>
      </c>
      <c r="DR2" s="1">
        <v>11.0</v>
      </c>
      <c r="DS2" s="1">
        <v>1.0</v>
      </c>
      <c r="DT2" s="1">
        <v>3.0</v>
      </c>
      <c r="DU2" s="1">
        <v>5.0</v>
      </c>
      <c r="DV2" s="1">
        <v>7.0</v>
      </c>
      <c r="DW2" s="1">
        <v>9.0</v>
      </c>
      <c r="DX2" s="1">
        <v>11.0</v>
      </c>
      <c r="DY2" s="1">
        <v>1.0</v>
      </c>
      <c r="DZ2" s="1">
        <v>3.0</v>
      </c>
      <c r="EA2" s="1">
        <v>5.0</v>
      </c>
      <c r="EB2" s="1">
        <v>7.0</v>
      </c>
      <c r="EC2" s="1">
        <v>9.0</v>
      </c>
      <c r="ED2" s="1">
        <v>11.0</v>
      </c>
      <c r="EE2" s="1">
        <v>1.0</v>
      </c>
      <c r="EF2" s="1">
        <v>3.0</v>
      </c>
      <c r="EG2" s="1">
        <v>5.0</v>
      </c>
      <c r="EH2" s="1">
        <v>7.0</v>
      </c>
      <c r="EI2" s="1">
        <v>9.0</v>
      </c>
      <c r="EJ2" s="1">
        <v>11.0</v>
      </c>
      <c r="EK2" s="1">
        <v>1.0</v>
      </c>
      <c r="EL2" s="1">
        <v>3.0</v>
      </c>
      <c r="EM2" s="1">
        <v>7.0</v>
      </c>
      <c r="EN2" s="8" t="s">
        <v>207</v>
      </c>
      <c r="EO2" s="1" t="s">
        <v>208</v>
      </c>
      <c r="EP2" s="1"/>
      <c r="EQ2" s="29" t="s">
        <v>209</v>
      </c>
      <c r="ER2" s="25"/>
      <c r="ES2" s="30" t="s">
        <v>210</v>
      </c>
      <c r="ET2" s="31" t="s">
        <v>211</v>
      </c>
      <c r="EU2" s="25"/>
      <c r="EV2" s="25"/>
      <c r="EW2" s="25"/>
      <c r="EX2" s="25"/>
      <c r="EY2" s="27">
        <v>1.0</v>
      </c>
      <c r="EZ2" s="27">
        <v>2.0</v>
      </c>
      <c r="FA2" s="27">
        <v>3.0</v>
      </c>
      <c r="FB2" s="25"/>
      <c r="FC2" s="25"/>
    </row>
    <row r="3" ht="35.25" customHeight="1">
      <c r="A3" s="27" t="str">
        <f>image("http://sumo.or.jp/img/sumo_data/rikishi/60x60/20002320.jpg")</f>
        <v/>
      </c>
      <c r="B3" s="10" t="s">
        <v>14</v>
      </c>
      <c r="C3" s="11" t="s">
        <v>15</v>
      </c>
      <c r="V3" s="32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4" t="s">
        <v>212</v>
      </c>
      <c r="AU3" s="33"/>
      <c r="AV3" s="35">
        <v>17.0</v>
      </c>
      <c r="AW3" s="36">
        <v>13.0</v>
      </c>
      <c r="AX3" s="36">
        <v>14.0</v>
      </c>
      <c r="AY3" s="37">
        <v>30.0</v>
      </c>
      <c r="AZ3" s="38">
        <v>22.0</v>
      </c>
      <c r="BA3" s="39">
        <v>10.0</v>
      </c>
      <c r="BB3" s="39">
        <v>10.0</v>
      </c>
      <c r="BC3" s="39">
        <v>6.0</v>
      </c>
      <c r="BD3" s="36">
        <v>18.0</v>
      </c>
      <c r="BE3" s="36">
        <v>12.0</v>
      </c>
      <c r="BF3" s="37">
        <v>21.0</v>
      </c>
      <c r="BG3" s="40">
        <v>27.0</v>
      </c>
      <c r="BH3" s="41">
        <v>19.0</v>
      </c>
      <c r="BI3" s="36">
        <v>14.0</v>
      </c>
      <c r="BJ3" s="36">
        <v>8.0</v>
      </c>
      <c r="BK3" s="33"/>
      <c r="BL3" s="39">
        <v>10.0</v>
      </c>
      <c r="BM3" s="41">
        <v>18.0</v>
      </c>
      <c r="BN3" s="41">
        <v>21.0</v>
      </c>
      <c r="BO3" s="36">
        <v>11.0</v>
      </c>
      <c r="BP3" s="41">
        <v>18.0</v>
      </c>
      <c r="BQ3" s="41">
        <v>17.0</v>
      </c>
      <c r="BR3" s="41">
        <v>19.0</v>
      </c>
      <c r="BS3" s="36">
        <v>12.0</v>
      </c>
      <c r="BT3" s="36">
        <v>11.0</v>
      </c>
      <c r="BU3" s="41">
        <v>20.0</v>
      </c>
      <c r="BV3" s="41">
        <v>19.0</v>
      </c>
      <c r="BW3" s="41">
        <v>18.0</v>
      </c>
      <c r="BX3" s="36">
        <v>14.0</v>
      </c>
      <c r="BY3" s="41">
        <v>20.0</v>
      </c>
      <c r="BZ3" s="36">
        <v>14.0</v>
      </c>
      <c r="CA3" s="41">
        <v>19.0</v>
      </c>
      <c r="CB3" s="36">
        <v>14.0</v>
      </c>
      <c r="CC3" s="41">
        <v>20.0</v>
      </c>
      <c r="CD3" s="36">
        <v>12.0</v>
      </c>
      <c r="CE3" s="41">
        <v>20.0</v>
      </c>
      <c r="CF3" s="41">
        <v>20.0</v>
      </c>
      <c r="CG3" s="41">
        <v>20.0</v>
      </c>
      <c r="CH3" s="41">
        <v>20.0</v>
      </c>
      <c r="CI3" s="41">
        <v>19.0</v>
      </c>
      <c r="CJ3" s="41">
        <v>19.0</v>
      </c>
      <c r="CK3" s="41">
        <v>18.0</v>
      </c>
      <c r="CL3" s="36">
        <v>12.0</v>
      </c>
      <c r="CM3" s="41">
        <v>18.0</v>
      </c>
      <c r="CN3" s="41">
        <v>19.0</v>
      </c>
      <c r="CO3" s="36">
        <v>12.0</v>
      </c>
      <c r="CP3" s="41">
        <v>18.0</v>
      </c>
      <c r="CQ3" s="36">
        <v>10.0</v>
      </c>
      <c r="CR3" s="36">
        <v>14.0</v>
      </c>
      <c r="CS3" s="36">
        <v>13.0</v>
      </c>
      <c r="CT3" s="41">
        <v>19.0</v>
      </c>
      <c r="CU3" s="36">
        <v>12.0</v>
      </c>
      <c r="CV3" s="41">
        <v>20.0</v>
      </c>
      <c r="CW3" s="41">
        <v>20.0</v>
      </c>
      <c r="CX3" s="41">
        <v>18.0</v>
      </c>
      <c r="CY3" s="41">
        <v>19.0</v>
      </c>
      <c r="CZ3" s="36">
        <v>13.0</v>
      </c>
      <c r="DA3" s="41">
        <v>19.0</v>
      </c>
      <c r="DB3" s="36">
        <v>12.0</v>
      </c>
      <c r="DC3" s="41">
        <v>19.0</v>
      </c>
      <c r="DD3" s="41">
        <v>18.0</v>
      </c>
      <c r="DE3" s="41">
        <v>19.0</v>
      </c>
      <c r="DF3" s="41">
        <v>19.0</v>
      </c>
      <c r="DG3" s="41">
        <v>20.0</v>
      </c>
      <c r="DH3" s="41">
        <v>19.0</v>
      </c>
      <c r="DI3" s="39">
        <v>11.0</v>
      </c>
      <c r="DJ3" s="42">
        <v>19.0</v>
      </c>
      <c r="DK3" s="36">
        <v>0.0</v>
      </c>
      <c r="DL3" s="39">
        <v>12.0</v>
      </c>
      <c r="DM3" s="36">
        <v>12.0</v>
      </c>
      <c r="DN3" s="36">
        <v>19.0</v>
      </c>
      <c r="DO3" s="41">
        <v>20.0</v>
      </c>
      <c r="DP3" s="41">
        <v>10.0</v>
      </c>
      <c r="DQ3" s="36"/>
      <c r="DR3" s="36">
        <v>11.0</v>
      </c>
      <c r="DS3" s="36">
        <v>11.0</v>
      </c>
      <c r="DT3" s="36">
        <v>2.0</v>
      </c>
      <c r="DU3" s="41">
        <v>20.0</v>
      </c>
      <c r="DV3" s="41">
        <v>19.0</v>
      </c>
      <c r="DW3" s="36"/>
      <c r="DX3" s="41">
        <v>19.0</v>
      </c>
      <c r="DY3" s="36">
        <v>2.0</v>
      </c>
      <c r="DZ3" s="39"/>
      <c r="EA3" s="36">
        <v>11.0</v>
      </c>
      <c r="EB3" s="36">
        <v>3.0</v>
      </c>
      <c r="EC3" s="41">
        <v>20.0</v>
      </c>
      <c r="ED3" s="36"/>
      <c r="EE3" s="36">
        <v>10.0</v>
      </c>
      <c r="EF3" s="41">
        <v>20.0</v>
      </c>
      <c r="EG3" s="36"/>
      <c r="EH3" s="36">
        <v>12.0</v>
      </c>
      <c r="EI3" s="36">
        <v>0.0</v>
      </c>
      <c r="EJ3" s="41">
        <v>19.0</v>
      </c>
      <c r="EK3" s="36">
        <v>1.0</v>
      </c>
      <c r="EL3" s="41">
        <v>18.0</v>
      </c>
      <c r="EM3" s="43">
        <v>10.0</v>
      </c>
      <c r="EN3" s="10">
        <f t="shared" ref="EN3:EN66" si="1">count(D3:EM3)</f>
        <v>90</v>
      </c>
      <c r="EO3" s="10">
        <f t="shared" ref="EO3:EO66" si="2">SUM(D3:EM3)</f>
        <v>1377</v>
      </c>
      <c r="EP3" s="10">
        <f t="shared" ref="EP3:EP66" si="3">EO3/EN3</f>
        <v>15.3</v>
      </c>
      <c r="EQ3" s="44">
        <f t="shared" ref="EQ3:EQ66" si="4">ROUND(EP3,2)</f>
        <v>15.3</v>
      </c>
      <c r="ER3" s="10"/>
      <c r="ES3" s="45" t="s">
        <v>15</v>
      </c>
      <c r="ET3" s="46">
        <v>15.3</v>
      </c>
      <c r="EX3" s="10"/>
      <c r="EY3" s="47"/>
      <c r="EZ3" s="10"/>
      <c r="FA3" s="48"/>
    </row>
    <row r="4" ht="35.25" customHeight="1">
      <c r="A4" s="27" t="str">
        <f>image("http://sumo.or.jp/img/sumo_data/rikishi/60x60/20010035.jpg")</f>
        <v/>
      </c>
      <c r="B4" s="10" t="s">
        <v>14</v>
      </c>
      <c r="C4" s="11" t="s">
        <v>19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3"/>
      <c r="AW4" s="33"/>
      <c r="AX4" s="33"/>
      <c r="AY4" s="33"/>
      <c r="AZ4" s="33"/>
      <c r="BA4" s="33"/>
      <c r="BB4" s="33"/>
      <c r="BC4" s="33"/>
      <c r="BD4" s="33"/>
      <c r="BE4" s="36" t="s">
        <v>212</v>
      </c>
      <c r="BF4" s="33"/>
      <c r="BG4" s="36"/>
      <c r="BH4" s="36"/>
      <c r="BI4" s="36"/>
      <c r="BJ4" s="36"/>
      <c r="BK4" s="36">
        <v>8.0</v>
      </c>
      <c r="BL4" s="36">
        <v>6.0</v>
      </c>
      <c r="BM4" s="36">
        <v>9.0</v>
      </c>
      <c r="BN4" s="36">
        <v>6.0</v>
      </c>
      <c r="BO4" s="36">
        <v>9.0</v>
      </c>
      <c r="BP4" s="36">
        <v>10.0</v>
      </c>
      <c r="BQ4" s="36">
        <v>4.0</v>
      </c>
      <c r="BR4" s="38">
        <v>16.0</v>
      </c>
      <c r="BS4" s="36">
        <v>16.0</v>
      </c>
      <c r="BT4" s="36">
        <v>11.0</v>
      </c>
      <c r="BU4" s="36">
        <v>8.0</v>
      </c>
      <c r="BV4" s="36">
        <v>13.0</v>
      </c>
      <c r="BW4" s="36">
        <v>5.0</v>
      </c>
      <c r="BX4" s="36">
        <v>9.0</v>
      </c>
      <c r="BY4" s="38">
        <v>30.0</v>
      </c>
      <c r="BZ4" s="38">
        <v>21.0</v>
      </c>
      <c r="CA4" s="36">
        <v>6.0</v>
      </c>
      <c r="CB4" s="38">
        <v>26.0</v>
      </c>
      <c r="CC4" s="36">
        <v>8.0</v>
      </c>
      <c r="CD4" s="36">
        <v>11.0</v>
      </c>
      <c r="CE4" s="36">
        <v>9.0</v>
      </c>
      <c r="CF4" s="36">
        <v>13.0</v>
      </c>
      <c r="CG4" s="38">
        <v>21.0</v>
      </c>
      <c r="CH4" s="36">
        <v>16.0</v>
      </c>
      <c r="CI4" s="36">
        <v>8.0</v>
      </c>
      <c r="CJ4" s="36">
        <v>13.0</v>
      </c>
      <c r="CK4" s="38">
        <v>23.0</v>
      </c>
      <c r="CL4" s="36">
        <v>13.0</v>
      </c>
      <c r="CM4" s="36">
        <v>10.0</v>
      </c>
      <c r="CN4" s="36">
        <v>12.0</v>
      </c>
      <c r="CO4" s="37">
        <v>19.0</v>
      </c>
      <c r="CP4" s="40">
        <v>29.0</v>
      </c>
      <c r="CQ4" s="36">
        <v>8.0</v>
      </c>
      <c r="CR4" s="36">
        <v>9.0</v>
      </c>
      <c r="CS4" s="36">
        <v>11.0</v>
      </c>
      <c r="CT4" s="36">
        <v>10.0</v>
      </c>
      <c r="CU4" s="36">
        <v>8.0</v>
      </c>
      <c r="CV4" s="36">
        <v>9.0</v>
      </c>
      <c r="CW4" s="36">
        <v>10.0</v>
      </c>
      <c r="CX4" s="36">
        <v>10.0</v>
      </c>
      <c r="CY4" s="36">
        <v>9.0</v>
      </c>
      <c r="CZ4" s="36">
        <v>9.0</v>
      </c>
      <c r="DA4" s="36">
        <v>15.0</v>
      </c>
      <c r="DB4" s="41">
        <v>21.0</v>
      </c>
      <c r="DC4" s="36">
        <v>9.0</v>
      </c>
      <c r="DD4" s="36">
        <v>11.0</v>
      </c>
      <c r="DE4" s="36">
        <v>11.0</v>
      </c>
      <c r="DF4" s="36">
        <v>12.0</v>
      </c>
      <c r="DG4" s="36">
        <v>10.0</v>
      </c>
      <c r="DH4" s="36">
        <v>0.0</v>
      </c>
      <c r="DI4" s="33"/>
      <c r="DJ4" s="36">
        <v>12.0</v>
      </c>
      <c r="DK4" s="41">
        <v>17.0</v>
      </c>
      <c r="DL4" s="36">
        <v>9.0</v>
      </c>
      <c r="DM4" s="36">
        <v>10.0</v>
      </c>
      <c r="DN4" s="36">
        <v>10.0</v>
      </c>
      <c r="DO4" s="36">
        <v>11.0</v>
      </c>
      <c r="DP4" s="36">
        <v>2.0</v>
      </c>
      <c r="DQ4" s="36">
        <v>10.0</v>
      </c>
      <c r="DR4" s="41">
        <v>19.0</v>
      </c>
      <c r="DS4" s="36">
        <v>5.0</v>
      </c>
      <c r="DT4" s="36">
        <v>10.0</v>
      </c>
      <c r="DU4" s="36">
        <v>1.0</v>
      </c>
      <c r="DV4" s="36">
        <v>2.0</v>
      </c>
      <c r="DW4" s="36"/>
      <c r="DX4" s="36"/>
      <c r="DY4" s="36">
        <v>11.0</v>
      </c>
      <c r="DZ4" s="41">
        <v>18.0</v>
      </c>
      <c r="EA4" s="41">
        <v>19.0</v>
      </c>
      <c r="EB4" s="39">
        <v>3.0</v>
      </c>
      <c r="EC4" s="36">
        <v>10.0</v>
      </c>
      <c r="ED4" s="36"/>
      <c r="EE4" s="36">
        <v>2.0</v>
      </c>
      <c r="EF4" s="36">
        <v>10.0</v>
      </c>
      <c r="EG4" s="36">
        <v>11.0</v>
      </c>
      <c r="EH4" s="41">
        <v>19.0</v>
      </c>
      <c r="EI4" s="36">
        <v>4.0</v>
      </c>
      <c r="EJ4" s="36">
        <v>0.0</v>
      </c>
      <c r="EK4" s="36">
        <v>1.0</v>
      </c>
      <c r="EL4" s="36">
        <v>12.0</v>
      </c>
      <c r="EM4" s="43">
        <v>0.0</v>
      </c>
      <c r="EN4" s="10">
        <f t="shared" si="1"/>
        <v>77</v>
      </c>
      <c r="EO4" s="10">
        <f t="shared" si="2"/>
        <v>838</v>
      </c>
      <c r="EP4" s="10">
        <f t="shared" si="3"/>
        <v>10.88311688</v>
      </c>
      <c r="EQ4" s="44">
        <f t="shared" si="4"/>
        <v>10.88</v>
      </c>
      <c r="ER4" s="10"/>
      <c r="ES4" s="49" t="s">
        <v>36</v>
      </c>
      <c r="ET4" s="50">
        <v>13.96</v>
      </c>
      <c r="EX4" s="10"/>
      <c r="EY4" s="10"/>
      <c r="EZ4" s="10"/>
      <c r="FA4" s="48"/>
    </row>
    <row r="5" ht="35.25" customHeight="1">
      <c r="A5" s="51" t="str">
        <f>image("http://sumo.or.jp/img/sumo_data/rikishi/60x60/20140083.jpg")</f>
        <v/>
      </c>
      <c r="B5" s="52" t="s">
        <v>22</v>
      </c>
      <c r="C5" s="53" t="s">
        <v>27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5"/>
      <c r="BU5" s="55"/>
      <c r="BV5" s="55"/>
      <c r="BW5" s="55"/>
      <c r="BX5" s="55"/>
      <c r="BY5" s="55"/>
      <c r="BZ5" s="55"/>
      <c r="CA5" s="55"/>
      <c r="CB5" s="55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 t="s">
        <v>212</v>
      </c>
      <c r="DP5" s="54"/>
      <c r="DQ5" s="54"/>
      <c r="DR5" s="54"/>
      <c r="DS5" s="54">
        <v>7.0</v>
      </c>
      <c r="DT5" s="56">
        <v>16.0</v>
      </c>
      <c r="DU5" s="54">
        <v>11.0</v>
      </c>
      <c r="DV5" s="54">
        <v>11.0</v>
      </c>
      <c r="DW5" s="57">
        <v>22.0</v>
      </c>
      <c r="DX5" s="57">
        <v>31.0</v>
      </c>
      <c r="DY5" s="54">
        <v>5.0</v>
      </c>
      <c r="DZ5" s="54">
        <v>7.0</v>
      </c>
      <c r="EA5" s="54">
        <v>10.0</v>
      </c>
      <c r="EB5" s="58">
        <v>18.0</v>
      </c>
      <c r="EC5" s="54">
        <v>12.0</v>
      </c>
      <c r="ED5" s="59">
        <v>36.0</v>
      </c>
      <c r="EE5" s="60">
        <v>18.0</v>
      </c>
      <c r="EF5" s="60">
        <v>19.0</v>
      </c>
      <c r="EG5" s="54">
        <v>3.0</v>
      </c>
      <c r="EH5" s="54"/>
      <c r="EI5" s="54">
        <v>13.0</v>
      </c>
      <c r="EJ5" s="54">
        <v>9.0</v>
      </c>
      <c r="EK5" s="54">
        <v>11.0</v>
      </c>
      <c r="EL5" s="36">
        <v>7.0</v>
      </c>
      <c r="EM5" s="43">
        <v>8.0</v>
      </c>
      <c r="EN5" s="10">
        <f t="shared" si="1"/>
        <v>20</v>
      </c>
      <c r="EO5" s="10">
        <f t="shared" si="2"/>
        <v>274</v>
      </c>
      <c r="EP5" s="52">
        <f t="shared" si="3"/>
        <v>13.7</v>
      </c>
      <c r="EQ5" s="61">
        <f t="shared" si="4"/>
        <v>13.7</v>
      </c>
      <c r="ER5" s="10"/>
      <c r="ES5" s="49" t="s">
        <v>27</v>
      </c>
      <c r="ET5" s="62">
        <v>13.7</v>
      </c>
      <c r="EX5" s="10"/>
      <c r="EY5" s="10"/>
      <c r="EZ5" s="10"/>
      <c r="FA5" s="48"/>
    </row>
    <row r="6" ht="35.25" customHeight="1">
      <c r="A6" s="27" t="str">
        <f>image("http://sumo.or.jp/img/sumo_data/rikishi/60x60/20160019.jpg")</f>
        <v/>
      </c>
      <c r="B6" s="10" t="s">
        <v>31</v>
      </c>
      <c r="C6" s="11" t="s">
        <v>23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 t="s">
        <v>212</v>
      </c>
      <c r="DU6" s="36"/>
      <c r="DV6" s="36"/>
      <c r="DW6" s="35">
        <v>15.0</v>
      </c>
      <c r="DX6" s="36">
        <v>5.0</v>
      </c>
      <c r="DY6" s="36">
        <v>9.0</v>
      </c>
      <c r="DZ6" s="36">
        <v>8.0</v>
      </c>
      <c r="EA6" s="36">
        <v>7.0</v>
      </c>
      <c r="EB6" s="63">
        <v>16.0</v>
      </c>
      <c r="EC6" s="36">
        <v>7.0</v>
      </c>
      <c r="ED6" s="36">
        <v>6.0</v>
      </c>
      <c r="EE6" s="36">
        <v>8.0</v>
      </c>
      <c r="EF6" s="36">
        <v>7.0</v>
      </c>
      <c r="EG6" s="41">
        <v>32.0</v>
      </c>
      <c r="EH6" s="36">
        <v>14.0</v>
      </c>
      <c r="EI6" s="37">
        <v>28.0</v>
      </c>
      <c r="EJ6" s="38">
        <v>18.0</v>
      </c>
      <c r="EK6" s="36">
        <v>12.0</v>
      </c>
      <c r="EL6" s="36">
        <v>12.0</v>
      </c>
      <c r="EM6" s="43">
        <v>12.0</v>
      </c>
      <c r="EN6" s="10">
        <f t="shared" si="1"/>
        <v>17</v>
      </c>
      <c r="EO6" s="10">
        <f t="shared" si="2"/>
        <v>216</v>
      </c>
      <c r="EP6" s="10">
        <f t="shared" si="3"/>
        <v>12.70588235</v>
      </c>
      <c r="EQ6" s="44">
        <f t="shared" si="4"/>
        <v>12.71</v>
      </c>
      <c r="ER6" s="10"/>
      <c r="ES6" s="49" t="s">
        <v>57</v>
      </c>
      <c r="ET6" s="50">
        <v>13.5</v>
      </c>
      <c r="EX6" s="10"/>
      <c r="EY6" s="10"/>
      <c r="EZ6" s="10"/>
      <c r="FA6" s="48"/>
    </row>
    <row r="7" ht="35.25" customHeight="1">
      <c r="A7" s="64" t="str">
        <f>image("http://sumo.or.jp/img/sumo_data/rikishi/60x60/20050022.jpg")</f>
        <v/>
      </c>
      <c r="B7" s="15" t="s">
        <v>22</v>
      </c>
      <c r="C7" s="11" t="s">
        <v>81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 t="s">
        <v>212</v>
      </c>
      <c r="CJ7" s="36"/>
      <c r="CK7" s="36"/>
      <c r="CL7" s="36">
        <v>9.0</v>
      </c>
      <c r="CM7" s="36">
        <v>6.0</v>
      </c>
      <c r="CN7" s="36">
        <v>9.0</v>
      </c>
      <c r="CO7" s="36">
        <v>9.0</v>
      </c>
      <c r="CP7" s="36">
        <v>10.0</v>
      </c>
      <c r="CQ7" s="36">
        <v>8.0</v>
      </c>
      <c r="CR7" s="36">
        <v>6.0</v>
      </c>
      <c r="CS7" s="36">
        <v>10.0</v>
      </c>
      <c r="CT7" s="36">
        <v>6.0</v>
      </c>
      <c r="CU7" s="35">
        <v>21.0</v>
      </c>
      <c r="CV7" s="65">
        <v>13.0</v>
      </c>
      <c r="CW7" s="36">
        <v>10.0</v>
      </c>
      <c r="CX7" s="66">
        <v>26.0</v>
      </c>
      <c r="CY7" s="36">
        <v>6.0</v>
      </c>
      <c r="CZ7" s="36">
        <v>5.0</v>
      </c>
      <c r="DA7" s="36">
        <v>9.0</v>
      </c>
      <c r="DB7" s="36">
        <v>8.0</v>
      </c>
      <c r="DC7" s="36">
        <v>6.0</v>
      </c>
      <c r="DD7" s="35">
        <v>16.0</v>
      </c>
      <c r="DE7" s="36">
        <v>15.0</v>
      </c>
      <c r="DF7" s="67">
        <v>28.0</v>
      </c>
      <c r="DG7" s="36">
        <v>8.0</v>
      </c>
      <c r="DH7" s="36">
        <v>3.0</v>
      </c>
      <c r="DI7" s="36">
        <v>10.0</v>
      </c>
      <c r="DJ7" s="36">
        <v>15.0</v>
      </c>
      <c r="DK7" s="36">
        <v>4.0</v>
      </c>
      <c r="DL7" s="36">
        <v>9.0</v>
      </c>
      <c r="DM7" s="36">
        <v>11.0</v>
      </c>
      <c r="DN7" s="36">
        <v>9.0</v>
      </c>
      <c r="DO7" s="36">
        <v>9.0</v>
      </c>
      <c r="DP7" s="38">
        <v>24.0</v>
      </c>
      <c r="DQ7" s="35">
        <v>21.0</v>
      </c>
      <c r="DR7" s="36">
        <v>9.0</v>
      </c>
      <c r="DS7" s="35">
        <v>29.0</v>
      </c>
      <c r="DT7" s="37">
        <v>19.0</v>
      </c>
      <c r="DU7" s="38">
        <v>19.0</v>
      </c>
      <c r="DV7" s="36">
        <v>9.0</v>
      </c>
      <c r="DW7" s="36">
        <v>1.0</v>
      </c>
      <c r="DX7" s="36">
        <v>8.0</v>
      </c>
      <c r="DY7" s="36">
        <v>12.0</v>
      </c>
      <c r="DZ7" s="36">
        <v>13.0</v>
      </c>
      <c r="EA7" s="33"/>
      <c r="EB7" s="39">
        <v>9.0</v>
      </c>
      <c r="EC7" s="36">
        <v>12.0</v>
      </c>
      <c r="ED7" s="36">
        <v>12.0</v>
      </c>
      <c r="EE7" s="36">
        <v>9.0</v>
      </c>
      <c r="EF7" s="36">
        <v>11.0</v>
      </c>
      <c r="EG7" s="36">
        <v>10.0</v>
      </c>
      <c r="EH7" s="36">
        <v>8.0</v>
      </c>
      <c r="EI7" s="36"/>
      <c r="EJ7" s="36">
        <v>3.0</v>
      </c>
      <c r="EK7" s="36">
        <v>6.0</v>
      </c>
      <c r="EL7" s="36">
        <v>0.0</v>
      </c>
      <c r="EM7" s="43">
        <v>10.0</v>
      </c>
      <c r="EN7" s="10">
        <f t="shared" si="1"/>
        <v>52</v>
      </c>
      <c r="EO7" s="10">
        <f t="shared" si="2"/>
        <v>568</v>
      </c>
      <c r="EP7" s="10">
        <f t="shared" si="3"/>
        <v>10.92307692</v>
      </c>
      <c r="EQ7" s="44">
        <f t="shared" si="4"/>
        <v>10.92</v>
      </c>
      <c r="ER7" s="10"/>
      <c r="ES7" s="49" t="s">
        <v>23</v>
      </c>
      <c r="ET7" s="50">
        <v>12.71</v>
      </c>
      <c r="EX7" s="10"/>
      <c r="EY7" s="10"/>
      <c r="EZ7" s="47"/>
      <c r="FA7" s="48"/>
    </row>
    <row r="8" ht="35.25" customHeight="1">
      <c r="A8" s="68" t="str">
        <f>image("http://sumo.or.jp/img/sumo_data/rikishi/60x60/20110008.jpg")</f>
        <v/>
      </c>
      <c r="B8" s="15" t="s">
        <v>22</v>
      </c>
      <c r="C8" s="11" t="s">
        <v>51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 t="s">
        <v>212</v>
      </c>
      <c r="CZ8" s="36"/>
      <c r="DA8" s="36"/>
      <c r="DB8" s="36">
        <v>8.0</v>
      </c>
      <c r="DC8" s="36">
        <v>9.0</v>
      </c>
      <c r="DD8" s="36">
        <v>9.0</v>
      </c>
      <c r="DE8" s="36">
        <v>10.0</v>
      </c>
      <c r="DF8" s="36">
        <v>15.0</v>
      </c>
      <c r="DG8" s="35">
        <v>23.0</v>
      </c>
      <c r="DH8" s="69">
        <v>35.0</v>
      </c>
      <c r="DI8" s="35">
        <v>19.0</v>
      </c>
      <c r="DJ8" s="36">
        <v>11.0</v>
      </c>
      <c r="DK8" s="36">
        <v>13.0</v>
      </c>
      <c r="DL8" s="36">
        <v>11.0</v>
      </c>
      <c r="DM8" s="36">
        <v>3.0</v>
      </c>
      <c r="DN8" s="36">
        <v>9.0</v>
      </c>
      <c r="DO8" s="36">
        <v>2.0</v>
      </c>
      <c r="DP8" s="36">
        <v>9.0</v>
      </c>
      <c r="DQ8" s="36">
        <v>4.0</v>
      </c>
      <c r="DR8" s="36">
        <v>9.0</v>
      </c>
      <c r="DS8" s="36">
        <v>4.0</v>
      </c>
      <c r="DT8" s="36">
        <v>14.0</v>
      </c>
      <c r="DU8" s="36">
        <v>12.0</v>
      </c>
      <c r="DV8" s="36">
        <v>1.0</v>
      </c>
      <c r="DW8" s="36">
        <v>1.0</v>
      </c>
      <c r="DX8" s="36">
        <v>0.0</v>
      </c>
      <c r="DY8" s="36">
        <v>0.0</v>
      </c>
      <c r="DZ8" s="36"/>
      <c r="EA8" s="33"/>
      <c r="EB8" s="36" t="s">
        <v>213</v>
      </c>
      <c r="EC8" s="36"/>
      <c r="ED8" s="36"/>
      <c r="EE8" s="36"/>
      <c r="EF8" s="36"/>
      <c r="EG8" s="36"/>
      <c r="EH8" s="36"/>
      <c r="EI8" s="36"/>
      <c r="EJ8" s="36"/>
      <c r="EK8" s="36" t="s">
        <v>212</v>
      </c>
      <c r="EL8" s="36"/>
      <c r="EM8" s="70">
        <v>33.0</v>
      </c>
      <c r="EN8" s="10">
        <f t="shared" si="1"/>
        <v>25</v>
      </c>
      <c r="EO8" s="10">
        <f t="shared" si="2"/>
        <v>264</v>
      </c>
      <c r="EP8" s="10">
        <f t="shared" si="3"/>
        <v>10.56</v>
      </c>
      <c r="EQ8" s="44">
        <f t="shared" si="4"/>
        <v>10.56</v>
      </c>
      <c r="ER8" s="10"/>
      <c r="ES8" s="49" t="s">
        <v>76</v>
      </c>
      <c r="ET8" s="62">
        <v>12.33</v>
      </c>
      <c r="EX8" s="10"/>
      <c r="EY8" s="10"/>
      <c r="EZ8" s="47"/>
      <c r="FA8" s="48"/>
    </row>
    <row r="9" ht="35.25" customHeight="1">
      <c r="A9" s="71" t="str">
        <f>image("http://sumo.or.jp/img/sumo_data/rikishi/60x60/20020002.jpg")</f>
        <v/>
      </c>
      <c r="B9" s="10" t="s">
        <v>22</v>
      </c>
      <c r="C9" s="11" t="s">
        <v>114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 t="s">
        <v>212</v>
      </c>
      <c r="AX9" s="36"/>
      <c r="AY9" s="36"/>
      <c r="AZ9" s="36">
        <v>5.0</v>
      </c>
      <c r="BA9" s="36"/>
      <c r="BB9" s="36">
        <v>10.0</v>
      </c>
      <c r="BC9" s="36">
        <v>8.0</v>
      </c>
      <c r="BD9" s="36">
        <v>7.0</v>
      </c>
      <c r="BE9" s="36">
        <v>6.0</v>
      </c>
      <c r="BF9" s="36">
        <v>8.0</v>
      </c>
      <c r="BG9" s="36">
        <v>9.0</v>
      </c>
      <c r="BH9" s="36">
        <v>13.0</v>
      </c>
      <c r="BI9" s="36">
        <v>3.0</v>
      </c>
      <c r="BJ9" s="36">
        <v>10.0</v>
      </c>
      <c r="BK9" s="38">
        <v>18.0</v>
      </c>
      <c r="BL9" s="36">
        <v>18.0</v>
      </c>
      <c r="BM9" s="36">
        <v>8.0</v>
      </c>
      <c r="BN9" s="36">
        <v>8.0</v>
      </c>
      <c r="BO9" s="36">
        <v>7.0</v>
      </c>
      <c r="BP9" s="36">
        <v>14.0</v>
      </c>
      <c r="BQ9" s="38">
        <v>21.0</v>
      </c>
      <c r="BR9" s="36">
        <v>13.0</v>
      </c>
      <c r="BS9" s="37">
        <v>15.0</v>
      </c>
      <c r="BT9" s="36">
        <v>9.0</v>
      </c>
      <c r="BU9" s="36">
        <v>7.0</v>
      </c>
      <c r="BV9" s="36">
        <v>12.0</v>
      </c>
      <c r="BW9" s="36">
        <v>11.0</v>
      </c>
      <c r="BX9" s="36">
        <v>9.0</v>
      </c>
      <c r="BY9" s="36">
        <v>14.0</v>
      </c>
      <c r="BZ9" s="36">
        <v>12.0</v>
      </c>
      <c r="CA9" s="36">
        <v>12.0</v>
      </c>
      <c r="CB9" s="36">
        <v>7.0</v>
      </c>
      <c r="CC9" s="36">
        <v>17.0</v>
      </c>
      <c r="CD9" s="36">
        <v>8.0</v>
      </c>
      <c r="CE9" s="36">
        <v>17.0</v>
      </c>
      <c r="CF9" s="36">
        <v>14.0</v>
      </c>
      <c r="CG9" s="36">
        <v>8.0</v>
      </c>
      <c r="CH9" s="36">
        <v>20.0</v>
      </c>
      <c r="CI9" s="36">
        <v>15.0</v>
      </c>
      <c r="CJ9" s="38">
        <v>18.0</v>
      </c>
      <c r="CK9" s="36">
        <v>11.0</v>
      </c>
      <c r="CL9" s="37">
        <v>20.0</v>
      </c>
      <c r="CM9" s="40">
        <v>25.0</v>
      </c>
      <c r="CN9" s="36">
        <v>11.0</v>
      </c>
      <c r="CO9" s="36">
        <v>8.0</v>
      </c>
      <c r="CP9" s="36">
        <v>9.0</v>
      </c>
      <c r="CQ9" s="36">
        <v>10.0</v>
      </c>
      <c r="CR9" s="36">
        <v>10.0</v>
      </c>
      <c r="CS9" s="36">
        <v>2.0</v>
      </c>
      <c r="CT9" s="36">
        <v>9.0</v>
      </c>
      <c r="CU9" s="36">
        <v>8.0</v>
      </c>
      <c r="CV9" s="36">
        <v>8.0</v>
      </c>
      <c r="CW9" s="36">
        <v>11.0</v>
      </c>
      <c r="CX9" s="36">
        <v>9.0</v>
      </c>
      <c r="CY9" s="36">
        <v>11.0</v>
      </c>
      <c r="CZ9" s="36">
        <v>1.0</v>
      </c>
      <c r="DA9" s="36">
        <v>9.0</v>
      </c>
      <c r="DB9" s="36">
        <v>10.0</v>
      </c>
      <c r="DC9" s="36">
        <v>5.0</v>
      </c>
      <c r="DD9" s="36">
        <v>13.0</v>
      </c>
      <c r="DE9" s="36">
        <v>10.0</v>
      </c>
      <c r="DF9" s="36">
        <v>6.0</v>
      </c>
      <c r="DG9" s="36">
        <v>10.0</v>
      </c>
      <c r="DH9" s="36">
        <v>9.0</v>
      </c>
      <c r="DI9" s="36">
        <v>6.0</v>
      </c>
      <c r="DJ9" s="36">
        <v>8.0</v>
      </c>
      <c r="DK9" s="36">
        <v>11.0</v>
      </c>
      <c r="DL9" s="36">
        <v>8.0</v>
      </c>
      <c r="DM9" s="41">
        <v>22.0</v>
      </c>
      <c r="DN9" s="36">
        <v>8.0</v>
      </c>
      <c r="DO9" s="36">
        <v>11.0</v>
      </c>
      <c r="DP9" s="36">
        <v>1.0</v>
      </c>
      <c r="DQ9" s="36">
        <v>9.0</v>
      </c>
      <c r="DR9" s="36">
        <v>5.0</v>
      </c>
      <c r="DS9" s="36">
        <v>5.0</v>
      </c>
      <c r="DT9" s="36">
        <v>13.0</v>
      </c>
      <c r="DU9" s="36">
        <v>9.0</v>
      </c>
      <c r="DV9" s="36">
        <v>11.0</v>
      </c>
      <c r="DW9" s="36">
        <v>22.0</v>
      </c>
      <c r="DX9" s="36">
        <v>7.0</v>
      </c>
      <c r="DY9" s="36">
        <v>13.0</v>
      </c>
      <c r="DZ9" s="36">
        <v>9.0</v>
      </c>
      <c r="EA9" s="36">
        <v>10.0</v>
      </c>
      <c r="EB9" s="39">
        <v>9.0</v>
      </c>
      <c r="EC9" s="36">
        <v>7.0</v>
      </c>
      <c r="ED9" s="36">
        <v>10.0</v>
      </c>
      <c r="EE9" s="36">
        <v>7.0</v>
      </c>
      <c r="EF9" s="36">
        <v>11.0</v>
      </c>
      <c r="EG9" s="36">
        <v>9.0</v>
      </c>
      <c r="EH9" s="36">
        <v>11.0</v>
      </c>
      <c r="EI9" s="36">
        <v>6.0</v>
      </c>
      <c r="EJ9" s="36">
        <v>6.0</v>
      </c>
      <c r="EK9" s="36">
        <v>7.0</v>
      </c>
      <c r="EL9" s="36">
        <v>7.0</v>
      </c>
      <c r="EM9" s="43">
        <v>8.0</v>
      </c>
      <c r="EN9" s="10">
        <f t="shared" si="1"/>
        <v>91</v>
      </c>
      <c r="EO9" s="10">
        <f t="shared" si="2"/>
        <v>932</v>
      </c>
      <c r="EP9" s="10">
        <f t="shared" si="3"/>
        <v>10.24175824</v>
      </c>
      <c r="EQ9" s="44">
        <f t="shared" si="4"/>
        <v>10.24</v>
      </c>
      <c r="ER9" s="10"/>
      <c r="ES9" s="49" t="s">
        <v>32</v>
      </c>
      <c r="ET9" s="50">
        <v>12.19</v>
      </c>
      <c r="EX9" s="10"/>
      <c r="EY9" s="10"/>
      <c r="EZ9" s="10"/>
      <c r="FA9" s="48"/>
    </row>
    <row r="10" ht="35.25" customHeight="1">
      <c r="A10" s="27" t="str">
        <f>image("http://sumo.or.jp/img/sumo_data/rikishi/60x60/20060028.jpg")</f>
        <v/>
      </c>
      <c r="B10" s="72" t="s">
        <v>22</v>
      </c>
      <c r="C10" s="73" t="s">
        <v>72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 t="s">
        <v>212</v>
      </c>
      <c r="BS10" s="74"/>
      <c r="BT10" s="74">
        <v>7.0</v>
      </c>
      <c r="BU10" s="74">
        <v>8.0</v>
      </c>
      <c r="BV10" s="74">
        <v>8.0</v>
      </c>
      <c r="BW10" s="74">
        <v>4.0</v>
      </c>
      <c r="BX10" s="74">
        <v>8.0</v>
      </c>
      <c r="BY10" s="74">
        <v>6.0</v>
      </c>
      <c r="BZ10" s="74">
        <v>9.0</v>
      </c>
      <c r="CA10" s="74">
        <v>9.0</v>
      </c>
      <c r="CB10" s="74">
        <v>12.0</v>
      </c>
      <c r="CC10" s="75">
        <v>17.0</v>
      </c>
      <c r="CD10" s="74">
        <v>8.0</v>
      </c>
      <c r="CE10" s="74">
        <v>9.0</v>
      </c>
      <c r="CF10" s="75">
        <v>27.0</v>
      </c>
      <c r="CG10" s="74">
        <v>10.0</v>
      </c>
      <c r="CH10" s="74">
        <v>17.0</v>
      </c>
      <c r="CI10" s="74">
        <v>9.0</v>
      </c>
      <c r="CJ10" s="74">
        <v>4.0</v>
      </c>
      <c r="CK10" s="75">
        <v>22.0</v>
      </c>
      <c r="CL10" s="74">
        <v>7.0</v>
      </c>
      <c r="CM10" s="74">
        <v>9.0</v>
      </c>
      <c r="CN10" s="74">
        <v>2.0</v>
      </c>
      <c r="CO10" s="74">
        <v>10.0</v>
      </c>
      <c r="CP10" s="74">
        <v>5.0</v>
      </c>
      <c r="CQ10" s="74">
        <v>9.0</v>
      </c>
      <c r="CR10" s="74">
        <v>11.0</v>
      </c>
      <c r="CS10" s="74">
        <v>7.0</v>
      </c>
      <c r="CT10" s="74">
        <v>7.0</v>
      </c>
      <c r="CU10" s="74">
        <v>9.0</v>
      </c>
      <c r="CV10" s="74">
        <v>11.0</v>
      </c>
      <c r="CW10" s="74">
        <v>3.0</v>
      </c>
      <c r="CX10" s="74">
        <v>3.0</v>
      </c>
      <c r="CY10" s="74"/>
      <c r="CZ10" s="74"/>
      <c r="DA10" s="74"/>
      <c r="DB10" s="74"/>
      <c r="DC10" s="74"/>
      <c r="DD10" s="74"/>
      <c r="DE10" s="74"/>
      <c r="DF10" s="75">
        <v>16.0</v>
      </c>
      <c r="DG10" s="74">
        <v>11.0</v>
      </c>
      <c r="DH10" s="76">
        <v>15.0</v>
      </c>
      <c r="DI10" s="74">
        <v>15.0</v>
      </c>
      <c r="DJ10" s="74">
        <v>11.0</v>
      </c>
      <c r="DK10" s="75">
        <v>18.0</v>
      </c>
      <c r="DL10" s="74">
        <v>12.0</v>
      </c>
      <c r="DM10" s="74">
        <v>10.0</v>
      </c>
      <c r="DN10" s="74">
        <v>10.0</v>
      </c>
      <c r="DO10" s="77">
        <v>18.0</v>
      </c>
      <c r="DP10" s="74">
        <v>7.0</v>
      </c>
      <c r="DQ10" s="74">
        <v>10.0</v>
      </c>
      <c r="DR10" s="74">
        <v>13.0</v>
      </c>
      <c r="DS10" s="74">
        <v>0.0</v>
      </c>
      <c r="DT10" s="74">
        <v>7.0</v>
      </c>
      <c r="DU10" s="74">
        <v>14.0</v>
      </c>
      <c r="DV10" s="74">
        <v>21.0</v>
      </c>
      <c r="DW10" s="74">
        <v>5.0</v>
      </c>
      <c r="DX10" s="74">
        <v>9.0</v>
      </c>
      <c r="DY10" s="78">
        <v>40.0</v>
      </c>
      <c r="DZ10" s="79">
        <v>17.0</v>
      </c>
      <c r="EA10" s="80">
        <v>25.0</v>
      </c>
      <c r="EB10" s="81">
        <v>5.0</v>
      </c>
      <c r="EC10" s="74">
        <v>10.0</v>
      </c>
      <c r="ED10" s="74">
        <v>8.0</v>
      </c>
      <c r="EE10" s="74">
        <v>0.0</v>
      </c>
      <c r="EF10" s="74">
        <v>7.0</v>
      </c>
      <c r="EG10" s="74">
        <v>12.0</v>
      </c>
      <c r="EH10" s="74">
        <v>0.0</v>
      </c>
      <c r="EI10" s="74">
        <v>6.0</v>
      </c>
      <c r="EJ10" s="74">
        <v>2.0</v>
      </c>
      <c r="EK10" s="74">
        <v>7.0</v>
      </c>
      <c r="EL10" s="36">
        <v>6.0</v>
      </c>
      <c r="EM10" s="43">
        <v>10.0</v>
      </c>
      <c r="EN10" s="10">
        <f t="shared" si="1"/>
        <v>65</v>
      </c>
      <c r="EO10" s="10">
        <f t="shared" si="2"/>
        <v>664</v>
      </c>
      <c r="EP10" s="72">
        <f t="shared" si="3"/>
        <v>10.21538462</v>
      </c>
      <c r="EQ10" s="82">
        <f t="shared" si="4"/>
        <v>10.22</v>
      </c>
      <c r="ER10" s="10"/>
      <c r="ES10" s="49" t="s">
        <v>146</v>
      </c>
      <c r="ET10" s="50">
        <v>12.13</v>
      </c>
      <c r="EX10" s="10"/>
      <c r="EY10" s="10"/>
      <c r="EZ10" s="10"/>
      <c r="FA10" s="48"/>
    </row>
    <row r="11" ht="35.25" customHeight="1">
      <c r="A11" s="27" t="str">
        <f>image("http://sumo.or.jp/img/sumo_data/rikishi/60x60/20150032.jpg")</f>
        <v/>
      </c>
      <c r="B11" s="10" t="s">
        <v>31</v>
      </c>
      <c r="C11" s="11" t="s">
        <v>36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 t="s">
        <v>212</v>
      </c>
      <c r="DK11" s="36"/>
      <c r="DL11" s="36">
        <v>8.0</v>
      </c>
      <c r="DM11" s="36">
        <v>5.0</v>
      </c>
      <c r="DN11" s="36">
        <v>10.0</v>
      </c>
      <c r="DO11" s="35">
        <v>16.0</v>
      </c>
      <c r="DP11" s="36">
        <v>9.0</v>
      </c>
      <c r="DQ11" s="36">
        <v>17.0</v>
      </c>
      <c r="DR11" s="36">
        <v>9.0</v>
      </c>
      <c r="DS11" s="38">
        <v>35.0</v>
      </c>
      <c r="DT11" s="36">
        <v>10.0</v>
      </c>
      <c r="DU11" s="37">
        <v>21.0</v>
      </c>
      <c r="DV11" s="37">
        <v>18.0</v>
      </c>
      <c r="DW11" s="36">
        <v>8.0</v>
      </c>
      <c r="DX11" s="36">
        <v>10.0</v>
      </c>
      <c r="DY11" s="36">
        <v>10.0</v>
      </c>
      <c r="DZ11" s="36">
        <v>8.0</v>
      </c>
      <c r="EA11" s="36">
        <v>10.0</v>
      </c>
      <c r="EB11" s="41">
        <v>29.0</v>
      </c>
      <c r="EC11" s="36">
        <v>11.0</v>
      </c>
      <c r="ED11" s="36">
        <v>8.0</v>
      </c>
      <c r="EE11" s="37">
        <v>26.0</v>
      </c>
      <c r="EF11" s="36">
        <v>12.0</v>
      </c>
      <c r="EG11" s="36">
        <v>12.0</v>
      </c>
      <c r="EH11" s="36">
        <v>9.0</v>
      </c>
      <c r="EI11" s="41">
        <v>24.0</v>
      </c>
      <c r="EJ11" s="36">
        <v>6.0</v>
      </c>
      <c r="EK11" s="36">
        <v>12.0</v>
      </c>
      <c r="EL11" s="36">
        <v>19.0</v>
      </c>
      <c r="EM11" s="83">
        <v>19.0</v>
      </c>
      <c r="EN11" s="10">
        <f t="shared" si="1"/>
        <v>28</v>
      </c>
      <c r="EO11" s="10">
        <f t="shared" si="2"/>
        <v>391</v>
      </c>
      <c r="EP11" s="10">
        <f t="shared" si="3"/>
        <v>13.96428571</v>
      </c>
      <c r="EQ11" s="44">
        <f t="shared" si="4"/>
        <v>13.96</v>
      </c>
      <c r="ER11" s="10"/>
      <c r="ES11" s="49" t="s">
        <v>81</v>
      </c>
      <c r="ET11" s="50">
        <v>10.92</v>
      </c>
      <c r="EX11" s="15"/>
      <c r="EY11" s="10"/>
      <c r="EZ11" s="10"/>
      <c r="FA11" s="48"/>
    </row>
    <row r="12" ht="35.25" customHeight="1">
      <c r="A12" s="27" t="str">
        <f>image("http://sumo.or.jp/img/sumo_data/rikishi/60x60/20140019.jpg")</f>
        <v/>
      </c>
      <c r="B12" s="10" t="s">
        <v>31</v>
      </c>
      <c r="C12" s="11" t="s">
        <v>32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 t="s">
        <v>212</v>
      </c>
      <c r="DL12" s="36"/>
      <c r="DM12" s="35">
        <v>15.0</v>
      </c>
      <c r="DN12" s="36">
        <v>9.0</v>
      </c>
      <c r="DO12" s="36">
        <v>12.0</v>
      </c>
      <c r="DP12" s="36">
        <v>15.0</v>
      </c>
      <c r="DQ12" s="36">
        <v>10.0</v>
      </c>
      <c r="DR12" s="35">
        <v>19.0</v>
      </c>
      <c r="DS12" s="36">
        <v>9.0</v>
      </c>
      <c r="DT12" s="36">
        <v>9.0</v>
      </c>
      <c r="DU12" s="36">
        <v>13.0</v>
      </c>
      <c r="DV12" s="36">
        <v>11.0</v>
      </c>
      <c r="DW12" s="36">
        <v>7.0</v>
      </c>
      <c r="DX12" s="36">
        <v>9.0</v>
      </c>
      <c r="DY12" s="36">
        <v>12.0</v>
      </c>
      <c r="DZ12" s="36">
        <v>11.0</v>
      </c>
      <c r="EA12" s="36">
        <v>12.0</v>
      </c>
      <c r="EB12" s="39">
        <v>9.0</v>
      </c>
      <c r="EC12" s="36">
        <v>12.0</v>
      </c>
      <c r="ED12" s="36">
        <v>13.0</v>
      </c>
      <c r="EE12" s="36">
        <v>10.0</v>
      </c>
      <c r="EF12" s="36">
        <v>7.0</v>
      </c>
      <c r="EG12" s="36">
        <v>13.0</v>
      </c>
      <c r="EH12" s="36">
        <v>18.0</v>
      </c>
      <c r="EI12" s="36">
        <v>3.0</v>
      </c>
      <c r="EJ12" s="35">
        <v>17.0</v>
      </c>
      <c r="EK12" s="35">
        <v>27.0</v>
      </c>
      <c r="EL12" s="36">
        <v>11.0</v>
      </c>
      <c r="EM12" s="84">
        <v>16.0</v>
      </c>
      <c r="EN12" s="10">
        <f t="shared" si="1"/>
        <v>27</v>
      </c>
      <c r="EO12" s="10">
        <f t="shared" si="2"/>
        <v>329</v>
      </c>
      <c r="EP12" s="10">
        <f t="shared" si="3"/>
        <v>12.18518519</v>
      </c>
      <c r="EQ12" s="44">
        <f t="shared" si="4"/>
        <v>12.19</v>
      </c>
      <c r="ER12" s="10"/>
      <c r="ES12" s="49" t="s">
        <v>19</v>
      </c>
      <c r="ET12" s="50">
        <v>10.88</v>
      </c>
      <c r="EX12" s="10"/>
      <c r="EY12" s="10"/>
      <c r="EZ12" s="10"/>
      <c r="FA12" s="48"/>
    </row>
    <row r="13" ht="35.25" customHeight="1">
      <c r="A13" s="27" t="str">
        <f>image("http://sumo.or.jp/img/sumo_data/rikishi/60x60/20130077.jpg")</f>
        <v/>
      </c>
      <c r="B13" s="10" t="s">
        <v>31</v>
      </c>
      <c r="C13" s="11" t="s">
        <v>146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 t="s">
        <v>212</v>
      </c>
      <c r="DD13" s="36"/>
      <c r="DE13" s="69">
        <v>33.0</v>
      </c>
      <c r="DF13" s="36">
        <v>9.0</v>
      </c>
      <c r="DG13" s="36">
        <v>8.0</v>
      </c>
      <c r="DH13" s="36">
        <v>20.0</v>
      </c>
      <c r="DI13" s="36">
        <v>13.0</v>
      </c>
      <c r="DJ13" s="36">
        <v>5.0</v>
      </c>
      <c r="DK13" s="36">
        <v>11.0</v>
      </c>
      <c r="DL13" s="36">
        <v>15.0</v>
      </c>
      <c r="DM13" s="36">
        <v>6.0</v>
      </c>
      <c r="DN13" s="36">
        <v>11.0</v>
      </c>
      <c r="DO13" s="36">
        <v>14.0</v>
      </c>
      <c r="DP13" s="36">
        <v>9.0</v>
      </c>
      <c r="DQ13" s="36"/>
      <c r="DR13" s="36">
        <v>7.0</v>
      </c>
      <c r="DS13" s="36">
        <v>11.0</v>
      </c>
      <c r="DT13" s="36">
        <v>6.0</v>
      </c>
      <c r="DU13" s="36">
        <v>8.0</v>
      </c>
      <c r="DV13" s="36">
        <v>7.0</v>
      </c>
      <c r="DW13" s="36">
        <v>8.0</v>
      </c>
      <c r="DX13" s="36">
        <v>21.0</v>
      </c>
      <c r="DY13" s="36">
        <v>23.0</v>
      </c>
      <c r="DZ13" s="36">
        <v>11.0</v>
      </c>
      <c r="EA13" s="36">
        <v>10.0</v>
      </c>
      <c r="EB13" s="39">
        <v>10.0</v>
      </c>
      <c r="EC13" s="36">
        <v>10.0</v>
      </c>
      <c r="ED13" s="36">
        <v>6.0</v>
      </c>
      <c r="EE13" s="36">
        <v>20.0</v>
      </c>
      <c r="EF13" s="37">
        <v>28.0</v>
      </c>
      <c r="EG13" s="36">
        <v>5.0</v>
      </c>
      <c r="EH13" s="36">
        <v>15.0</v>
      </c>
      <c r="EI13" s="36">
        <v>4.0</v>
      </c>
      <c r="EJ13" s="36"/>
      <c r="EK13" s="36"/>
      <c r="EL13" s="36"/>
      <c r="EM13" s="43"/>
      <c r="EN13" s="10">
        <f t="shared" si="1"/>
        <v>30</v>
      </c>
      <c r="EO13" s="10">
        <f t="shared" si="2"/>
        <v>364</v>
      </c>
      <c r="EP13" s="10">
        <f t="shared" si="3"/>
        <v>12.13333333</v>
      </c>
      <c r="EQ13" s="44">
        <f t="shared" si="4"/>
        <v>12.13</v>
      </c>
      <c r="ER13" s="10"/>
      <c r="ES13" s="49" t="s">
        <v>48</v>
      </c>
      <c r="ET13" s="50">
        <v>10.85</v>
      </c>
      <c r="EX13" s="10"/>
      <c r="EY13" s="10"/>
      <c r="EZ13" s="10"/>
      <c r="FA13" s="48"/>
    </row>
    <row r="14" ht="35.25" customHeight="1">
      <c r="A14" s="27" t="str">
        <f>image("http://sumo.or.jp/img/sumo_data/rikishi/60x60/20090065.jpg")</f>
        <v/>
      </c>
      <c r="B14" s="15" t="s">
        <v>31</v>
      </c>
      <c r="C14" s="11" t="s">
        <v>62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 t="s">
        <v>212</v>
      </c>
      <c r="CE14" s="36"/>
      <c r="CF14" s="36"/>
      <c r="CG14" s="36"/>
      <c r="CH14" s="36"/>
      <c r="CI14" s="36"/>
      <c r="CJ14" s="36"/>
      <c r="CK14" s="36"/>
      <c r="CL14" s="36"/>
      <c r="CM14" s="36"/>
      <c r="CN14" s="36">
        <v>10.0</v>
      </c>
      <c r="CO14" s="38">
        <v>14.0</v>
      </c>
      <c r="CP14" s="36">
        <v>11.0</v>
      </c>
      <c r="CQ14" s="38">
        <v>29.0</v>
      </c>
      <c r="CR14" s="38">
        <v>18.0</v>
      </c>
      <c r="CS14" s="38">
        <v>16.0</v>
      </c>
      <c r="CT14" s="36">
        <v>10.0</v>
      </c>
      <c r="CU14" s="36">
        <v>16.0</v>
      </c>
      <c r="CV14" s="36">
        <v>17.0</v>
      </c>
      <c r="CW14" s="38">
        <v>28.0</v>
      </c>
      <c r="CX14" s="36">
        <v>11.0</v>
      </c>
      <c r="CY14" s="36">
        <v>7.0</v>
      </c>
      <c r="CZ14" s="36">
        <v>11.0</v>
      </c>
      <c r="DA14" s="36">
        <v>0.0</v>
      </c>
      <c r="DB14" s="36">
        <v>8.0</v>
      </c>
      <c r="DC14" s="36">
        <v>8.0</v>
      </c>
      <c r="DD14" s="36">
        <v>11.0</v>
      </c>
      <c r="DE14" s="36"/>
      <c r="DF14" s="36">
        <v>9.0</v>
      </c>
      <c r="DG14" s="36">
        <v>10.0</v>
      </c>
      <c r="DH14" s="36">
        <v>10.0</v>
      </c>
      <c r="DI14" s="36">
        <v>10.0</v>
      </c>
      <c r="DJ14" s="36">
        <v>11.0</v>
      </c>
      <c r="DK14" s="36">
        <v>11.0</v>
      </c>
      <c r="DL14" s="36">
        <v>4.0</v>
      </c>
      <c r="DM14" s="36">
        <v>8.0</v>
      </c>
      <c r="DN14" s="36">
        <v>10.0</v>
      </c>
      <c r="DO14" s="36">
        <v>14.0</v>
      </c>
      <c r="DP14" s="36">
        <v>14.0</v>
      </c>
      <c r="DQ14" s="36">
        <v>7.0</v>
      </c>
      <c r="DR14" s="36">
        <v>8.0</v>
      </c>
      <c r="DS14" s="36">
        <v>4.0</v>
      </c>
      <c r="DT14" s="36">
        <v>6.0</v>
      </c>
      <c r="DU14" s="36">
        <v>4.0</v>
      </c>
      <c r="DV14" s="36"/>
      <c r="DW14" s="36"/>
      <c r="DX14" s="36">
        <v>6.0</v>
      </c>
      <c r="DY14" s="36"/>
      <c r="DZ14" s="36">
        <v>6.0</v>
      </c>
      <c r="EA14" s="36">
        <v>10.0</v>
      </c>
      <c r="EB14" s="39">
        <v>9.0</v>
      </c>
      <c r="EC14" s="36">
        <v>8.0</v>
      </c>
      <c r="ED14" s="36">
        <v>16.0</v>
      </c>
      <c r="EE14" s="36">
        <v>7.0</v>
      </c>
      <c r="EF14" s="36">
        <v>12.0</v>
      </c>
      <c r="EG14" s="36">
        <v>10.0</v>
      </c>
      <c r="EH14" s="36">
        <v>8.0</v>
      </c>
      <c r="EI14" s="36">
        <v>12.0</v>
      </c>
      <c r="EJ14" s="36">
        <v>16.0</v>
      </c>
      <c r="EK14" s="36">
        <v>13.0</v>
      </c>
      <c r="EL14" s="36">
        <v>5.0</v>
      </c>
      <c r="EM14" s="43">
        <v>10.0</v>
      </c>
      <c r="EN14" s="10">
        <f t="shared" si="1"/>
        <v>48</v>
      </c>
      <c r="EO14" s="10">
        <f t="shared" si="2"/>
        <v>513</v>
      </c>
      <c r="EP14" s="10">
        <f t="shared" si="3"/>
        <v>10.6875</v>
      </c>
      <c r="EQ14" s="44">
        <f t="shared" si="4"/>
        <v>10.69</v>
      </c>
      <c r="ER14" s="10"/>
      <c r="ES14" s="49" t="s">
        <v>131</v>
      </c>
      <c r="ET14" s="50">
        <v>10.73</v>
      </c>
      <c r="EX14" s="10"/>
      <c r="EY14" s="10"/>
      <c r="EZ14" s="10"/>
      <c r="FA14" s="48"/>
    </row>
    <row r="15" ht="35.25" customHeight="1">
      <c r="A15" s="27" t="str">
        <f>image("http://sumo.or.jp/img/sumo_data/rikishi/60x60/20050003.jpg")</f>
        <v/>
      </c>
      <c r="B15" s="15" t="s">
        <v>31</v>
      </c>
      <c r="C15" s="11" t="s">
        <v>45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 t="s">
        <v>212</v>
      </c>
      <c r="BZ15" s="36"/>
      <c r="CA15" s="36" t="s">
        <v>214</v>
      </c>
      <c r="CB15" s="36" t="s">
        <v>212</v>
      </c>
      <c r="CC15" s="36"/>
      <c r="CD15" s="36"/>
      <c r="CE15" s="36">
        <v>8.0</v>
      </c>
      <c r="CF15" s="36">
        <v>5.0</v>
      </c>
      <c r="CG15" s="36"/>
      <c r="CH15" s="36"/>
      <c r="CI15" s="36">
        <v>8.0</v>
      </c>
      <c r="CJ15" s="35">
        <v>16.0</v>
      </c>
      <c r="CK15" s="36">
        <v>16.0</v>
      </c>
      <c r="CL15" s="36">
        <v>13.0</v>
      </c>
      <c r="CM15" s="36">
        <v>16.0</v>
      </c>
      <c r="CN15" s="36">
        <v>12.0</v>
      </c>
      <c r="CO15" s="36">
        <v>5.0</v>
      </c>
      <c r="CP15" s="36">
        <v>8.0</v>
      </c>
      <c r="CQ15" s="36">
        <v>10.0</v>
      </c>
      <c r="CR15" s="36">
        <v>9.0</v>
      </c>
      <c r="CS15" s="36">
        <v>11.0</v>
      </c>
      <c r="CT15" s="36">
        <v>9.0</v>
      </c>
      <c r="CU15" s="36">
        <v>8.0</v>
      </c>
      <c r="CV15" s="35">
        <v>16.0</v>
      </c>
      <c r="CW15" s="36">
        <v>6.0</v>
      </c>
      <c r="CX15" s="36">
        <v>9.0</v>
      </c>
      <c r="CY15" s="36">
        <v>16.0</v>
      </c>
      <c r="CZ15" s="36">
        <v>11.0</v>
      </c>
      <c r="DA15" s="36">
        <v>13.0</v>
      </c>
      <c r="DB15" s="36">
        <v>9.0</v>
      </c>
      <c r="DC15" s="36">
        <v>6.0</v>
      </c>
      <c r="DD15" s="36">
        <v>6.0</v>
      </c>
      <c r="DE15" s="36">
        <v>10.0</v>
      </c>
      <c r="DF15" s="36">
        <v>8.0</v>
      </c>
      <c r="DG15" s="36">
        <v>11.0</v>
      </c>
      <c r="DH15" s="36">
        <v>0.0</v>
      </c>
      <c r="DI15" s="36">
        <v>9.0</v>
      </c>
      <c r="DJ15" s="36">
        <v>13.0</v>
      </c>
      <c r="DK15" s="36">
        <v>14.0</v>
      </c>
      <c r="DL15" s="36">
        <v>8.0</v>
      </c>
      <c r="DM15" s="36">
        <v>12.0</v>
      </c>
      <c r="DN15" s="36">
        <v>19.0</v>
      </c>
      <c r="DO15" s="36">
        <v>12.0</v>
      </c>
      <c r="DP15" s="36">
        <v>18.0</v>
      </c>
      <c r="DQ15" s="37">
        <v>31.0</v>
      </c>
      <c r="DR15" s="36">
        <v>6.0</v>
      </c>
      <c r="DS15" s="36">
        <v>9.0</v>
      </c>
      <c r="DT15" s="36">
        <v>10.0</v>
      </c>
      <c r="DU15" s="36">
        <v>3.0</v>
      </c>
      <c r="DV15" s="36">
        <v>5.0</v>
      </c>
      <c r="DW15" s="36">
        <v>8.0</v>
      </c>
      <c r="DX15" s="35">
        <v>16.0</v>
      </c>
      <c r="DY15" s="36">
        <v>7.0</v>
      </c>
      <c r="DZ15" s="36">
        <v>7.0</v>
      </c>
      <c r="EA15" s="36">
        <v>5.0</v>
      </c>
      <c r="EB15" s="39">
        <v>8.0</v>
      </c>
      <c r="EC15" s="36">
        <v>8.0</v>
      </c>
      <c r="ED15" s="36">
        <v>11.0</v>
      </c>
      <c r="EE15" s="36">
        <v>11.0</v>
      </c>
      <c r="EF15" s="36">
        <v>8.0</v>
      </c>
      <c r="EG15" s="36">
        <v>6.0</v>
      </c>
      <c r="EH15" s="36">
        <v>8.0</v>
      </c>
      <c r="EI15" s="35">
        <v>17.0</v>
      </c>
      <c r="EJ15" s="36">
        <v>10.0</v>
      </c>
      <c r="EK15" s="36">
        <v>13.0</v>
      </c>
      <c r="EL15" s="36">
        <v>14.0</v>
      </c>
      <c r="EM15" s="43">
        <v>11.0</v>
      </c>
      <c r="EN15" s="10">
        <f t="shared" si="1"/>
        <v>59</v>
      </c>
      <c r="EO15" s="10">
        <f t="shared" si="2"/>
        <v>612</v>
      </c>
      <c r="EP15" s="10">
        <f t="shared" si="3"/>
        <v>10.37288136</v>
      </c>
      <c r="EQ15" s="44">
        <f t="shared" si="4"/>
        <v>10.37</v>
      </c>
      <c r="ER15" s="10"/>
      <c r="ES15" s="49" t="s">
        <v>62</v>
      </c>
      <c r="ET15" s="50">
        <v>10.69</v>
      </c>
      <c r="EX15" s="10"/>
      <c r="EY15" s="10"/>
      <c r="EZ15" s="10"/>
      <c r="FA15" s="48"/>
    </row>
    <row r="16" ht="35.25" customHeight="1">
      <c r="A16" s="27" t="str">
        <f>image("http://sumo.or.jp/img/sumo_data/rikishi/60x60/20090067.jpg")</f>
        <v/>
      </c>
      <c r="B16" s="10" t="s">
        <v>31</v>
      </c>
      <c r="C16" s="11" t="s">
        <v>90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 t="s">
        <v>212</v>
      </c>
      <c r="CM16" s="36"/>
      <c r="CN16" s="35">
        <v>16.0</v>
      </c>
      <c r="CO16" s="36">
        <v>6.0</v>
      </c>
      <c r="CP16" s="36">
        <v>8.0</v>
      </c>
      <c r="CQ16" s="36">
        <v>12.0</v>
      </c>
      <c r="CR16" s="36">
        <v>13.0</v>
      </c>
      <c r="CS16" s="36">
        <v>4.0</v>
      </c>
      <c r="CT16" s="36">
        <v>6.0</v>
      </c>
      <c r="CU16" s="36">
        <v>7.0</v>
      </c>
      <c r="CV16" s="36">
        <v>9.0</v>
      </c>
      <c r="CW16" s="36">
        <v>5.0</v>
      </c>
      <c r="CX16" s="36">
        <v>10.0</v>
      </c>
      <c r="CY16" s="36">
        <v>11.0</v>
      </c>
      <c r="CZ16" s="36">
        <v>14.0</v>
      </c>
      <c r="DA16" s="36">
        <v>10.0</v>
      </c>
      <c r="DB16" s="36">
        <v>10.0</v>
      </c>
      <c r="DC16" s="36">
        <v>16.0</v>
      </c>
      <c r="DD16" s="36">
        <v>6.0</v>
      </c>
      <c r="DE16" s="36">
        <v>19.0</v>
      </c>
      <c r="DF16" s="36">
        <v>11.0</v>
      </c>
      <c r="DG16" s="36">
        <v>7.0</v>
      </c>
      <c r="DH16" s="36">
        <v>11.0</v>
      </c>
      <c r="DI16" s="36">
        <v>12.0</v>
      </c>
      <c r="DJ16" s="36">
        <v>14.0</v>
      </c>
      <c r="DK16" s="36">
        <v>8.0</v>
      </c>
      <c r="DL16" s="36">
        <v>12.0</v>
      </c>
      <c r="DM16" s="36">
        <v>10.0</v>
      </c>
      <c r="DN16" s="36">
        <v>12.0</v>
      </c>
      <c r="DO16" s="36">
        <v>8.0</v>
      </c>
      <c r="DP16" s="36">
        <v>9.0</v>
      </c>
      <c r="DQ16" s="36">
        <v>14.0</v>
      </c>
      <c r="DR16" s="36">
        <v>9.0</v>
      </c>
      <c r="DS16" s="36">
        <v>8.0</v>
      </c>
      <c r="DT16" s="36">
        <v>8.0</v>
      </c>
      <c r="DU16" s="36">
        <v>4.0</v>
      </c>
      <c r="DV16" s="35">
        <v>19.0</v>
      </c>
      <c r="DW16" s="36">
        <v>5.0</v>
      </c>
      <c r="DX16" s="36">
        <v>3.0</v>
      </c>
      <c r="DY16" s="36"/>
      <c r="DZ16" s="36">
        <v>8.0</v>
      </c>
      <c r="EA16" s="36">
        <v>8.0</v>
      </c>
      <c r="EB16" s="39">
        <v>8.0</v>
      </c>
      <c r="EC16" s="36">
        <v>7.0</v>
      </c>
      <c r="ED16" s="36">
        <v>11.0</v>
      </c>
      <c r="EE16" s="36">
        <v>7.0</v>
      </c>
      <c r="EF16" s="35">
        <v>17.0</v>
      </c>
      <c r="EG16" s="36">
        <v>10.0</v>
      </c>
      <c r="EH16" s="36">
        <v>14.0</v>
      </c>
      <c r="EI16" s="36">
        <v>5.0</v>
      </c>
      <c r="EJ16" s="36">
        <v>6.0</v>
      </c>
      <c r="EK16" s="36">
        <v>4.0</v>
      </c>
      <c r="EL16" s="38">
        <v>16.0</v>
      </c>
      <c r="EM16" s="43">
        <v>5.0</v>
      </c>
      <c r="EN16" s="10">
        <f t="shared" si="1"/>
        <v>51</v>
      </c>
      <c r="EO16" s="10">
        <f t="shared" si="2"/>
        <v>492</v>
      </c>
      <c r="EP16" s="10">
        <f t="shared" si="3"/>
        <v>9.647058824</v>
      </c>
      <c r="EQ16" s="44">
        <f t="shared" si="4"/>
        <v>9.65</v>
      </c>
      <c r="ER16" s="10"/>
      <c r="ES16" s="49" t="s">
        <v>51</v>
      </c>
      <c r="ET16" s="50">
        <v>10.56</v>
      </c>
      <c r="EX16" s="10"/>
      <c r="EY16" s="10"/>
      <c r="EZ16" s="10"/>
      <c r="FA16" s="48"/>
    </row>
    <row r="17" ht="35.25" customHeight="1">
      <c r="A17" s="27" t="str">
        <f>image("http://sumo.or.jp/img/sumo_data/rikishi/60x60/20040005.jpg")</f>
        <v/>
      </c>
      <c r="B17" s="10" t="s">
        <v>31</v>
      </c>
      <c r="C17" s="11" t="s">
        <v>59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 t="s">
        <v>212</v>
      </c>
      <c r="BS17" s="36"/>
      <c r="BT17" s="36"/>
      <c r="BU17" s="36"/>
      <c r="BV17" s="36">
        <v>4.0</v>
      </c>
      <c r="BW17" s="36"/>
      <c r="BX17" s="36">
        <v>7.0</v>
      </c>
      <c r="BY17" s="36">
        <v>9.0</v>
      </c>
      <c r="BZ17" s="36">
        <v>6.0</v>
      </c>
      <c r="CA17" s="36">
        <v>5.0</v>
      </c>
      <c r="CB17" s="36"/>
      <c r="CC17" s="36">
        <v>10.0</v>
      </c>
      <c r="CD17" s="36">
        <v>8.0</v>
      </c>
      <c r="CE17" s="36">
        <v>5.0</v>
      </c>
      <c r="CF17" s="36">
        <v>3.0</v>
      </c>
      <c r="CG17" s="36">
        <v>7.0</v>
      </c>
      <c r="CH17" s="36">
        <v>10.0</v>
      </c>
      <c r="CI17" s="36">
        <v>9.0</v>
      </c>
      <c r="CJ17" s="36">
        <v>11.0</v>
      </c>
      <c r="CK17" s="36">
        <v>7.0</v>
      </c>
      <c r="CL17" s="36">
        <v>5.0</v>
      </c>
      <c r="CM17" s="36">
        <v>6.0</v>
      </c>
      <c r="CN17" s="36">
        <v>5.0</v>
      </c>
      <c r="CO17" s="36"/>
      <c r="CP17" s="36">
        <v>7.0</v>
      </c>
      <c r="CQ17" s="36">
        <v>8.0</v>
      </c>
      <c r="CR17" s="36">
        <v>4.0</v>
      </c>
      <c r="CS17" s="36"/>
      <c r="CT17" s="36">
        <v>9.0</v>
      </c>
      <c r="CU17" s="36">
        <v>8.0</v>
      </c>
      <c r="CV17" s="36">
        <v>4.0</v>
      </c>
      <c r="CW17" s="36"/>
      <c r="CX17" s="36">
        <v>5.0</v>
      </c>
      <c r="CY17" s="36">
        <v>9.0</v>
      </c>
      <c r="CZ17" s="36">
        <v>10.0</v>
      </c>
      <c r="DA17" s="36">
        <v>8.0</v>
      </c>
      <c r="DB17" s="36">
        <v>7.0</v>
      </c>
      <c r="DC17" s="36">
        <v>8.0</v>
      </c>
      <c r="DD17" s="36">
        <v>4.0</v>
      </c>
      <c r="DE17" s="36">
        <v>7.0</v>
      </c>
      <c r="DF17" s="36">
        <v>8.0</v>
      </c>
      <c r="DG17" s="36">
        <v>10.0</v>
      </c>
      <c r="DH17" s="36">
        <v>6.0</v>
      </c>
      <c r="DI17" s="36">
        <v>10.0</v>
      </c>
      <c r="DJ17" s="36">
        <v>8.0</v>
      </c>
      <c r="DK17" s="36">
        <v>4.0</v>
      </c>
      <c r="DL17" s="36">
        <v>8.0</v>
      </c>
      <c r="DM17" s="36">
        <v>5.0</v>
      </c>
      <c r="DN17" s="36">
        <v>9.0</v>
      </c>
      <c r="DO17" s="36">
        <v>4.0</v>
      </c>
      <c r="DP17" s="36">
        <v>9.0</v>
      </c>
      <c r="DQ17" s="36">
        <v>10.0</v>
      </c>
      <c r="DR17" s="38">
        <v>26.0</v>
      </c>
      <c r="DS17" s="36">
        <v>13.0</v>
      </c>
      <c r="DT17" s="36">
        <v>12.0</v>
      </c>
      <c r="DU17" s="36">
        <v>12.0</v>
      </c>
      <c r="DV17" s="36">
        <v>10.0</v>
      </c>
      <c r="DW17" s="36">
        <v>10.0</v>
      </c>
      <c r="DX17" s="36">
        <v>23.0</v>
      </c>
      <c r="DY17" s="36">
        <v>8.0</v>
      </c>
      <c r="DZ17" s="36">
        <v>15.0</v>
      </c>
      <c r="EA17" s="36">
        <v>14.0</v>
      </c>
      <c r="EB17" s="39">
        <v>11.0</v>
      </c>
      <c r="EC17" s="36">
        <v>7.0</v>
      </c>
      <c r="ED17" s="36">
        <v>15.0</v>
      </c>
      <c r="EE17" s="41">
        <v>33.0</v>
      </c>
      <c r="EF17" s="36">
        <v>5.0</v>
      </c>
      <c r="EG17" s="36">
        <v>19.0</v>
      </c>
      <c r="EH17" s="36">
        <v>5.0</v>
      </c>
      <c r="EI17" s="36">
        <v>9.0</v>
      </c>
      <c r="EJ17" s="36">
        <v>12.0</v>
      </c>
      <c r="EK17" s="36">
        <v>8.0</v>
      </c>
      <c r="EL17" s="36">
        <v>6.0</v>
      </c>
      <c r="EM17" s="43">
        <v>11.0</v>
      </c>
      <c r="EN17" s="10">
        <f t="shared" si="1"/>
        <v>65</v>
      </c>
      <c r="EO17" s="10">
        <f t="shared" si="2"/>
        <v>590</v>
      </c>
      <c r="EP17" s="10">
        <f t="shared" si="3"/>
        <v>9.076923077</v>
      </c>
      <c r="EQ17" s="44">
        <f t="shared" si="4"/>
        <v>9.08</v>
      </c>
      <c r="ER17" s="10"/>
      <c r="ES17" s="49" t="s">
        <v>203</v>
      </c>
      <c r="ET17" s="50">
        <v>10.4</v>
      </c>
      <c r="EV17" s="10"/>
      <c r="EW17" s="47"/>
      <c r="EX17" s="10"/>
      <c r="EY17" s="10"/>
      <c r="EZ17" s="10"/>
      <c r="FA17" s="48"/>
    </row>
    <row r="18" ht="35.25" customHeight="1">
      <c r="A18" s="27" t="str">
        <f>image("http://sumo.or.jp/img/sumo_data/rikishi/60x60/20050033.jpg")</f>
        <v/>
      </c>
      <c r="B18" s="10" t="s">
        <v>31</v>
      </c>
      <c r="C18" s="11" t="s">
        <v>150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 t="s">
        <v>212</v>
      </c>
      <c r="CO18" s="36"/>
      <c r="CP18" s="36">
        <v>5.0</v>
      </c>
      <c r="CQ18" s="36"/>
      <c r="CR18" s="36">
        <v>7.0</v>
      </c>
      <c r="CS18" s="36"/>
      <c r="CT18" s="36">
        <v>9.0</v>
      </c>
      <c r="CU18" s="36">
        <v>9.0</v>
      </c>
      <c r="CV18" s="36">
        <v>4.0</v>
      </c>
      <c r="CW18" s="36">
        <v>9.0</v>
      </c>
      <c r="CX18" s="36">
        <v>11.0</v>
      </c>
      <c r="CY18" s="36">
        <v>6.0</v>
      </c>
      <c r="CZ18" s="35">
        <v>16.0</v>
      </c>
      <c r="DA18" s="36">
        <v>11.0</v>
      </c>
      <c r="DB18" s="36">
        <v>7.0</v>
      </c>
      <c r="DC18" s="35">
        <v>16.0</v>
      </c>
      <c r="DD18" s="36">
        <v>9.0</v>
      </c>
      <c r="DE18" s="36">
        <v>13.0</v>
      </c>
      <c r="DF18" s="36">
        <v>8.0</v>
      </c>
      <c r="DG18" s="36">
        <v>1.0</v>
      </c>
      <c r="DH18" s="36">
        <v>8.0</v>
      </c>
      <c r="DI18" s="36">
        <v>10.0</v>
      </c>
      <c r="DJ18" s="36">
        <v>2.0</v>
      </c>
      <c r="DK18" s="35">
        <v>16.0</v>
      </c>
      <c r="DL18" s="35">
        <v>22.0</v>
      </c>
      <c r="DM18" s="36">
        <v>8.0</v>
      </c>
      <c r="DN18" s="36">
        <v>14.0</v>
      </c>
      <c r="DO18" s="36">
        <v>7.0</v>
      </c>
      <c r="DP18" s="36">
        <v>13.0</v>
      </c>
      <c r="DQ18" s="36">
        <v>7.0</v>
      </c>
      <c r="DR18" s="36">
        <v>10.0</v>
      </c>
      <c r="DS18" s="36">
        <v>18.0</v>
      </c>
      <c r="DT18" s="36">
        <v>11.0</v>
      </c>
      <c r="DU18" s="36">
        <v>9.0</v>
      </c>
      <c r="DV18" s="36">
        <v>8.0</v>
      </c>
      <c r="DW18" s="36">
        <v>6.0</v>
      </c>
      <c r="DX18" s="36">
        <v>9.0</v>
      </c>
      <c r="DY18" s="36">
        <v>4.0</v>
      </c>
      <c r="DZ18" s="36">
        <v>11.0</v>
      </c>
      <c r="EA18" s="36">
        <v>8.0</v>
      </c>
      <c r="EB18" s="39">
        <v>14.0</v>
      </c>
      <c r="EC18" s="36">
        <v>5.0</v>
      </c>
      <c r="ED18" s="36">
        <v>6.0</v>
      </c>
      <c r="EE18" s="36">
        <v>9.0</v>
      </c>
      <c r="EF18" s="36">
        <v>2.0</v>
      </c>
      <c r="EG18" s="36"/>
      <c r="EH18" s="36"/>
      <c r="EI18" s="36"/>
      <c r="EJ18" s="36"/>
      <c r="EK18" s="36">
        <v>8.0</v>
      </c>
      <c r="EL18" s="36">
        <v>8.0</v>
      </c>
      <c r="EM18" s="43">
        <v>3.0</v>
      </c>
      <c r="EN18" s="10">
        <f t="shared" si="1"/>
        <v>44</v>
      </c>
      <c r="EO18" s="10">
        <f t="shared" si="2"/>
        <v>397</v>
      </c>
      <c r="EP18" s="10">
        <f t="shared" si="3"/>
        <v>9.022727273</v>
      </c>
      <c r="EQ18" s="44">
        <f t="shared" si="4"/>
        <v>9.02</v>
      </c>
      <c r="ER18" s="10"/>
      <c r="ES18" s="49" t="s">
        <v>45</v>
      </c>
      <c r="ET18" s="50">
        <v>10.37</v>
      </c>
      <c r="EX18" s="15"/>
      <c r="EY18" s="10"/>
      <c r="EZ18" s="10"/>
      <c r="FA18" s="48"/>
    </row>
    <row r="19" ht="35.25" customHeight="1">
      <c r="A19" s="27" t="str">
        <f>image("http://sumo.or.jp/img/sumo_data/rikishi/60x60/20090004.jpg")</f>
        <v/>
      </c>
      <c r="B19" s="10" t="s">
        <v>31</v>
      </c>
      <c r="C19" s="11" t="s">
        <v>79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 t="s">
        <v>212</v>
      </c>
      <c r="CI19" s="36"/>
      <c r="CJ19" s="36"/>
      <c r="CK19" s="36">
        <v>4.0</v>
      </c>
      <c r="CL19" s="36"/>
      <c r="CM19" s="36">
        <v>5.0</v>
      </c>
      <c r="CN19" s="36"/>
      <c r="CO19" s="36"/>
      <c r="CP19" s="36">
        <v>6.0</v>
      </c>
      <c r="CQ19" s="36">
        <v>9.0</v>
      </c>
      <c r="CR19" s="36">
        <v>6.0</v>
      </c>
      <c r="CS19" s="36">
        <v>5.0</v>
      </c>
      <c r="CT19" s="36"/>
      <c r="CU19" s="36">
        <v>9.0</v>
      </c>
      <c r="CV19" s="36">
        <v>11.0</v>
      </c>
      <c r="CW19" s="36">
        <v>7.0</v>
      </c>
      <c r="CX19" s="36">
        <v>9.0</v>
      </c>
      <c r="CY19" s="36">
        <v>6.0</v>
      </c>
      <c r="CZ19" s="36">
        <v>8.0</v>
      </c>
      <c r="DA19" s="36">
        <v>7.0</v>
      </c>
      <c r="DB19" s="36">
        <v>9.0</v>
      </c>
      <c r="DC19" s="36">
        <v>5.0</v>
      </c>
      <c r="DD19" s="36">
        <v>9.0</v>
      </c>
      <c r="DE19" s="36">
        <v>17.0</v>
      </c>
      <c r="DF19" s="36">
        <v>15.0</v>
      </c>
      <c r="DG19" s="36">
        <v>13.0</v>
      </c>
      <c r="DH19" s="36">
        <v>11.0</v>
      </c>
      <c r="DI19" s="36">
        <v>14.0</v>
      </c>
      <c r="DJ19" s="36">
        <v>6.0</v>
      </c>
      <c r="DK19" s="36">
        <v>4.0</v>
      </c>
      <c r="DL19" s="36">
        <v>10.0</v>
      </c>
      <c r="DM19" s="36">
        <v>15.0</v>
      </c>
      <c r="DN19" s="36">
        <v>11.0</v>
      </c>
      <c r="DO19" s="36">
        <v>15.0</v>
      </c>
      <c r="DP19" s="35">
        <v>27.0</v>
      </c>
      <c r="DQ19" s="36">
        <v>4.0</v>
      </c>
      <c r="DR19" s="36">
        <v>9.0</v>
      </c>
      <c r="DS19" s="36">
        <v>9.0</v>
      </c>
      <c r="DT19" s="36">
        <v>9.0</v>
      </c>
      <c r="DU19" s="36">
        <v>3.0</v>
      </c>
      <c r="DV19" s="36">
        <v>9.0</v>
      </c>
      <c r="DW19" s="36">
        <v>9.0</v>
      </c>
      <c r="DX19" s="36">
        <v>11.0</v>
      </c>
      <c r="DY19" s="36">
        <v>8.0</v>
      </c>
      <c r="DZ19" s="36">
        <v>5.0</v>
      </c>
      <c r="EA19" s="36">
        <v>7.0</v>
      </c>
      <c r="EB19" s="39">
        <v>7.0</v>
      </c>
      <c r="EC19" s="36">
        <v>7.0</v>
      </c>
      <c r="ED19" s="36">
        <v>7.0</v>
      </c>
      <c r="EE19" s="36">
        <v>9.0</v>
      </c>
      <c r="EF19" s="36">
        <v>8.0</v>
      </c>
      <c r="EG19" s="36">
        <v>8.0</v>
      </c>
      <c r="EH19" s="36">
        <v>6.0</v>
      </c>
      <c r="EI19" s="36">
        <v>9.0</v>
      </c>
      <c r="EJ19" s="36">
        <v>12.0</v>
      </c>
      <c r="EK19" s="36">
        <v>13.0</v>
      </c>
      <c r="EL19" s="36">
        <v>10.0</v>
      </c>
      <c r="EM19" s="43">
        <v>6.0</v>
      </c>
      <c r="EN19" s="10">
        <f t="shared" si="1"/>
        <v>51</v>
      </c>
      <c r="EO19" s="10">
        <f t="shared" si="2"/>
        <v>458</v>
      </c>
      <c r="EP19" s="10">
        <f t="shared" si="3"/>
        <v>8.980392157</v>
      </c>
      <c r="EQ19" s="44">
        <f t="shared" si="4"/>
        <v>8.98</v>
      </c>
      <c r="ER19" s="10"/>
      <c r="ES19" s="49" t="s">
        <v>102</v>
      </c>
      <c r="ET19" s="50">
        <v>10.35</v>
      </c>
      <c r="EX19" s="10"/>
      <c r="EY19" s="10"/>
      <c r="EZ19" s="10"/>
      <c r="FA19" s="48"/>
    </row>
    <row r="20" ht="35.25" customHeight="1">
      <c r="A20" s="27" t="str">
        <f>image("http://sumo.or.jp/img/sumo_data/rikishi/60x60/20060091.jpg")</f>
        <v/>
      </c>
      <c r="B20" s="10" t="s">
        <v>31</v>
      </c>
      <c r="C20" s="11" t="s">
        <v>119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 t="s">
        <v>212</v>
      </c>
      <c r="CH20" s="36"/>
      <c r="CI20" s="36"/>
      <c r="CJ20" s="36"/>
      <c r="CK20" s="35">
        <v>15.0</v>
      </c>
      <c r="CL20" s="36">
        <v>6.0</v>
      </c>
      <c r="CM20" s="36">
        <v>4.0</v>
      </c>
      <c r="CN20" s="36">
        <v>6.0</v>
      </c>
      <c r="CO20" s="36">
        <v>5.0</v>
      </c>
      <c r="CP20" s="36"/>
      <c r="CQ20" s="36">
        <v>9.0</v>
      </c>
      <c r="CR20" s="35">
        <v>16.0</v>
      </c>
      <c r="CS20" s="36">
        <v>13.0</v>
      </c>
      <c r="CT20" s="36">
        <v>10.0</v>
      </c>
      <c r="CU20" s="36">
        <v>6.0</v>
      </c>
      <c r="CV20" s="36">
        <v>3.0</v>
      </c>
      <c r="CW20" s="36">
        <v>8.0</v>
      </c>
      <c r="CX20" s="36">
        <v>11.0</v>
      </c>
      <c r="CY20" s="36">
        <v>9.0</v>
      </c>
      <c r="CZ20" s="36">
        <v>7.0</v>
      </c>
      <c r="DA20" s="36">
        <v>8.0</v>
      </c>
      <c r="DB20" s="36">
        <v>6.0</v>
      </c>
      <c r="DC20" s="36">
        <v>8.0</v>
      </c>
      <c r="DD20" s="36">
        <v>6.0</v>
      </c>
      <c r="DE20" s="36">
        <v>8.0</v>
      </c>
      <c r="DF20" s="36">
        <v>11.0</v>
      </c>
      <c r="DG20" s="36">
        <v>7.0</v>
      </c>
      <c r="DH20" s="36">
        <v>7.0</v>
      </c>
      <c r="DI20" s="36">
        <v>10.0</v>
      </c>
      <c r="DJ20" s="36">
        <v>8.0</v>
      </c>
      <c r="DK20" s="36">
        <v>9.0</v>
      </c>
      <c r="DL20" s="36">
        <v>9.0</v>
      </c>
      <c r="DM20" s="36">
        <v>9.0</v>
      </c>
      <c r="DN20" s="36">
        <v>11.0</v>
      </c>
      <c r="DO20" s="36">
        <v>12.0</v>
      </c>
      <c r="DP20" s="36">
        <v>7.0</v>
      </c>
      <c r="DQ20" s="36">
        <v>6.0</v>
      </c>
      <c r="DR20" s="36">
        <v>4.0</v>
      </c>
      <c r="DS20" s="36">
        <v>8.0</v>
      </c>
      <c r="DT20" s="36">
        <v>3.0</v>
      </c>
      <c r="DU20" s="36">
        <v>7.0</v>
      </c>
      <c r="DV20" s="36"/>
      <c r="DW20" s="36">
        <v>9.0</v>
      </c>
      <c r="DX20" s="36">
        <v>8.0</v>
      </c>
      <c r="DY20" s="36">
        <v>8.0</v>
      </c>
      <c r="DZ20" s="35">
        <v>17.0</v>
      </c>
      <c r="EA20" s="36">
        <v>8.0</v>
      </c>
      <c r="EB20" s="39">
        <v>14.0</v>
      </c>
      <c r="EC20" s="36">
        <v>14.0</v>
      </c>
      <c r="ED20" s="36">
        <v>4.0</v>
      </c>
      <c r="EE20" s="36">
        <v>10.0</v>
      </c>
      <c r="EF20" s="36">
        <v>4.0</v>
      </c>
      <c r="EG20" s="36">
        <v>3.0</v>
      </c>
      <c r="EH20" s="36">
        <v>1.0</v>
      </c>
      <c r="EI20" s="36"/>
      <c r="EJ20" s="36"/>
      <c r="EK20" s="36">
        <v>8.0</v>
      </c>
      <c r="EL20" s="36">
        <v>8.0</v>
      </c>
      <c r="EM20" s="43">
        <v>6.0</v>
      </c>
      <c r="EN20" s="10">
        <f t="shared" si="1"/>
        <v>51</v>
      </c>
      <c r="EO20" s="10">
        <f t="shared" si="2"/>
        <v>414</v>
      </c>
      <c r="EP20" s="10">
        <f t="shared" si="3"/>
        <v>8.117647059</v>
      </c>
      <c r="EQ20" s="44">
        <f t="shared" si="4"/>
        <v>8.12</v>
      </c>
      <c r="ER20" s="10"/>
      <c r="ES20" s="49" t="s">
        <v>114</v>
      </c>
      <c r="ET20" s="50">
        <v>10.24</v>
      </c>
      <c r="EX20" s="10"/>
      <c r="EY20" s="10"/>
      <c r="EZ20" s="10"/>
      <c r="FA20" s="48"/>
    </row>
    <row r="21" ht="35.25" customHeight="1">
      <c r="A21" s="27" t="str">
        <f>image("http://sumo.or.jp/img/sumo_data/rikishi/60x60/20080032.jpg")</f>
        <v/>
      </c>
      <c r="B21" s="10" t="s">
        <v>31</v>
      </c>
      <c r="C21" s="11" t="s">
        <v>157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 t="s">
        <v>212</v>
      </c>
      <c r="CN21" s="36"/>
      <c r="CO21" s="36"/>
      <c r="CP21" s="36"/>
      <c r="CQ21" s="36"/>
      <c r="CR21" s="36"/>
      <c r="CS21" s="36"/>
      <c r="CT21" s="36"/>
      <c r="CU21" s="36">
        <v>6.0</v>
      </c>
      <c r="CV21" s="36"/>
      <c r="CW21" s="36"/>
      <c r="CX21" s="36">
        <v>8.0</v>
      </c>
      <c r="CY21" s="36">
        <v>7.0</v>
      </c>
      <c r="CZ21" s="36">
        <v>4.0</v>
      </c>
      <c r="DA21" s="36"/>
      <c r="DB21" s="36"/>
      <c r="DC21" s="36"/>
      <c r="DD21" s="36"/>
      <c r="DE21" s="36"/>
      <c r="DF21" s="36">
        <v>8.0</v>
      </c>
      <c r="DG21" s="36">
        <v>8.0</v>
      </c>
      <c r="DH21" s="36">
        <v>6.0</v>
      </c>
      <c r="DI21" s="36">
        <v>8.0</v>
      </c>
      <c r="DJ21" s="36">
        <v>8.0</v>
      </c>
      <c r="DK21" s="36">
        <v>9.0</v>
      </c>
      <c r="DL21" s="36">
        <v>8.0</v>
      </c>
      <c r="DM21" s="36">
        <v>9.0</v>
      </c>
      <c r="DN21" s="37">
        <v>33.0</v>
      </c>
      <c r="DO21" s="36">
        <v>11.0</v>
      </c>
      <c r="DP21" s="36">
        <v>2.0</v>
      </c>
      <c r="DQ21" s="36">
        <v>10.0</v>
      </c>
      <c r="DR21" s="36">
        <v>6.0</v>
      </c>
      <c r="DS21" s="36">
        <v>6.0</v>
      </c>
      <c r="DT21" s="36">
        <v>5.0</v>
      </c>
      <c r="DU21" s="36">
        <v>6.0</v>
      </c>
      <c r="DV21" s="36">
        <v>4.0</v>
      </c>
      <c r="DW21" s="36"/>
      <c r="DX21" s="36">
        <v>8.0</v>
      </c>
      <c r="DY21" s="36">
        <v>7.0</v>
      </c>
      <c r="DZ21" s="36">
        <v>1.0</v>
      </c>
      <c r="EA21" s="33"/>
      <c r="EB21" s="33"/>
      <c r="EC21" s="36">
        <v>6.0</v>
      </c>
      <c r="ED21" s="36"/>
      <c r="EE21" s="36">
        <v>4.0</v>
      </c>
      <c r="EF21" s="36"/>
      <c r="EG21" s="36"/>
      <c r="EH21" s="36">
        <v>11.0</v>
      </c>
      <c r="EI21" s="36">
        <v>9.0</v>
      </c>
      <c r="EJ21" s="36">
        <v>9.0</v>
      </c>
      <c r="EK21" s="36"/>
      <c r="EL21" s="36"/>
      <c r="EM21" s="43">
        <v>6.0</v>
      </c>
      <c r="EN21" s="10">
        <f t="shared" si="1"/>
        <v>30</v>
      </c>
      <c r="EO21" s="10">
        <f t="shared" si="2"/>
        <v>233</v>
      </c>
      <c r="EP21" s="10">
        <f t="shared" si="3"/>
        <v>7.766666667</v>
      </c>
      <c r="EQ21" s="44">
        <f t="shared" si="4"/>
        <v>7.77</v>
      </c>
      <c r="ER21" s="10"/>
      <c r="ES21" s="49" t="s">
        <v>72</v>
      </c>
      <c r="ET21" s="50">
        <v>10.22</v>
      </c>
      <c r="EU21" s="47"/>
      <c r="EV21" s="10"/>
      <c r="EW21" s="47"/>
      <c r="EX21" s="47"/>
      <c r="EY21" s="47"/>
      <c r="EZ21" s="47"/>
      <c r="FA21" s="47"/>
      <c r="FB21" s="47"/>
      <c r="FC21" s="47"/>
    </row>
    <row r="22" ht="35.25" customHeight="1">
      <c r="A22" s="51" t="str">
        <f>image("http://sumo.or.jp/img/sumo_data/rikishi/60x60/20150042.jpg")</f>
        <v/>
      </c>
      <c r="B22" s="52" t="s">
        <v>44</v>
      </c>
      <c r="C22" s="53" t="s">
        <v>57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 t="s">
        <v>212</v>
      </c>
      <c r="DQ22" s="54"/>
      <c r="DR22" s="54">
        <v>9.0</v>
      </c>
      <c r="DS22" s="54">
        <v>9.0</v>
      </c>
      <c r="DT22" s="54">
        <v>7.0</v>
      </c>
      <c r="DU22" s="54">
        <v>11.0</v>
      </c>
      <c r="DV22" s="54">
        <v>21.0</v>
      </c>
      <c r="DW22" s="54">
        <v>16.0</v>
      </c>
      <c r="DX22" s="60">
        <v>33.0</v>
      </c>
      <c r="DY22" s="54">
        <v>10.0</v>
      </c>
      <c r="DZ22" s="54">
        <v>6.0</v>
      </c>
      <c r="EA22" s="54">
        <v>4.0</v>
      </c>
      <c r="EB22" s="58">
        <v>10.0</v>
      </c>
      <c r="EC22" s="54">
        <v>9.0</v>
      </c>
      <c r="ED22" s="54">
        <v>17.0</v>
      </c>
      <c r="EE22" s="54">
        <v>19.0</v>
      </c>
      <c r="EF22" s="54">
        <v>9.0</v>
      </c>
      <c r="EG22" s="54">
        <v>13.0</v>
      </c>
      <c r="EH22" s="54">
        <v>18.0</v>
      </c>
      <c r="EI22" s="54">
        <v>15.0</v>
      </c>
      <c r="EJ22" s="54">
        <v>10.0</v>
      </c>
      <c r="EK22" s="85">
        <v>29.0</v>
      </c>
      <c r="EL22" s="36">
        <v>7.0</v>
      </c>
      <c r="EM22" s="43">
        <v>15.0</v>
      </c>
      <c r="EN22" s="10">
        <f t="shared" si="1"/>
        <v>22</v>
      </c>
      <c r="EO22" s="10">
        <f t="shared" si="2"/>
        <v>297</v>
      </c>
      <c r="EP22" s="52">
        <f t="shared" si="3"/>
        <v>13.5</v>
      </c>
      <c r="EQ22" s="61">
        <f t="shared" si="4"/>
        <v>13.5</v>
      </c>
      <c r="ER22" s="10"/>
      <c r="ES22" s="49" t="s">
        <v>138</v>
      </c>
      <c r="ET22" s="50">
        <v>9.96</v>
      </c>
      <c r="EX22" s="10"/>
      <c r="EY22" s="10"/>
      <c r="EZ22" s="10"/>
      <c r="FA22" s="48"/>
    </row>
    <row r="23" ht="35.25" customHeight="1">
      <c r="A23" s="64" t="str">
        <f>image("http://sumo.or.jp/img/sumo_data/rikishi/60x60/20130036.jpg")</f>
        <v/>
      </c>
      <c r="B23" s="10" t="s">
        <v>44</v>
      </c>
      <c r="C23" s="11" t="s">
        <v>48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 t="s">
        <v>212</v>
      </c>
      <c r="CY23" s="36">
        <v>9.0</v>
      </c>
      <c r="CZ23" s="36">
        <v>6.0</v>
      </c>
      <c r="DA23" s="35">
        <v>18.0</v>
      </c>
      <c r="DB23" s="36">
        <v>13.0</v>
      </c>
      <c r="DC23" s="36">
        <v>13.0</v>
      </c>
      <c r="DD23" s="36">
        <v>9.0</v>
      </c>
      <c r="DE23" s="36">
        <v>3.0</v>
      </c>
      <c r="DF23" s="36">
        <v>10.0</v>
      </c>
      <c r="DG23" s="36">
        <v>12.0</v>
      </c>
      <c r="DH23" s="36">
        <v>4.0</v>
      </c>
      <c r="DI23" s="36">
        <v>6.0</v>
      </c>
      <c r="DJ23" s="36">
        <v>10.0</v>
      </c>
      <c r="DK23" s="36">
        <v>8.0</v>
      </c>
      <c r="DL23" s="36">
        <v>6.0</v>
      </c>
      <c r="DM23" s="36">
        <v>1.0</v>
      </c>
      <c r="DN23" s="36"/>
      <c r="DO23" s="36">
        <v>11.0</v>
      </c>
      <c r="DP23" s="36">
        <v>3.0</v>
      </c>
      <c r="DQ23" s="38">
        <v>20.0</v>
      </c>
      <c r="DR23" s="36">
        <v>22.0</v>
      </c>
      <c r="DS23" s="36">
        <v>13.0</v>
      </c>
      <c r="DT23" s="36">
        <v>8.0</v>
      </c>
      <c r="DU23" s="36">
        <v>17.0</v>
      </c>
      <c r="DV23" s="36">
        <v>2.0</v>
      </c>
      <c r="DW23" s="36">
        <v>10.0</v>
      </c>
      <c r="DX23" s="36">
        <v>9.0</v>
      </c>
      <c r="DY23" s="36">
        <v>13.0</v>
      </c>
      <c r="DZ23" s="38">
        <v>23.0</v>
      </c>
      <c r="EA23" s="36">
        <v>6.0</v>
      </c>
      <c r="EB23" s="39">
        <v>8.0</v>
      </c>
      <c r="EC23" s="36">
        <v>3.0</v>
      </c>
      <c r="ED23" s="36">
        <v>9.0</v>
      </c>
      <c r="EE23" s="36">
        <v>10.0</v>
      </c>
      <c r="EF23" s="36">
        <v>11.0</v>
      </c>
      <c r="EG23" s="36">
        <v>13.0</v>
      </c>
      <c r="EH23" s="38">
        <v>25.0</v>
      </c>
      <c r="EI23" s="36">
        <v>11.0</v>
      </c>
      <c r="EJ23" s="36">
        <v>10.0</v>
      </c>
      <c r="EK23" s="37">
        <v>29.0</v>
      </c>
      <c r="EL23" s="36">
        <v>8.0</v>
      </c>
      <c r="EM23" s="43">
        <v>12.0</v>
      </c>
      <c r="EN23" s="10">
        <f t="shared" si="1"/>
        <v>40</v>
      </c>
      <c r="EO23" s="10">
        <f t="shared" si="2"/>
        <v>434</v>
      </c>
      <c r="EP23" s="10">
        <f t="shared" si="3"/>
        <v>10.85</v>
      </c>
      <c r="EQ23" s="44">
        <f t="shared" si="4"/>
        <v>10.85</v>
      </c>
      <c r="ER23" s="10"/>
      <c r="ES23" s="49" t="s">
        <v>54</v>
      </c>
      <c r="ET23" s="50">
        <v>9.83</v>
      </c>
      <c r="EX23" s="10"/>
      <c r="EY23" s="10"/>
      <c r="EZ23" s="10"/>
      <c r="FA23" s="48"/>
    </row>
    <row r="24" ht="35.25" customHeight="1">
      <c r="A24" s="64" t="str">
        <f>image("http://sumo.or.jp/img/sumo_data/rikishi/60x60/20130059.jpg")</f>
        <v/>
      </c>
      <c r="B24" s="10" t="s">
        <v>44</v>
      </c>
      <c r="C24" s="11" t="s">
        <v>131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3"/>
      <c r="CY24" s="33"/>
      <c r="CZ24" s="33"/>
      <c r="DA24" s="36"/>
      <c r="DB24" s="36"/>
      <c r="DC24" s="36"/>
      <c r="DD24" s="36"/>
      <c r="DE24" s="36"/>
      <c r="DF24" s="36"/>
      <c r="DG24" s="36"/>
      <c r="DH24" s="36" t="s">
        <v>212</v>
      </c>
      <c r="DI24" s="36"/>
      <c r="DJ24" s="36"/>
      <c r="DK24" s="36"/>
      <c r="DL24" s="36" t="s">
        <v>213</v>
      </c>
      <c r="DM24" s="36"/>
      <c r="DN24" s="36"/>
      <c r="DO24" s="36"/>
      <c r="DP24" s="36"/>
      <c r="DQ24" s="36"/>
      <c r="DR24" s="36"/>
      <c r="DS24" s="36"/>
      <c r="DT24" s="36"/>
      <c r="DU24" s="36"/>
      <c r="DV24" s="36" t="s">
        <v>212</v>
      </c>
      <c r="DW24" s="36"/>
      <c r="DX24" s="36"/>
      <c r="DY24" s="35">
        <v>15.0</v>
      </c>
      <c r="DZ24" s="36">
        <v>11.0</v>
      </c>
      <c r="EA24" s="36">
        <v>15.0</v>
      </c>
      <c r="EB24" s="39">
        <v>11.0</v>
      </c>
      <c r="EC24" s="36">
        <v>6.0</v>
      </c>
      <c r="ED24" s="36">
        <v>6.0</v>
      </c>
      <c r="EE24" s="39">
        <v>10.0</v>
      </c>
      <c r="EF24" s="36">
        <v>8.0</v>
      </c>
      <c r="EG24" s="35">
        <v>20.0</v>
      </c>
      <c r="EH24" s="36">
        <v>9.0</v>
      </c>
      <c r="EI24" s="36">
        <v>13.0</v>
      </c>
      <c r="EJ24" s="36">
        <v>14.0</v>
      </c>
      <c r="EK24" s="36">
        <v>8.0</v>
      </c>
      <c r="EL24" s="36">
        <v>12.0</v>
      </c>
      <c r="EM24" s="43">
        <v>3.0</v>
      </c>
      <c r="EN24" s="10">
        <f t="shared" si="1"/>
        <v>15</v>
      </c>
      <c r="EO24" s="10">
        <f t="shared" si="2"/>
        <v>161</v>
      </c>
      <c r="EP24" s="10">
        <f t="shared" si="3"/>
        <v>10.73333333</v>
      </c>
      <c r="EQ24" s="44">
        <f t="shared" si="4"/>
        <v>10.73</v>
      </c>
      <c r="ER24" s="10"/>
      <c r="ES24" s="49" t="s">
        <v>88</v>
      </c>
      <c r="ET24" s="50">
        <v>9.8</v>
      </c>
      <c r="EX24" s="15"/>
      <c r="EY24" s="10"/>
      <c r="EZ24" s="10"/>
      <c r="FA24" s="48"/>
    </row>
    <row r="25" ht="35.25" customHeight="1">
      <c r="A25" s="64" t="str">
        <f>image("http://sumo.or.jp/img/sumo_data/rikishi/60x60/20130005.jpg")</f>
        <v/>
      </c>
      <c r="B25" s="10" t="s">
        <v>44</v>
      </c>
      <c r="C25" s="11" t="s">
        <v>102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 t="s">
        <v>212</v>
      </c>
      <c r="DH25" s="36"/>
      <c r="DI25" s="36"/>
      <c r="DJ25" s="36"/>
      <c r="DK25" s="36"/>
      <c r="DL25" s="36"/>
      <c r="DM25" s="36"/>
      <c r="DN25" s="36"/>
      <c r="DO25" s="36" t="s">
        <v>213</v>
      </c>
      <c r="DP25" s="36" t="s">
        <v>212</v>
      </c>
      <c r="DQ25" s="36"/>
      <c r="DR25" s="36"/>
      <c r="DS25" s="36"/>
      <c r="DT25" s="36"/>
      <c r="DU25" s="35">
        <v>15.0</v>
      </c>
      <c r="DV25" s="36">
        <v>11.0</v>
      </c>
      <c r="DW25" s="35">
        <v>27.0</v>
      </c>
      <c r="DX25" s="36">
        <v>11.0</v>
      </c>
      <c r="DY25" s="36">
        <v>7.0</v>
      </c>
      <c r="DZ25" s="33"/>
      <c r="EA25" s="33"/>
      <c r="EB25" s="39">
        <v>10.0</v>
      </c>
      <c r="EC25" s="39">
        <v>4.0</v>
      </c>
      <c r="ED25" s="63">
        <v>16.0</v>
      </c>
      <c r="EE25" s="39">
        <v>8.0</v>
      </c>
      <c r="EF25" s="36">
        <v>5.0</v>
      </c>
      <c r="EG25" s="36">
        <v>8.0</v>
      </c>
      <c r="EH25" s="36">
        <v>6.0</v>
      </c>
      <c r="EI25" s="36">
        <v>9.0</v>
      </c>
      <c r="EJ25" s="36">
        <v>7.0</v>
      </c>
      <c r="EK25" s="36">
        <v>12.0</v>
      </c>
      <c r="EL25" s="37">
        <v>18.0</v>
      </c>
      <c r="EM25" s="65">
        <v>2.0</v>
      </c>
      <c r="EN25" s="10">
        <f t="shared" si="1"/>
        <v>17</v>
      </c>
      <c r="EO25" s="10">
        <f t="shared" si="2"/>
        <v>176</v>
      </c>
      <c r="EP25" s="10">
        <f t="shared" si="3"/>
        <v>10.35294118</v>
      </c>
      <c r="EQ25" s="44">
        <f t="shared" si="4"/>
        <v>10.35</v>
      </c>
      <c r="ER25" s="10"/>
      <c r="ES25" s="49" t="s">
        <v>40</v>
      </c>
      <c r="ET25" s="50">
        <v>9.69</v>
      </c>
      <c r="EX25" s="10"/>
      <c r="EY25" s="10"/>
      <c r="EZ25" s="10"/>
      <c r="FA25" s="48"/>
    </row>
    <row r="26" ht="35.25" customHeight="1">
      <c r="A26" s="64" t="str">
        <f>image("http://sumo.or.jp/img/sumo_data/rikishi/60x60/20060043.jpg")</f>
        <v/>
      </c>
      <c r="B26" s="10" t="s">
        <v>44</v>
      </c>
      <c r="C26" s="11" t="s">
        <v>138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 t="s">
        <v>212</v>
      </c>
      <c r="CG26" s="36"/>
      <c r="CH26" s="36"/>
      <c r="CI26" s="36" t="s">
        <v>214</v>
      </c>
      <c r="CJ26" s="36"/>
      <c r="CK26" s="36"/>
      <c r="CL26" s="36" t="s">
        <v>212</v>
      </c>
      <c r="CM26" s="36"/>
      <c r="CN26" s="36">
        <v>10.0</v>
      </c>
      <c r="CO26" s="36">
        <v>8.0</v>
      </c>
      <c r="CP26" s="36">
        <v>7.0</v>
      </c>
      <c r="CQ26" s="36">
        <v>9.0</v>
      </c>
      <c r="CR26" s="36">
        <v>10.0</v>
      </c>
      <c r="CS26" s="36">
        <v>11.0</v>
      </c>
      <c r="CT26" s="35">
        <v>30.0</v>
      </c>
      <c r="CU26" s="36">
        <v>6.0</v>
      </c>
      <c r="CV26" s="36">
        <v>7.0</v>
      </c>
      <c r="CW26" s="36">
        <v>12.0</v>
      </c>
      <c r="CX26" s="36">
        <v>10.0</v>
      </c>
      <c r="CY26" s="35">
        <v>26.0</v>
      </c>
      <c r="CZ26" s="36">
        <v>6.0</v>
      </c>
      <c r="DA26" s="36">
        <v>13.0</v>
      </c>
      <c r="DB26" s="36">
        <v>9.0</v>
      </c>
      <c r="DC26" s="36">
        <v>8.0</v>
      </c>
      <c r="DD26" s="36">
        <v>6.0</v>
      </c>
      <c r="DE26" s="36">
        <v>6.0</v>
      </c>
      <c r="DF26" s="36">
        <v>7.0</v>
      </c>
      <c r="DG26" s="36">
        <v>8.0</v>
      </c>
      <c r="DH26" s="36">
        <v>1.0</v>
      </c>
      <c r="DI26" s="36"/>
      <c r="DJ26" s="36"/>
      <c r="DK26" s="36"/>
      <c r="DL26" s="35">
        <v>17.0</v>
      </c>
      <c r="DM26" s="36">
        <v>13.0</v>
      </c>
      <c r="DN26" s="36">
        <v>5.0</v>
      </c>
      <c r="DO26" s="36">
        <v>11.0</v>
      </c>
      <c r="DP26" s="36">
        <v>12.0</v>
      </c>
      <c r="DQ26" s="36">
        <v>8.0</v>
      </c>
      <c r="DR26" s="36">
        <v>8.0</v>
      </c>
      <c r="DS26" s="36">
        <v>19.0</v>
      </c>
      <c r="DT26" s="36">
        <v>12.0</v>
      </c>
      <c r="DU26" s="36">
        <v>6.0</v>
      </c>
      <c r="DV26" s="36">
        <v>10.0</v>
      </c>
      <c r="DW26" s="36">
        <v>16.0</v>
      </c>
      <c r="DX26" s="36">
        <v>10.0</v>
      </c>
      <c r="DY26" s="36">
        <v>9.0</v>
      </c>
      <c r="DZ26" s="36">
        <v>11.0</v>
      </c>
      <c r="EA26" s="37">
        <v>20.0</v>
      </c>
      <c r="EB26" s="39">
        <v>4.0</v>
      </c>
      <c r="EC26" s="36">
        <v>7.0</v>
      </c>
      <c r="ED26" s="36">
        <v>13.0</v>
      </c>
      <c r="EE26" s="36">
        <v>9.0</v>
      </c>
      <c r="EF26" s="36">
        <v>7.0</v>
      </c>
      <c r="EG26" s="36">
        <v>8.0</v>
      </c>
      <c r="EH26" s="36">
        <v>6.0</v>
      </c>
      <c r="EI26" s="36">
        <v>9.0</v>
      </c>
      <c r="EJ26" s="36">
        <v>8.0</v>
      </c>
      <c r="EK26" s="36">
        <v>10.0</v>
      </c>
      <c r="EL26" s="36">
        <v>5.0</v>
      </c>
      <c r="EM26" s="43">
        <v>5.0</v>
      </c>
      <c r="EN26" s="10">
        <f t="shared" si="1"/>
        <v>49</v>
      </c>
      <c r="EO26" s="10">
        <f t="shared" si="2"/>
        <v>488</v>
      </c>
      <c r="EP26" s="10">
        <f t="shared" si="3"/>
        <v>9.959183673</v>
      </c>
      <c r="EQ26" s="44">
        <f t="shared" si="4"/>
        <v>9.96</v>
      </c>
      <c r="ER26" s="10"/>
      <c r="ES26" s="49" t="s">
        <v>90</v>
      </c>
      <c r="ET26" s="50">
        <v>9.65</v>
      </c>
      <c r="EX26" s="10"/>
      <c r="EY26" s="10"/>
      <c r="EZ26" s="10"/>
      <c r="FA26" s="48"/>
    </row>
    <row r="27" ht="35.25" customHeight="1">
      <c r="A27" s="64" t="str">
        <f>image("http://sumo.or.jp/img/sumo_data/rikishi/60x60/20060023.jpg")</f>
        <v/>
      </c>
      <c r="B27" s="10" t="s">
        <v>44</v>
      </c>
      <c r="C27" s="11" t="s">
        <v>88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 t="s">
        <v>212</v>
      </c>
      <c r="CU27" s="36" t="s">
        <v>213</v>
      </c>
      <c r="CV27" s="36"/>
      <c r="CW27" s="36"/>
      <c r="CX27" s="36" t="s">
        <v>215</v>
      </c>
      <c r="CY27" s="36"/>
      <c r="CZ27" s="36" t="s">
        <v>216</v>
      </c>
      <c r="DA27" s="36" t="s">
        <v>217</v>
      </c>
      <c r="DB27" s="36"/>
      <c r="DC27" s="36"/>
      <c r="DD27" s="36"/>
      <c r="DE27" s="36"/>
      <c r="DF27" s="36" t="s">
        <v>216</v>
      </c>
      <c r="DG27" s="36" t="s">
        <v>215</v>
      </c>
      <c r="DH27" s="36" t="s">
        <v>214</v>
      </c>
      <c r="DI27" s="36"/>
      <c r="DJ27" s="36"/>
      <c r="DK27" s="36"/>
      <c r="DL27" s="36"/>
      <c r="DM27" s="36"/>
      <c r="DN27" s="36"/>
      <c r="DO27" s="36"/>
      <c r="DP27" s="36"/>
      <c r="DQ27" s="36"/>
      <c r="DR27" s="36" t="s">
        <v>212</v>
      </c>
      <c r="DS27" s="36"/>
      <c r="DT27" s="36"/>
      <c r="DU27" s="36"/>
      <c r="DV27" s="36"/>
      <c r="DW27" s="36"/>
      <c r="DX27" s="36"/>
      <c r="DY27" s="35">
        <v>15.0</v>
      </c>
      <c r="DZ27" s="36">
        <v>8.0</v>
      </c>
      <c r="EA27" s="36">
        <v>3.0</v>
      </c>
      <c r="EB27" s="36">
        <v>8.0</v>
      </c>
      <c r="EC27" s="36">
        <v>10.0</v>
      </c>
      <c r="ED27" s="36">
        <v>12.0</v>
      </c>
      <c r="EE27" s="36">
        <v>6.0</v>
      </c>
      <c r="EF27" s="36">
        <v>10.0</v>
      </c>
      <c r="EG27" s="38">
        <v>22.0</v>
      </c>
      <c r="EH27" s="36">
        <v>9.0</v>
      </c>
      <c r="EI27" s="36">
        <v>9.0</v>
      </c>
      <c r="EJ27" s="36">
        <v>11.0</v>
      </c>
      <c r="EK27" s="36">
        <v>10.0</v>
      </c>
      <c r="EL27" s="36">
        <v>7.0</v>
      </c>
      <c r="EM27" s="43">
        <v>7.0</v>
      </c>
      <c r="EN27" s="10">
        <f t="shared" si="1"/>
        <v>15</v>
      </c>
      <c r="EO27" s="10">
        <f t="shared" si="2"/>
        <v>147</v>
      </c>
      <c r="EP27" s="10">
        <f t="shared" si="3"/>
        <v>9.8</v>
      </c>
      <c r="EQ27" s="44">
        <f t="shared" si="4"/>
        <v>9.8</v>
      </c>
      <c r="ER27" s="10"/>
      <c r="ES27" s="86" t="s">
        <v>100</v>
      </c>
      <c r="ET27" s="50">
        <v>9.14</v>
      </c>
      <c r="EX27" s="10"/>
      <c r="EY27" s="47"/>
      <c r="EZ27" s="47"/>
      <c r="FA27" s="48"/>
    </row>
    <row r="28" ht="35.25" customHeight="1">
      <c r="A28" s="64" t="str">
        <f>image("http://sumo.or.jp/img/sumo_data/rikishi/60x60/20120003.jpg")</f>
        <v/>
      </c>
      <c r="B28" s="10" t="s">
        <v>44</v>
      </c>
      <c r="C28" s="11" t="s">
        <v>40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 t="s">
        <v>212</v>
      </c>
      <c r="DE28" s="36"/>
      <c r="DF28" s="36"/>
      <c r="DG28" s="36"/>
      <c r="DH28" s="36"/>
      <c r="DI28" s="36"/>
      <c r="DJ28" s="36"/>
      <c r="DK28" s="36">
        <v>7.0</v>
      </c>
      <c r="DL28" s="36">
        <v>6.0</v>
      </c>
      <c r="DM28" s="36"/>
      <c r="DN28" s="36">
        <v>10.0</v>
      </c>
      <c r="DO28" s="36">
        <v>6.0</v>
      </c>
      <c r="DP28" s="36">
        <v>5.0</v>
      </c>
      <c r="DQ28" s="36">
        <v>5.0</v>
      </c>
      <c r="DR28" s="36"/>
      <c r="DS28" s="36"/>
      <c r="DT28" s="36">
        <v>11.0</v>
      </c>
      <c r="DU28" s="36">
        <v>4.0</v>
      </c>
      <c r="DV28" s="36">
        <v>5.0</v>
      </c>
      <c r="DW28" s="36">
        <v>8.0</v>
      </c>
      <c r="DX28" s="36">
        <v>5.0</v>
      </c>
      <c r="DY28" s="36">
        <v>9.0</v>
      </c>
      <c r="DZ28" s="36">
        <v>9.0</v>
      </c>
      <c r="EA28" s="36">
        <v>8.0</v>
      </c>
      <c r="EB28" s="39">
        <v>6.0</v>
      </c>
      <c r="EC28" s="36">
        <v>8.0</v>
      </c>
      <c r="ED28" s="36">
        <v>9.0</v>
      </c>
      <c r="EE28" s="36">
        <v>9.0</v>
      </c>
      <c r="EF28" s="36">
        <v>16.0</v>
      </c>
      <c r="EG28" s="36">
        <v>13.0</v>
      </c>
      <c r="EH28" s="36">
        <v>16.0</v>
      </c>
      <c r="EI28" s="36">
        <v>15.0</v>
      </c>
      <c r="EJ28" s="37">
        <v>20.0</v>
      </c>
      <c r="EK28" s="36">
        <v>8.0</v>
      </c>
      <c r="EL28" s="36">
        <v>14.0</v>
      </c>
      <c r="EM28" s="83">
        <v>20.0</v>
      </c>
      <c r="EN28" s="10">
        <f t="shared" si="1"/>
        <v>26</v>
      </c>
      <c r="EO28" s="10">
        <f t="shared" si="2"/>
        <v>252</v>
      </c>
      <c r="EP28" s="10">
        <f t="shared" si="3"/>
        <v>9.692307692</v>
      </c>
      <c r="EQ28" s="44">
        <f t="shared" si="4"/>
        <v>9.69</v>
      </c>
      <c r="ER28" s="10"/>
      <c r="ES28" s="49" t="s">
        <v>59</v>
      </c>
      <c r="ET28" s="50">
        <v>9.08</v>
      </c>
      <c r="EX28" s="15"/>
      <c r="EY28" s="10"/>
      <c r="EZ28" s="10"/>
      <c r="FA28" s="48"/>
    </row>
    <row r="29" ht="35.25" customHeight="1">
      <c r="A29" s="64" t="str">
        <f>image("http://sumo.or.jp/img/sumo_data/rikishi/60x60/20110015.jpg")</f>
        <v/>
      </c>
      <c r="B29" s="10" t="s">
        <v>44</v>
      </c>
      <c r="C29" s="11" t="s">
        <v>111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 t="s">
        <v>212</v>
      </c>
      <c r="CP29" s="36"/>
      <c r="CQ29" s="36">
        <v>5.0</v>
      </c>
      <c r="CR29" s="36">
        <v>8.0</v>
      </c>
      <c r="CS29" s="36">
        <v>6.0</v>
      </c>
      <c r="CT29" s="36">
        <v>10.0</v>
      </c>
      <c r="CU29" s="36">
        <v>10.0</v>
      </c>
      <c r="CV29" s="36">
        <v>13.0</v>
      </c>
      <c r="CW29" s="36">
        <v>12.0</v>
      </c>
      <c r="CX29" s="36">
        <v>18.0</v>
      </c>
      <c r="CY29" s="36">
        <v>10.0</v>
      </c>
      <c r="CZ29" s="38">
        <v>17.0</v>
      </c>
      <c r="DA29" s="36">
        <v>4.0</v>
      </c>
      <c r="DB29" s="36">
        <v>9.0</v>
      </c>
      <c r="DC29" s="36">
        <v>8.0</v>
      </c>
      <c r="DD29" s="36">
        <v>10.0</v>
      </c>
      <c r="DE29" s="36">
        <v>2.0</v>
      </c>
      <c r="DF29" s="36">
        <v>9.0</v>
      </c>
      <c r="DG29" s="36">
        <v>1.0</v>
      </c>
      <c r="DH29" s="36"/>
      <c r="DI29" s="36"/>
      <c r="DJ29" s="36">
        <v>8.0</v>
      </c>
      <c r="DK29" s="36">
        <v>6.0</v>
      </c>
      <c r="DL29" s="36">
        <v>8.0</v>
      </c>
      <c r="DM29" s="36">
        <v>8.0</v>
      </c>
      <c r="DN29" s="36">
        <v>3.0</v>
      </c>
      <c r="DO29" s="36">
        <v>6.0</v>
      </c>
      <c r="DP29" s="36"/>
      <c r="DQ29" s="36"/>
      <c r="DR29" s="36">
        <v>7.0</v>
      </c>
      <c r="DS29" s="36">
        <v>6.0</v>
      </c>
      <c r="DT29" s="36"/>
      <c r="DU29" s="36">
        <v>9.0</v>
      </c>
      <c r="DV29" s="36">
        <v>10.0</v>
      </c>
      <c r="DW29" s="36">
        <v>13.0</v>
      </c>
      <c r="DX29" s="36">
        <v>12.0</v>
      </c>
      <c r="DY29" s="36">
        <v>12.0</v>
      </c>
      <c r="DZ29" s="36">
        <v>4.0</v>
      </c>
      <c r="EA29" s="36">
        <v>11.0</v>
      </c>
      <c r="EB29" s="39">
        <v>12.0</v>
      </c>
      <c r="EC29" s="36">
        <v>10.0</v>
      </c>
      <c r="ED29" s="36">
        <v>9.0</v>
      </c>
      <c r="EE29" s="36">
        <v>9.0</v>
      </c>
      <c r="EF29" s="36">
        <v>10.0</v>
      </c>
      <c r="EG29" s="36">
        <v>10.0</v>
      </c>
      <c r="EH29" s="36">
        <v>8.0</v>
      </c>
      <c r="EI29" s="36">
        <v>3.0</v>
      </c>
      <c r="EJ29" s="36">
        <v>9.0</v>
      </c>
      <c r="EK29" s="36">
        <v>7.0</v>
      </c>
      <c r="EL29" s="36">
        <v>8.0</v>
      </c>
      <c r="EM29" s="43">
        <v>6.0</v>
      </c>
      <c r="EN29" s="10">
        <f t="shared" si="1"/>
        <v>44</v>
      </c>
      <c r="EO29" s="10">
        <f t="shared" si="2"/>
        <v>376</v>
      </c>
      <c r="EP29" s="10">
        <f t="shared" si="3"/>
        <v>8.545454545</v>
      </c>
      <c r="EQ29" s="44">
        <f t="shared" si="4"/>
        <v>8.55</v>
      </c>
      <c r="ER29" s="10"/>
      <c r="ES29" s="49" t="s">
        <v>150</v>
      </c>
      <c r="ET29" s="50">
        <v>9.02</v>
      </c>
      <c r="EX29" s="10"/>
      <c r="EY29" s="10"/>
      <c r="EZ29" s="10"/>
      <c r="FA29" s="48"/>
    </row>
    <row r="30" ht="35.25" customHeight="1">
      <c r="A30" s="64"/>
      <c r="B30" s="10" t="s">
        <v>44</v>
      </c>
      <c r="C30" s="11" t="s">
        <v>218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 t="s">
        <v>212</v>
      </c>
      <c r="CD30" s="36"/>
      <c r="CE30" s="36"/>
      <c r="CF30" s="36"/>
      <c r="CG30" s="36">
        <v>5.0</v>
      </c>
      <c r="CH30" s="36">
        <v>10.0</v>
      </c>
      <c r="CI30" s="36">
        <v>9.0</v>
      </c>
      <c r="CJ30" s="36">
        <v>5.0</v>
      </c>
      <c r="CK30" s="36">
        <v>8.0</v>
      </c>
      <c r="CL30" s="36">
        <v>5.0</v>
      </c>
      <c r="CM30" s="35">
        <v>19.0</v>
      </c>
      <c r="CN30" s="36">
        <v>2.0</v>
      </c>
      <c r="CO30" s="35">
        <v>17.0</v>
      </c>
      <c r="CP30" s="36">
        <v>7.0</v>
      </c>
      <c r="CQ30" s="36">
        <v>10.0</v>
      </c>
      <c r="CR30" s="36">
        <v>10.0</v>
      </c>
      <c r="CS30" s="36">
        <v>7.0</v>
      </c>
      <c r="CT30" s="36">
        <v>8.0</v>
      </c>
      <c r="CU30" s="36">
        <v>6.0</v>
      </c>
      <c r="CV30" s="36">
        <v>5.0</v>
      </c>
      <c r="CW30" s="36">
        <v>11.0</v>
      </c>
      <c r="CX30" s="36">
        <v>3.0</v>
      </c>
      <c r="CY30" s="36">
        <v>6.0</v>
      </c>
      <c r="CZ30" s="36">
        <v>8.0</v>
      </c>
      <c r="DA30" s="36">
        <v>8.0</v>
      </c>
      <c r="DB30" s="36">
        <v>6.0</v>
      </c>
      <c r="DC30" s="36">
        <v>7.0</v>
      </c>
      <c r="DD30" s="36">
        <v>5.0</v>
      </c>
      <c r="DE30" s="36"/>
      <c r="DF30" s="36"/>
      <c r="DG30" s="36"/>
      <c r="DH30" s="36">
        <v>11.0</v>
      </c>
      <c r="DI30" s="36">
        <v>11.0</v>
      </c>
      <c r="DJ30" s="36">
        <v>6.0</v>
      </c>
      <c r="DK30" s="36">
        <v>6.0</v>
      </c>
      <c r="DL30" s="36">
        <v>8.0</v>
      </c>
      <c r="DM30" s="36">
        <v>7.0</v>
      </c>
      <c r="DN30" s="36">
        <v>5.0</v>
      </c>
      <c r="DO30" s="36">
        <v>6.0</v>
      </c>
      <c r="DP30" s="36"/>
      <c r="DQ30" s="36">
        <v>5.0</v>
      </c>
      <c r="DR30" s="36">
        <v>8.0</v>
      </c>
      <c r="DS30" s="36">
        <v>5.0</v>
      </c>
      <c r="DT30" s="36"/>
      <c r="DU30" s="36"/>
      <c r="DV30" s="36">
        <v>3.0</v>
      </c>
      <c r="DW30" s="36"/>
      <c r="DX30" s="36"/>
      <c r="DY30" s="36"/>
      <c r="DZ30" s="36"/>
      <c r="EA30" s="36"/>
      <c r="EB30" s="39"/>
      <c r="EC30" s="36"/>
      <c r="ED30" s="36" t="s">
        <v>213</v>
      </c>
      <c r="EE30" s="36" t="s">
        <v>212</v>
      </c>
      <c r="EF30" s="36"/>
      <c r="EG30" s="36"/>
      <c r="EH30" s="36"/>
      <c r="EI30" s="36"/>
      <c r="EJ30" s="36"/>
      <c r="EK30" s="36" t="s">
        <v>213</v>
      </c>
      <c r="EL30" s="36"/>
      <c r="EM30" s="43"/>
      <c r="EN30" s="10">
        <f t="shared" si="1"/>
        <v>36</v>
      </c>
      <c r="EO30" s="10">
        <f t="shared" si="2"/>
        <v>268</v>
      </c>
      <c r="EP30" s="10">
        <f t="shared" si="3"/>
        <v>7.444444444</v>
      </c>
      <c r="EQ30" s="44">
        <f t="shared" si="4"/>
        <v>7.44</v>
      </c>
      <c r="ER30" s="10"/>
      <c r="ES30" s="49" t="s">
        <v>79</v>
      </c>
      <c r="ET30" s="50">
        <v>8.98</v>
      </c>
      <c r="EX30" s="10"/>
      <c r="EY30" s="10"/>
      <c r="EZ30" s="10"/>
      <c r="FA30" s="48"/>
    </row>
    <row r="31" ht="35.25" customHeight="1">
      <c r="A31" s="64" t="str">
        <f>image("http://sumo.or.jp/img/sumo_data/rikishi/60x60/20080084.jpg")</f>
        <v/>
      </c>
      <c r="B31" s="10" t="s">
        <v>44</v>
      </c>
      <c r="C31" s="11" t="s">
        <v>219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 t="s">
        <v>212</v>
      </c>
      <c r="CQ31" s="36"/>
      <c r="CR31" s="36"/>
      <c r="CS31" s="36"/>
      <c r="CT31" s="36"/>
      <c r="CU31" s="36"/>
      <c r="CV31" s="36"/>
      <c r="CW31" s="36">
        <v>6.0</v>
      </c>
      <c r="CX31" s="36"/>
      <c r="CY31" s="36">
        <v>10.0</v>
      </c>
      <c r="CZ31" s="36">
        <v>10.0</v>
      </c>
      <c r="DA31" s="36">
        <v>10.0</v>
      </c>
      <c r="DB31" s="36">
        <v>7.0</v>
      </c>
      <c r="DC31" s="36">
        <v>8.0</v>
      </c>
      <c r="DD31" s="36">
        <v>6.0</v>
      </c>
      <c r="DE31" s="36">
        <v>5.0</v>
      </c>
      <c r="DF31" s="36">
        <v>11.0</v>
      </c>
      <c r="DG31" s="36">
        <v>0.0</v>
      </c>
      <c r="DH31" s="36"/>
      <c r="DI31" s="36">
        <v>6.0</v>
      </c>
      <c r="DJ31" s="36">
        <v>10.0</v>
      </c>
      <c r="DK31" s="36">
        <v>5.0</v>
      </c>
      <c r="DL31" s="36">
        <v>8.0</v>
      </c>
      <c r="DM31" s="36">
        <v>8.0</v>
      </c>
      <c r="DN31" s="36">
        <v>9.0</v>
      </c>
      <c r="DO31" s="36">
        <v>1.0</v>
      </c>
      <c r="DP31" s="36">
        <v>6.0</v>
      </c>
      <c r="DQ31" s="36">
        <v>6.0</v>
      </c>
      <c r="DR31" s="36"/>
      <c r="DS31" s="36"/>
      <c r="DT31" s="36"/>
      <c r="DU31" s="36"/>
      <c r="DV31" s="36"/>
      <c r="DW31" s="36"/>
      <c r="DX31" s="36"/>
      <c r="DY31" s="36" t="s">
        <v>213</v>
      </c>
      <c r="DZ31" s="36"/>
      <c r="EA31" s="36"/>
      <c r="EB31" s="39"/>
      <c r="EC31" s="36"/>
      <c r="ED31" s="36"/>
      <c r="EE31" s="36"/>
      <c r="EF31" s="36"/>
      <c r="EG31" s="36"/>
      <c r="EH31" s="36"/>
      <c r="EI31" s="36"/>
      <c r="EJ31" s="36"/>
      <c r="EK31" s="36" t="s">
        <v>212</v>
      </c>
      <c r="EL31" s="36"/>
      <c r="EM31" s="43"/>
      <c r="EN31" s="10">
        <f t="shared" si="1"/>
        <v>19</v>
      </c>
      <c r="EO31" s="10">
        <f t="shared" si="2"/>
        <v>132</v>
      </c>
      <c r="EP31" s="10">
        <f t="shared" si="3"/>
        <v>6.947368421</v>
      </c>
      <c r="EQ31" s="44">
        <f t="shared" si="4"/>
        <v>6.95</v>
      </c>
      <c r="ER31" s="10"/>
      <c r="ES31" s="87" t="s">
        <v>65</v>
      </c>
      <c r="ET31" s="50">
        <v>8.63</v>
      </c>
      <c r="EX31" s="10"/>
      <c r="EY31" s="10"/>
      <c r="EZ31" s="10"/>
      <c r="FA31" s="48"/>
    </row>
    <row r="32" ht="35.25" customHeight="1">
      <c r="A32" s="71"/>
      <c r="B32" s="72" t="s">
        <v>44</v>
      </c>
      <c r="C32" s="73" t="s">
        <v>220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 t="s">
        <v>212</v>
      </c>
      <c r="CR32" s="74"/>
      <c r="CS32" s="74"/>
      <c r="CT32" s="74">
        <v>6.0</v>
      </c>
      <c r="CU32" s="74"/>
      <c r="CV32" s="74">
        <v>9.0</v>
      </c>
      <c r="CW32" s="74">
        <v>4.0</v>
      </c>
      <c r="CX32" s="74">
        <v>6.0</v>
      </c>
      <c r="CY32" s="74">
        <v>8.0</v>
      </c>
      <c r="CZ32" s="74">
        <v>3.0</v>
      </c>
      <c r="DA32" s="74"/>
      <c r="DB32" s="74">
        <v>8.0</v>
      </c>
      <c r="DC32" s="74">
        <v>9.0</v>
      </c>
      <c r="DD32" s="74">
        <v>10.0</v>
      </c>
      <c r="DE32" s="74">
        <v>4.0</v>
      </c>
      <c r="DF32" s="74">
        <v>8.0</v>
      </c>
      <c r="DG32" s="74">
        <v>9.0</v>
      </c>
      <c r="DH32" s="74">
        <v>5.0</v>
      </c>
      <c r="DI32" s="74">
        <v>5.0</v>
      </c>
      <c r="DJ32" s="74"/>
      <c r="DK32" s="74"/>
      <c r="DL32" s="74"/>
      <c r="DM32" s="74">
        <v>2.0</v>
      </c>
      <c r="DN32" s="74"/>
      <c r="DO32" s="74"/>
      <c r="DP32" s="74" t="s">
        <v>213</v>
      </c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81"/>
      <c r="EC32" s="74" t="s">
        <v>212</v>
      </c>
      <c r="ED32" s="74"/>
      <c r="EE32" s="74"/>
      <c r="EF32" s="74"/>
      <c r="EG32" s="74"/>
      <c r="EH32" s="74"/>
      <c r="EI32" s="74"/>
      <c r="EJ32" s="74"/>
      <c r="EK32" s="74"/>
      <c r="EL32" s="36"/>
      <c r="EM32" s="43"/>
      <c r="EN32" s="10">
        <f t="shared" si="1"/>
        <v>15</v>
      </c>
      <c r="EO32" s="10">
        <f t="shared" si="2"/>
        <v>96</v>
      </c>
      <c r="EP32" s="72">
        <f t="shared" si="3"/>
        <v>6.4</v>
      </c>
      <c r="EQ32" s="82">
        <f t="shared" si="4"/>
        <v>6.4</v>
      </c>
      <c r="ER32" s="10"/>
      <c r="ES32" s="49" t="s">
        <v>111</v>
      </c>
      <c r="ET32" s="50">
        <v>8.55</v>
      </c>
      <c r="EX32" s="10"/>
      <c r="EY32" s="10"/>
      <c r="EZ32" s="10"/>
      <c r="FA32" s="48"/>
    </row>
    <row r="33" ht="35.25" customHeight="1">
      <c r="A33" s="27" t="str">
        <f>image("http://sumo.or.jp/img/sumo_data/rikishi/60x60/20160020.jpg")</f>
        <v/>
      </c>
      <c r="B33" s="10">
        <v>1.0</v>
      </c>
      <c r="C33" s="11" t="s">
        <v>70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 t="s">
        <v>212</v>
      </c>
      <c r="DS33" s="36"/>
      <c r="DT33" s="36"/>
      <c r="DU33" s="36">
        <v>4.0</v>
      </c>
      <c r="DV33" s="36"/>
      <c r="DW33" s="36">
        <v>4.0</v>
      </c>
      <c r="DX33" s="36"/>
      <c r="DY33" s="36">
        <v>9.0</v>
      </c>
      <c r="DZ33" s="36">
        <v>10.0</v>
      </c>
      <c r="EA33" s="36">
        <v>2.0</v>
      </c>
      <c r="EB33" s="63">
        <v>22.0</v>
      </c>
      <c r="EC33" s="36">
        <v>3.0</v>
      </c>
      <c r="ED33" s="36">
        <v>5.0</v>
      </c>
      <c r="EE33" s="36">
        <v>6.0</v>
      </c>
      <c r="EF33" s="36">
        <v>3.0</v>
      </c>
      <c r="EG33" s="36"/>
      <c r="EH33" s="36"/>
      <c r="EI33" s="36">
        <v>10.0</v>
      </c>
      <c r="EJ33" s="36">
        <v>8.0</v>
      </c>
      <c r="EK33" s="36">
        <v>11.0</v>
      </c>
      <c r="EL33" s="36">
        <v>14.0</v>
      </c>
      <c r="EM33" s="43">
        <v>5.0</v>
      </c>
      <c r="EN33" s="10">
        <f t="shared" si="1"/>
        <v>15</v>
      </c>
      <c r="EO33" s="10">
        <f t="shared" si="2"/>
        <v>116</v>
      </c>
      <c r="EP33" s="10">
        <f t="shared" si="3"/>
        <v>7.733333333</v>
      </c>
      <c r="EQ33" s="44">
        <f t="shared" si="4"/>
        <v>7.73</v>
      </c>
      <c r="ER33" s="10"/>
      <c r="ES33" s="49" t="s">
        <v>119</v>
      </c>
      <c r="ET33" s="50">
        <v>8.12</v>
      </c>
      <c r="EV33" s="10"/>
      <c r="EW33" s="47"/>
      <c r="EX33" s="10"/>
      <c r="EY33" s="47"/>
      <c r="EZ33" s="47"/>
      <c r="FA33" s="47"/>
    </row>
    <row r="34" ht="35.25" customHeight="1">
      <c r="A34" s="27" t="str">
        <f>image("http://sumo.or.jp/img/sumo_data/rikishi/60x60/20030054.jpg")</f>
        <v/>
      </c>
      <c r="B34" s="10">
        <v>1.0</v>
      </c>
      <c r="C34" s="11" t="s">
        <v>105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6" t="s">
        <v>212</v>
      </c>
      <c r="CH34" s="33"/>
      <c r="CI34" s="33"/>
      <c r="CJ34" s="33"/>
      <c r="CK34" s="33"/>
      <c r="CL34" s="33"/>
      <c r="CM34" s="33"/>
      <c r="CN34" s="33"/>
      <c r="CO34" s="36" t="s">
        <v>213</v>
      </c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6" t="s">
        <v>212</v>
      </c>
      <c r="DB34" s="33"/>
      <c r="DC34" s="35">
        <v>15.0</v>
      </c>
      <c r="DD34" s="36">
        <v>6.0</v>
      </c>
      <c r="DE34" s="36">
        <v>8.0</v>
      </c>
      <c r="DF34" s="36">
        <v>7.0</v>
      </c>
      <c r="DG34" s="36">
        <v>9.0</v>
      </c>
      <c r="DH34" s="36">
        <v>8.0</v>
      </c>
      <c r="DI34" s="36">
        <v>15.0</v>
      </c>
      <c r="DJ34" s="36">
        <v>12.0</v>
      </c>
      <c r="DK34" s="36">
        <v>6.0</v>
      </c>
      <c r="DL34" s="36">
        <v>5.0</v>
      </c>
      <c r="DM34" s="36">
        <v>7.0</v>
      </c>
      <c r="DN34" s="36">
        <v>7.0</v>
      </c>
      <c r="DO34" s="36">
        <v>7.0</v>
      </c>
      <c r="DP34" s="36">
        <v>7.0</v>
      </c>
      <c r="DQ34" s="36">
        <v>8.0</v>
      </c>
      <c r="DR34" s="36">
        <v>3.0</v>
      </c>
      <c r="DS34" s="36">
        <v>8.0</v>
      </c>
      <c r="DT34" s="36">
        <v>4.0</v>
      </c>
      <c r="DU34" s="33"/>
      <c r="DV34" s="36">
        <v>8.0</v>
      </c>
      <c r="DW34" s="36">
        <v>2.0</v>
      </c>
      <c r="DX34" s="33"/>
      <c r="DY34" s="33"/>
      <c r="DZ34" s="33"/>
      <c r="EA34" s="36">
        <v>8.0</v>
      </c>
      <c r="EB34" s="39">
        <v>8.0</v>
      </c>
      <c r="EC34" s="39">
        <v>8.0</v>
      </c>
      <c r="ED34" s="39">
        <v>7.0</v>
      </c>
      <c r="EE34" s="36">
        <v>9.0</v>
      </c>
      <c r="EF34" s="36">
        <v>5.0</v>
      </c>
      <c r="EG34" s="36">
        <v>7.0</v>
      </c>
      <c r="EH34" s="36">
        <v>9.0</v>
      </c>
      <c r="EI34" s="36">
        <v>8.0</v>
      </c>
      <c r="EJ34" s="36">
        <v>7.0</v>
      </c>
      <c r="EK34" s="36">
        <v>7.0</v>
      </c>
      <c r="EL34" s="36">
        <v>6.0</v>
      </c>
      <c r="EM34" s="43">
        <v>8.0</v>
      </c>
      <c r="EN34" s="10">
        <f t="shared" si="1"/>
        <v>33</v>
      </c>
      <c r="EO34" s="10">
        <f t="shared" si="2"/>
        <v>249</v>
      </c>
      <c r="EP34" s="10">
        <f t="shared" si="3"/>
        <v>7.545454545</v>
      </c>
      <c r="EQ34" s="44">
        <f t="shared" si="4"/>
        <v>7.55</v>
      </c>
      <c r="ER34" s="10"/>
      <c r="ES34" s="86" t="s">
        <v>116</v>
      </c>
      <c r="ET34" s="50">
        <v>8.0</v>
      </c>
      <c r="EU34" s="47"/>
      <c r="EV34" s="10"/>
      <c r="EW34" s="47"/>
      <c r="EX34" s="47"/>
      <c r="EY34" s="47"/>
      <c r="EZ34" s="47"/>
      <c r="FA34" s="47"/>
      <c r="FB34" s="47"/>
      <c r="FC34" s="47"/>
    </row>
    <row r="35" ht="35.25" customHeight="1">
      <c r="A35" s="27" t="str">
        <f>image("http://sumo.or.jp/img/sumo_data/rikishi/60x60/20060071.jpg")</f>
        <v/>
      </c>
      <c r="B35" s="10">
        <v>1.0</v>
      </c>
      <c r="C35" s="11" t="s">
        <v>187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 t="s">
        <v>212</v>
      </c>
      <c r="CM35" s="36"/>
      <c r="CN35" s="36"/>
      <c r="CO35" s="36">
        <v>9.0</v>
      </c>
      <c r="CP35" s="36">
        <v>3.0</v>
      </c>
      <c r="CQ35" s="36"/>
      <c r="CR35" s="36"/>
      <c r="CS35" s="36"/>
      <c r="CT35" s="36">
        <v>5.0</v>
      </c>
      <c r="CU35" s="36"/>
      <c r="CV35" s="36">
        <v>7.0</v>
      </c>
      <c r="CW35" s="36">
        <v>9.0</v>
      </c>
      <c r="CX35" s="36">
        <v>2.0</v>
      </c>
      <c r="CY35" s="36"/>
      <c r="CZ35" s="36"/>
      <c r="DA35" s="36"/>
      <c r="DB35" s="36"/>
      <c r="DC35" s="36">
        <v>0.0</v>
      </c>
      <c r="DD35" s="36"/>
      <c r="DE35" s="36"/>
      <c r="DF35" s="36" t="s">
        <v>213</v>
      </c>
      <c r="DG35" s="36"/>
      <c r="DH35" s="36" t="s">
        <v>215</v>
      </c>
      <c r="DI35" s="36" t="s">
        <v>213</v>
      </c>
      <c r="DJ35" s="36"/>
      <c r="DK35" s="36"/>
      <c r="DL35" s="36"/>
      <c r="DM35" s="36" t="s">
        <v>212</v>
      </c>
      <c r="DN35" s="36"/>
      <c r="DO35" s="36"/>
      <c r="DP35" s="36">
        <v>8.0</v>
      </c>
      <c r="DQ35" s="36">
        <v>8.0</v>
      </c>
      <c r="DR35" s="36">
        <v>5.0</v>
      </c>
      <c r="DS35" s="36">
        <v>9.0</v>
      </c>
      <c r="DT35" s="36">
        <v>9.0</v>
      </c>
      <c r="DU35" s="36">
        <v>5.0</v>
      </c>
      <c r="DV35" s="36">
        <v>8.0</v>
      </c>
      <c r="DW35" s="36">
        <v>10.0</v>
      </c>
      <c r="DX35" s="36">
        <v>8.0</v>
      </c>
      <c r="DY35" s="36">
        <v>6.0</v>
      </c>
      <c r="DZ35" s="36">
        <v>7.0</v>
      </c>
      <c r="EA35" s="35">
        <v>17.0</v>
      </c>
      <c r="EB35" s="39">
        <v>11.0</v>
      </c>
      <c r="EC35" s="36">
        <v>5.0</v>
      </c>
      <c r="ED35" s="36">
        <v>5.0</v>
      </c>
      <c r="EE35" s="36">
        <v>8.0</v>
      </c>
      <c r="EF35" s="36"/>
      <c r="EG35" s="36"/>
      <c r="EH35" s="36" t="s">
        <v>213</v>
      </c>
      <c r="EI35" s="36"/>
      <c r="EJ35" s="36"/>
      <c r="EK35" s="36"/>
      <c r="EL35" s="36"/>
      <c r="EM35" s="43"/>
      <c r="EN35" s="10">
        <f t="shared" si="1"/>
        <v>23</v>
      </c>
      <c r="EO35" s="10">
        <f t="shared" si="2"/>
        <v>164</v>
      </c>
      <c r="EP35" s="10">
        <f t="shared" si="3"/>
        <v>7.130434783</v>
      </c>
      <c r="EQ35" s="44">
        <f t="shared" si="4"/>
        <v>7.13</v>
      </c>
      <c r="ER35" s="10"/>
      <c r="ES35" s="86" t="s">
        <v>122</v>
      </c>
      <c r="ET35" s="50">
        <v>7.9</v>
      </c>
      <c r="EU35" s="47"/>
      <c r="EV35" s="10"/>
      <c r="EW35" s="47"/>
      <c r="EX35" s="47"/>
      <c r="EY35" s="47"/>
      <c r="EZ35" s="47"/>
      <c r="FA35" s="47"/>
      <c r="FB35" s="47"/>
      <c r="FC35" s="47"/>
    </row>
    <row r="36" ht="35.25" customHeight="1">
      <c r="A36" s="27" t="str">
        <f>image("http://sumo.or.jp/img/sumo_data/rikishi/60x60/20100039.jpg")</f>
        <v/>
      </c>
      <c r="B36" s="10">
        <v>2.0</v>
      </c>
      <c r="C36" s="11" t="s">
        <v>54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6" t="s">
        <v>212</v>
      </c>
      <c r="DY36" s="33"/>
      <c r="DZ36" s="36"/>
      <c r="EA36" s="33"/>
      <c r="EB36" s="33"/>
      <c r="EC36" s="39">
        <v>8.0</v>
      </c>
      <c r="ED36" s="39">
        <v>4.0</v>
      </c>
      <c r="EE36" s="39"/>
      <c r="EF36" s="39"/>
      <c r="EG36" s="39"/>
      <c r="EH36" s="39"/>
      <c r="EI36" s="39"/>
      <c r="EJ36" s="39">
        <v>10.0</v>
      </c>
      <c r="EK36" s="39">
        <v>7.0</v>
      </c>
      <c r="EL36" s="35">
        <v>19.0</v>
      </c>
      <c r="EM36" s="43">
        <v>11.0</v>
      </c>
      <c r="EN36" s="10">
        <f t="shared" si="1"/>
        <v>6</v>
      </c>
      <c r="EO36" s="10">
        <f t="shared" si="2"/>
        <v>59</v>
      </c>
      <c r="EP36" s="10">
        <f t="shared" si="3"/>
        <v>9.833333333</v>
      </c>
      <c r="EQ36" s="44">
        <f t="shared" si="4"/>
        <v>9.83</v>
      </c>
      <c r="ER36" s="10"/>
      <c r="ES36" s="49" t="s">
        <v>157</v>
      </c>
      <c r="ET36" s="50">
        <v>7.77</v>
      </c>
      <c r="EU36" s="47"/>
      <c r="EV36" s="10"/>
      <c r="EW36" s="47"/>
      <c r="EX36" s="47"/>
      <c r="EY36" s="47"/>
      <c r="EZ36" s="47"/>
      <c r="FA36" s="47"/>
      <c r="FB36" s="47"/>
      <c r="FC36" s="47"/>
    </row>
    <row r="37" ht="35.25" customHeight="1">
      <c r="A37" s="27" t="str">
        <f>image("http://sumo.or.jp/img/sumo_data/rikishi/60x60/20110029.jpg")</f>
        <v/>
      </c>
      <c r="B37" s="10">
        <v>2.0</v>
      </c>
      <c r="C37" s="11" t="s">
        <v>122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6" t="s">
        <v>212</v>
      </c>
      <c r="DS37" s="36" t="s">
        <v>213</v>
      </c>
      <c r="DT37" s="33"/>
      <c r="DU37" s="36" t="s">
        <v>212</v>
      </c>
      <c r="DV37" s="33"/>
      <c r="DW37" s="33"/>
      <c r="DX37" s="33"/>
      <c r="DY37" s="33"/>
      <c r="DZ37" s="33"/>
      <c r="EA37" s="33"/>
      <c r="EB37" s="39">
        <v>5.0</v>
      </c>
      <c r="EC37" s="33"/>
      <c r="ED37" s="39">
        <v>9.0</v>
      </c>
      <c r="EE37" s="39">
        <v>8.0</v>
      </c>
      <c r="EF37" s="36">
        <v>9.0</v>
      </c>
      <c r="EG37" s="36">
        <v>12.0</v>
      </c>
      <c r="EH37" s="36">
        <v>5.0</v>
      </c>
      <c r="EI37" s="36">
        <v>10.0</v>
      </c>
      <c r="EJ37" s="36">
        <v>13.0</v>
      </c>
      <c r="EK37" s="36">
        <v>1.0</v>
      </c>
      <c r="EL37" s="36">
        <v>7.0</v>
      </c>
      <c r="EM37" s="43"/>
      <c r="EN37" s="10">
        <f t="shared" si="1"/>
        <v>10</v>
      </c>
      <c r="EO37" s="10">
        <f t="shared" si="2"/>
        <v>79</v>
      </c>
      <c r="EP37" s="10">
        <f t="shared" si="3"/>
        <v>7.9</v>
      </c>
      <c r="EQ37" s="44">
        <f t="shared" si="4"/>
        <v>7.9</v>
      </c>
      <c r="ER37" s="10"/>
      <c r="ES37" s="49" t="s">
        <v>70</v>
      </c>
      <c r="ET37" s="50">
        <v>7.73</v>
      </c>
      <c r="EV37" s="10"/>
      <c r="EW37" s="47"/>
      <c r="EX37" s="10"/>
      <c r="EY37" s="10"/>
      <c r="EZ37" s="10"/>
      <c r="FA37" s="48"/>
    </row>
    <row r="38" ht="35.25" customHeight="1">
      <c r="A38" s="27"/>
      <c r="B38" s="10">
        <v>2.0</v>
      </c>
      <c r="C38" s="11" t="s">
        <v>221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 t="s">
        <v>212</v>
      </c>
      <c r="BM38" s="36"/>
      <c r="BN38" s="36"/>
      <c r="BO38" s="35">
        <v>16.0</v>
      </c>
      <c r="BP38" s="36">
        <v>7.0</v>
      </c>
      <c r="BQ38" s="36">
        <v>7.0</v>
      </c>
      <c r="BR38" s="36">
        <v>6.0</v>
      </c>
      <c r="BS38" s="36">
        <v>5.0</v>
      </c>
      <c r="BT38" s="36">
        <v>8.0</v>
      </c>
      <c r="BU38" s="35">
        <v>15.0</v>
      </c>
      <c r="BV38" s="36">
        <v>8.0</v>
      </c>
      <c r="BW38" s="36"/>
      <c r="BX38" s="36">
        <v>5.0</v>
      </c>
      <c r="BY38" s="36"/>
      <c r="BZ38" s="36">
        <v>11.0</v>
      </c>
      <c r="CA38" s="36">
        <v>5.0</v>
      </c>
      <c r="CB38" s="36">
        <v>6.0</v>
      </c>
      <c r="CC38" s="36">
        <v>5.0</v>
      </c>
      <c r="CD38" s="35">
        <v>17.0</v>
      </c>
      <c r="CE38" s="36">
        <v>4.0</v>
      </c>
      <c r="CF38" s="36">
        <v>8.0</v>
      </c>
      <c r="CG38" s="36"/>
      <c r="CH38" s="36"/>
      <c r="CI38" s="36"/>
      <c r="CJ38" s="36">
        <v>9.0</v>
      </c>
      <c r="CK38" s="36">
        <v>7.0</v>
      </c>
      <c r="CL38" s="36">
        <v>8.0</v>
      </c>
      <c r="CM38" s="36">
        <v>6.0</v>
      </c>
      <c r="CN38" s="36">
        <v>9.0</v>
      </c>
      <c r="CO38" s="36">
        <v>7.0</v>
      </c>
      <c r="CP38" s="36">
        <v>9.0</v>
      </c>
      <c r="CQ38" s="36">
        <v>15.0</v>
      </c>
      <c r="CR38" s="36">
        <v>9.0</v>
      </c>
      <c r="CS38" s="36">
        <v>8.0</v>
      </c>
      <c r="CT38" s="36">
        <v>9.0</v>
      </c>
      <c r="CU38" s="36">
        <v>6.0</v>
      </c>
      <c r="CV38" s="36">
        <v>6.0</v>
      </c>
      <c r="CW38" s="36">
        <v>8.0</v>
      </c>
      <c r="CX38" s="36">
        <v>9.0</v>
      </c>
      <c r="CY38" s="36">
        <v>6.0</v>
      </c>
      <c r="CZ38" s="36">
        <v>9.0</v>
      </c>
      <c r="DA38" s="36">
        <v>9.0</v>
      </c>
      <c r="DB38" s="36">
        <v>6.0</v>
      </c>
      <c r="DC38" s="36">
        <v>8.0</v>
      </c>
      <c r="DD38" s="36">
        <v>8.0</v>
      </c>
      <c r="DE38" s="36">
        <v>9.0</v>
      </c>
      <c r="DF38" s="36">
        <v>9.0</v>
      </c>
      <c r="DG38" s="36">
        <v>3.0</v>
      </c>
      <c r="DH38" s="36">
        <v>8.0</v>
      </c>
      <c r="DI38" s="36">
        <v>6.0</v>
      </c>
      <c r="DJ38" s="36">
        <v>5.0</v>
      </c>
      <c r="DK38" s="36"/>
      <c r="DL38" s="36">
        <v>7.0</v>
      </c>
      <c r="DM38" s="36">
        <v>8.0</v>
      </c>
      <c r="DN38" s="36">
        <v>3.0</v>
      </c>
      <c r="DO38" s="36"/>
      <c r="DP38" s="36">
        <v>7.0</v>
      </c>
      <c r="DQ38" s="36">
        <v>6.0</v>
      </c>
      <c r="DR38" s="36">
        <v>6.0</v>
      </c>
      <c r="DS38" s="36"/>
      <c r="DT38" s="36"/>
      <c r="DU38" s="36">
        <v>4.0</v>
      </c>
      <c r="DV38" s="36"/>
      <c r="DW38" s="36"/>
      <c r="DX38" s="36"/>
      <c r="DY38" s="36"/>
      <c r="DZ38" s="36" t="s">
        <v>213</v>
      </c>
      <c r="EA38" s="33"/>
      <c r="EB38" s="33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43"/>
      <c r="EN38" s="10">
        <f t="shared" si="1"/>
        <v>50</v>
      </c>
      <c r="EO38" s="10">
        <f t="shared" si="2"/>
        <v>385</v>
      </c>
      <c r="EP38" s="10">
        <f t="shared" si="3"/>
        <v>7.7</v>
      </c>
      <c r="EQ38" s="44">
        <f t="shared" si="4"/>
        <v>7.7</v>
      </c>
      <c r="ER38" s="10"/>
      <c r="ES38" s="86" t="s">
        <v>135</v>
      </c>
      <c r="ET38" s="50">
        <v>7.71</v>
      </c>
      <c r="EV38" s="10"/>
      <c r="EW38" s="47"/>
      <c r="EX38" s="10"/>
      <c r="EY38" s="10"/>
      <c r="EZ38" s="10"/>
      <c r="FA38" s="48"/>
    </row>
    <row r="39" ht="35.25" customHeight="1">
      <c r="A39" s="47" t="str">
        <f>image("http://sumo.or.jp/img/sumo_data/rikishi/60x60/20090002.jpg")</f>
        <v/>
      </c>
      <c r="B39" s="10">
        <v>2.0</v>
      </c>
      <c r="C39" s="11" t="s">
        <v>92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6" t="s">
        <v>212</v>
      </c>
      <c r="CO39" s="33"/>
      <c r="CP39" s="36" t="s">
        <v>213</v>
      </c>
      <c r="CQ39" s="36" t="s">
        <v>212</v>
      </c>
      <c r="CR39" s="33"/>
      <c r="CS39" s="33"/>
      <c r="CT39" s="33"/>
      <c r="CU39" s="33"/>
      <c r="CV39" s="33"/>
      <c r="CW39" s="33"/>
      <c r="CX39" s="36">
        <v>9.0</v>
      </c>
      <c r="CY39" s="36">
        <v>6.0</v>
      </c>
      <c r="CZ39" s="36">
        <v>7.0</v>
      </c>
      <c r="DA39" s="36">
        <v>8.0</v>
      </c>
      <c r="DB39" s="36">
        <v>9.0</v>
      </c>
      <c r="DC39" s="36">
        <v>6.0</v>
      </c>
      <c r="DD39" s="36">
        <v>4.0</v>
      </c>
      <c r="DE39" s="33"/>
      <c r="DF39" s="36">
        <v>4.0</v>
      </c>
      <c r="DG39" s="36">
        <v>11.0</v>
      </c>
      <c r="DH39" s="36">
        <v>9.0</v>
      </c>
      <c r="DI39" s="36">
        <v>8.0</v>
      </c>
      <c r="DJ39" s="36">
        <v>7.0</v>
      </c>
      <c r="DK39" s="36">
        <v>6.0</v>
      </c>
      <c r="DL39" s="36">
        <v>8.0</v>
      </c>
      <c r="DM39" s="36">
        <v>4.0</v>
      </c>
      <c r="DN39" s="36">
        <v>8.0</v>
      </c>
      <c r="DO39" s="36">
        <v>6.0</v>
      </c>
      <c r="DP39" s="36">
        <v>6.0</v>
      </c>
      <c r="DQ39" s="36">
        <v>6.0</v>
      </c>
      <c r="DR39" s="33"/>
      <c r="DS39" s="33"/>
      <c r="DT39" s="36">
        <v>8.0</v>
      </c>
      <c r="DU39" s="36">
        <v>8.0</v>
      </c>
      <c r="DV39" s="36">
        <v>4.0</v>
      </c>
      <c r="DW39" s="36">
        <v>4.0</v>
      </c>
      <c r="DX39" s="33"/>
      <c r="DY39" s="33"/>
      <c r="DZ39" s="33"/>
      <c r="EA39" s="33"/>
      <c r="EB39" s="33"/>
      <c r="EC39" s="33"/>
      <c r="ED39" s="33"/>
      <c r="EE39" s="33"/>
      <c r="EF39" s="33"/>
      <c r="EG39" s="39">
        <v>4.0</v>
      </c>
      <c r="EH39" s="39"/>
      <c r="EI39" s="39"/>
      <c r="EJ39" s="39"/>
      <c r="EK39" s="42">
        <v>32.0</v>
      </c>
      <c r="EL39" s="36">
        <v>8.0</v>
      </c>
      <c r="EM39" s="43">
        <v>7.0</v>
      </c>
      <c r="EN39" s="10">
        <f t="shared" si="1"/>
        <v>27</v>
      </c>
      <c r="EO39" s="10">
        <f t="shared" si="2"/>
        <v>207</v>
      </c>
      <c r="EP39" s="10">
        <f t="shared" si="3"/>
        <v>7.666666667</v>
      </c>
      <c r="EQ39" s="44">
        <f t="shared" si="4"/>
        <v>7.67</v>
      </c>
      <c r="ER39" s="10"/>
      <c r="ES39" s="49" t="s">
        <v>221</v>
      </c>
      <c r="ET39" s="50">
        <v>7.7</v>
      </c>
      <c r="EU39" s="47"/>
      <c r="EV39" s="10"/>
      <c r="EW39" s="47"/>
      <c r="EX39" s="47"/>
      <c r="EY39" s="47"/>
      <c r="EZ39" s="47"/>
      <c r="FA39" s="47"/>
    </row>
    <row r="40" ht="35.25" customHeight="1">
      <c r="A40" s="27" t="str">
        <f>image("http://sumo.or.jp/img/sumo_data/rikishi/60x60/20090066.jpg")</f>
        <v/>
      </c>
      <c r="B40" s="10">
        <v>2.0</v>
      </c>
      <c r="C40" s="11" t="s">
        <v>167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 t="s">
        <v>212</v>
      </c>
      <c r="DN40" s="36"/>
      <c r="DO40" s="36"/>
      <c r="DP40" s="36"/>
      <c r="DQ40" s="36">
        <v>8.0</v>
      </c>
      <c r="DR40" s="36">
        <v>9.0</v>
      </c>
      <c r="DS40" s="36">
        <v>7.0</v>
      </c>
      <c r="DT40" s="36">
        <v>9.0</v>
      </c>
      <c r="DU40" s="36">
        <v>7.0</v>
      </c>
      <c r="DV40" s="36">
        <v>8.0</v>
      </c>
      <c r="DW40" s="36">
        <v>8.0</v>
      </c>
      <c r="DX40" s="36">
        <v>7.0</v>
      </c>
      <c r="DY40" s="36">
        <v>6.0</v>
      </c>
      <c r="DZ40" s="36">
        <v>9.0</v>
      </c>
      <c r="EA40" s="36">
        <v>7.0</v>
      </c>
      <c r="EB40" s="39">
        <v>4.0</v>
      </c>
      <c r="EC40" s="36">
        <v>8.0</v>
      </c>
      <c r="ED40" s="36">
        <v>7.0</v>
      </c>
      <c r="EE40" s="36">
        <v>6.0</v>
      </c>
      <c r="EF40" s="36">
        <v>7.0</v>
      </c>
      <c r="EG40" s="36">
        <v>5.0</v>
      </c>
      <c r="EH40" s="36"/>
      <c r="EI40" s="36"/>
      <c r="EJ40" s="36"/>
      <c r="EK40" s="36"/>
      <c r="EL40" s="36"/>
      <c r="EM40" s="43"/>
      <c r="EN40" s="10">
        <f t="shared" si="1"/>
        <v>17</v>
      </c>
      <c r="EO40" s="10">
        <f t="shared" si="2"/>
        <v>122</v>
      </c>
      <c r="EP40" s="10">
        <f t="shared" si="3"/>
        <v>7.176470588</v>
      </c>
      <c r="EQ40" s="44">
        <f t="shared" si="4"/>
        <v>7.18</v>
      </c>
      <c r="ER40" s="10"/>
      <c r="ES40" s="87" t="s">
        <v>92</v>
      </c>
      <c r="ET40" s="50">
        <v>7.67</v>
      </c>
      <c r="EX40" s="15"/>
      <c r="EY40" s="10"/>
      <c r="EZ40" s="10"/>
      <c r="FA40" s="48"/>
    </row>
    <row r="41" ht="35.25" customHeight="1">
      <c r="A41" s="27" t="str">
        <f>image("http://sumo.or.jp/img/sumo_data/rikishi/60x60/20060025.jpg")</f>
        <v/>
      </c>
      <c r="B41" s="10">
        <v>2.0</v>
      </c>
      <c r="C41" s="11" t="s">
        <v>153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 t="s">
        <v>212</v>
      </c>
      <c r="DJ41" s="36"/>
      <c r="DK41" s="36"/>
      <c r="DL41" s="36"/>
      <c r="DM41" s="36"/>
      <c r="DN41" s="36"/>
      <c r="DO41" s="36">
        <v>7.0</v>
      </c>
      <c r="DP41" s="36">
        <v>9.0</v>
      </c>
      <c r="DQ41" s="36">
        <v>8.0</v>
      </c>
      <c r="DR41" s="36">
        <v>4.0</v>
      </c>
      <c r="DS41" s="36">
        <v>5.0</v>
      </c>
      <c r="DT41" s="36">
        <v>5.0</v>
      </c>
      <c r="DU41" s="36"/>
      <c r="DV41" s="36">
        <v>8.0</v>
      </c>
      <c r="DW41" s="36">
        <v>6.0</v>
      </c>
      <c r="DX41" s="36">
        <v>7.0</v>
      </c>
      <c r="DY41" s="36">
        <v>8.0</v>
      </c>
      <c r="DZ41" s="36">
        <v>5.0</v>
      </c>
      <c r="EA41" s="36">
        <v>10.0</v>
      </c>
      <c r="EB41" s="39">
        <v>6.0</v>
      </c>
      <c r="EC41" s="36">
        <v>10.0</v>
      </c>
      <c r="ED41" s="36">
        <v>12.0</v>
      </c>
      <c r="EE41" s="36">
        <v>18.0</v>
      </c>
      <c r="EF41" s="36">
        <v>4.0</v>
      </c>
      <c r="EG41" s="36">
        <v>5.0</v>
      </c>
      <c r="EH41" s="36">
        <v>6.0</v>
      </c>
      <c r="EI41" s="36">
        <v>6.0</v>
      </c>
      <c r="EJ41" s="36">
        <v>4.0</v>
      </c>
      <c r="EK41" s="36"/>
      <c r="EL41" s="36">
        <v>6.0</v>
      </c>
      <c r="EM41" s="43">
        <v>6.0</v>
      </c>
      <c r="EN41" s="10">
        <f t="shared" si="1"/>
        <v>23</v>
      </c>
      <c r="EO41" s="10">
        <f t="shared" si="2"/>
        <v>165</v>
      </c>
      <c r="EP41" s="10">
        <f t="shared" si="3"/>
        <v>7.173913043</v>
      </c>
      <c r="EQ41" s="44">
        <f t="shared" si="4"/>
        <v>7.17</v>
      </c>
      <c r="ER41" s="10"/>
      <c r="ES41" s="49" t="s">
        <v>105</v>
      </c>
      <c r="ET41" s="50">
        <v>7.55</v>
      </c>
      <c r="EV41" s="10"/>
      <c r="EW41" s="47"/>
      <c r="EX41" s="10"/>
      <c r="EY41" s="10"/>
      <c r="EZ41" s="10"/>
      <c r="FA41" s="48"/>
    </row>
    <row r="42" ht="35.25" customHeight="1">
      <c r="A42" s="47" t="str">
        <f>image("http://sumo.or.jp/img/sumo_data/rikishi/60x60/20150034.jpg")</f>
        <v/>
      </c>
      <c r="B42" s="10">
        <v>3.0</v>
      </c>
      <c r="C42" s="11" t="s">
        <v>76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6" t="s">
        <v>212</v>
      </c>
      <c r="EG42" s="33"/>
      <c r="EH42" s="33"/>
      <c r="EI42" s="33"/>
      <c r="EJ42" s="33"/>
      <c r="EK42" s="63">
        <v>16.0</v>
      </c>
      <c r="EL42" s="36">
        <v>9.0</v>
      </c>
      <c r="EM42" s="43">
        <v>12.0</v>
      </c>
      <c r="EN42" s="10">
        <f t="shared" si="1"/>
        <v>3</v>
      </c>
      <c r="EO42" s="10">
        <f t="shared" si="2"/>
        <v>37</v>
      </c>
      <c r="EP42" s="10">
        <f t="shared" si="3"/>
        <v>12.33333333</v>
      </c>
      <c r="EQ42" s="44">
        <f t="shared" si="4"/>
        <v>12.33</v>
      </c>
      <c r="ER42" s="10"/>
      <c r="ES42" s="49" t="s">
        <v>218</v>
      </c>
      <c r="ET42" s="50">
        <v>7.44</v>
      </c>
      <c r="EU42" s="47"/>
      <c r="EV42" s="10"/>
      <c r="EW42" s="47"/>
      <c r="EX42" s="47"/>
      <c r="EY42" s="47"/>
      <c r="EZ42" s="47"/>
      <c r="FA42" s="47"/>
      <c r="FB42" s="47"/>
      <c r="FC42" s="47"/>
    </row>
    <row r="43" ht="35.25" customHeight="1">
      <c r="A43" s="27" t="str">
        <f>image("http://www.sumo.or.jp/img/sumo_data/rikishi/60x60/20170071.jpg")</f>
        <v/>
      </c>
      <c r="B43" s="10">
        <v>3.0</v>
      </c>
      <c r="C43" s="11" t="s">
        <v>203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6" t="s">
        <v>212</v>
      </c>
      <c r="EE43" s="33"/>
      <c r="EF43" s="36">
        <v>9.0</v>
      </c>
      <c r="EG43" s="36">
        <v>8.0</v>
      </c>
      <c r="EH43" s="37">
        <v>20.0</v>
      </c>
      <c r="EI43" s="36">
        <v>15.0</v>
      </c>
      <c r="EJ43" s="36">
        <v>0.0</v>
      </c>
      <c r="EK43" s="36"/>
      <c r="EL43" s="36"/>
      <c r="EM43" s="43"/>
      <c r="EN43" s="10">
        <f t="shared" si="1"/>
        <v>5</v>
      </c>
      <c r="EO43" s="10">
        <f t="shared" si="2"/>
        <v>52</v>
      </c>
      <c r="EP43" s="10">
        <f t="shared" si="3"/>
        <v>10.4</v>
      </c>
      <c r="EQ43" s="44">
        <f t="shared" si="4"/>
        <v>10.4</v>
      </c>
      <c r="ER43" s="10"/>
      <c r="ES43" s="49" t="s">
        <v>167</v>
      </c>
      <c r="ET43" s="50">
        <v>7.18</v>
      </c>
      <c r="EU43" s="47"/>
      <c r="EV43" s="47"/>
      <c r="EW43" s="47"/>
      <c r="EX43" s="47"/>
      <c r="EY43" s="47"/>
      <c r="EZ43" s="47"/>
      <c r="FA43" s="47"/>
      <c r="FB43" s="47"/>
      <c r="FC43" s="47"/>
    </row>
    <row r="44" ht="35.25" customHeight="1">
      <c r="A44" s="47" t="str">
        <f>image("http://sumo.or.jp/img/sumo_data/rikishi/60x60/20170053.jpg")</f>
        <v/>
      </c>
      <c r="B44" s="10">
        <v>4.0</v>
      </c>
      <c r="C44" s="11" t="s">
        <v>100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6" t="s">
        <v>212</v>
      </c>
      <c r="EA44" s="36" t="s">
        <v>213</v>
      </c>
      <c r="EB44" s="33"/>
      <c r="EC44" s="36" t="s">
        <v>212</v>
      </c>
      <c r="ED44" s="33"/>
      <c r="EE44" s="33"/>
      <c r="EF44" s="33"/>
      <c r="EG44" s="39">
        <v>6.0</v>
      </c>
      <c r="EH44" s="88">
        <v>14.0</v>
      </c>
      <c r="EI44" s="36">
        <v>9.0</v>
      </c>
      <c r="EJ44" s="36">
        <v>8.0</v>
      </c>
      <c r="EK44" s="36">
        <v>16.0</v>
      </c>
      <c r="EL44" s="36">
        <v>6.0</v>
      </c>
      <c r="EM44" s="43">
        <v>5.0</v>
      </c>
      <c r="EN44" s="10">
        <f t="shared" si="1"/>
        <v>7</v>
      </c>
      <c r="EO44" s="10">
        <f t="shared" si="2"/>
        <v>64</v>
      </c>
      <c r="EP44" s="10">
        <f t="shared" si="3"/>
        <v>9.142857143</v>
      </c>
      <c r="EQ44" s="44">
        <f t="shared" si="4"/>
        <v>9.14</v>
      </c>
      <c r="ER44" s="10"/>
      <c r="ES44" s="49" t="s">
        <v>153</v>
      </c>
      <c r="ET44" s="50">
        <v>7.17</v>
      </c>
      <c r="EX44" s="10"/>
      <c r="EY44" s="10"/>
      <c r="EZ44" s="10"/>
      <c r="FA44" s="48"/>
    </row>
    <row r="45" ht="35.25" customHeight="1">
      <c r="A45" s="27" t="str">
        <f>image("http://sumo.or.jp/img/sumo_data/rikishi/60x60/20100029.jpg")</f>
        <v/>
      </c>
      <c r="B45" s="10">
        <v>4.0</v>
      </c>
      <c r="C45" s="11" t="s">
        <v>84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 t="s">
        <v>212</v>
      </c>
      <c r="DG45" s="36"/>
      <c r="DH45" s="36"/>
      <c r="DI45" s="36"/>
      <c r="DJ45" s="36"/>
      <c r="DK45" s="36"/>
      <c r="DL45" s="36"/>
      <c r="DM45" s="36">
        <v>4.0</v>
      </c>
      <c r="DN45" s="36"/>
      <c r="DO45" s="36"/>
      <c r="DP45" s="36">
        <v>7.0</v>
      </c>
      <c r="DQ45" s="36">
        <v>9.0</v>
      </c>
      <c r="DR45" s="36">
        <v>6.0</v>
      </c>
      <c r="DS45" s="36">
        <v>8.0</v>
      </c>
      <c r="DT45" s="36">
        <v>7.0</v>
      </c>
      <c r="DU45" s="36">
        <v>9.0</v>
      </c>
      <c r="DV45" s="36">
        <v>5.0</v>
      </c>
      <c r="DW45" s="36">
        <v>5.0</v>
      </c>
      <c r="DX45" s="36">
        <v>7.0</v>
      </c>
      <c r="DY45" s="36">
        <v>9.0</v>
      </c>
      <c r="DZ45" s="36">
        <v>7.0</v>
      </c>
      <c r="EA45" s="36">
        <v>9.0</v>
      </c>
      <c r="EB45" s="39">
        <v>7.0</v>
      </c>
      <c r="EC45" s="36">
        <v>7.0</v>
      </c>
      <c r="ED45" s="36">
        <v>7.0</v>
      </c>
      <c r="EE45" s="39">
        <v>6.0</v>
      </c>
      <c r="EF45" s="36">
        <v>9.0</v>
      </c>
      <c r="EG45" s="36">
        <v>5.0</v>
      </c>
      <c r="EH45" s="36">
        <v>7.0</v>
      </c>
      <c r="EI45" s="36">
        <v>6.0</v>
      </c>
      <c r="EJ45" s="36">
        <v>10.0</v>
      </c>
      <c r="EK45" s="36">
        <v>10.0</v>
      </c>
      <c r="EL45" s="36">
        <v>8.0</v>
      </c>
      <c r="EM45" s="43">
        <v>5.0</v>
      </c>
      <c r="EN45" s="10">
        <f t="shared" si="1"/>
        <v>25</v>
      </c>
      <c r="EO45" s="10">
        <f t="shared" si="2"/>
        <v>179</v>
      </c>
      <c r="EP45" s="10">
        <f t="shared" si="3"/>
        <v>7.16</v>
      </c>
      <c r="EQ45" s="44">
        <f t="shared" si="4"/>
        <v>7.16</v>
      </c>
      <c r="ER45" s="10"/>
      <c r="ES45" s="49" t="s">
        <v>84</v>
      </c>
      <c r="ET45" s="50">
        <v>7.16</v>
      </c>
      <c r="EX45" s="10"/>
      <c r="EY45" s="10"/>
      <c r="EZ45" s="10"/>
      <c r="FA45" s="48"/>
    </row>
    <row r="46" ht="35.25" customHeight="1">
      <c r="A46" s="47"/>
      <c r="B46" s="10">
        <v>4.0</v>
      </c>
      <c r="C46" s="11" t="s">
        <v>222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6" t="s">
        <v>212</v>
      </c>
      <c r="CJ46" s="33"/>
      <c r="CK46" s="33"/>
      <c r="CL46" s="33"/>
      <c r="CM46" s="36">
        <v>2.0</v>
      </c>
      <c r="CN46" s="33"/>
      <c r="CO46" s="33"/>
      <c r="CP46" s="33"/>
      <c r="CQ46" s="33"/>
      <c r="CR46" s="35">
        <v>16.0</v>
      </c>
      <c r="CS46" s="36">
        <v>8.0</v>
      </c>
      <c r="CT46" s="36">
        <v>8.0</v>
      </c>
      <c r="CU46" s="36">
        <v>4.0</v>
      </c>
      <c r="CV46" s="36">
        <v>7.0</v>
      </c>
      <c r="CW46" s="36">
        <v>7.0</v>
      </c>
      <c r="CX46" s="36">
        <v>7.0</v>
      </c>
      <c r="CY46" s="36">
        <v>8.0</v>
      </c>
      <c r="CZ46" s="36">
        <v>6.0</v>
      </c>
      <c r="DA46" s="36">
        <v>7.0</v>
      </c>
      <c r="DB46" s="36">
        <v>8.0</v>
      </c>
      <c r="DC46" s="36">
        <v>4.0</v>
      </c>
      <c r="DD46" s="33"/>
      <c r="DE46" s="33"/>
      <c r="DF46" s="36" t="s">
        <v>213</v>
      </c>
      <c r="DG46" s="36" t="s">
        <v>212</v>
      </c>
      <c r="DH46" s="33"/>
      <c r="DI46" s="36" t="s">
        <v>213</v>
      </c>
      <c r="DJ46" s="33"/>
      <c r="DK46" s="33"/>
      <c r="DL46" s="36"/>
      <c r="DM46" s="33"/>
      <c r="DN46" s="36"/>
      <c r="DO46" s="36"/>
      <c r="DP46" s="36"/>
      <c r="DQ46" s="36"/>
      <c r="DR46" s="36"/>
      <c r="DS46" s="36"/>
      <c r="DT46" s="36"/>
      <c r="DU46" s="33"/>
      <c r="DV46" s="33"/>
      <c r="DW46" s="36"/>
      <c r="DX46" s="33"/>
      <c r="DY46" s="33"/>
      <c r="DZ46" s="36"/>
      <c r="EA46" s="36"/>
      <c r="EB46" s="36"/>
      <c r="EC46" s="36"/>
      <c r="ED46" s="33"/>
      <c r="EE46" s="33"/>
      <c r="EF46" s="36"/>
      <c r="EG46" s="39"/>
      <c r="EH46" s="39"/>
      <c r="EI46" s="36"/>
      <c r="EJ46" s="36"/>
      <c r="EK46" s="36"/>
      <c r="EL46" s="36"/>
      <c r="EM46" s="43"/>
      <c r="EN46" s="10">
        <f t="shared" si="1"/>
        <v>13</v>
      </c>
      <c r="EO46" s="10">
        <f t="shared" si="2"/>
        <v>92</v>
      </c>
      <c r="EP46" s="10">
        <f t="shared" si="3"/>
        <v>7.076923077</v>
      </c>
      <c r="EQ46" s="44">
        <f t="shared" si="4"/>
        <v>7.08</v>
      </c>
      <c r="ER46" s="10"/>
      <c r="ES46" s="87" t="s">
        <v>187</v>
      </c>
      <c r="ET46" s="50">
        <v>7.13</v>
      </c>
      <c r="EX46" s="10"/>
      <c r="EY46" s="10"/>
      <c r="EZ46" s="10"/>
      <c r="FA46" s="48"/>
    </row>
    <row r="47" ht="35.25" customHeight="1">
      <c r="A47" s="47" t="str">
        <f>image("http://sumo.or.jp/img/sumo_data/rikishi/60x60/20070084.jpg")</f>
        <v/>
      </c>
      <c r="B47" s="10">
        <v>4.0</v>
      </c>
      <c r="C47" s="11" t="s">
        <v>223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6" t="s">
        <v>212</v>
      </c>
      <c r="CN47" s="33"/>
      <c r="CO47" s="36">
        <v>3.0</v>
      </c>
      <c r="CP47" s="33"/>
      <c r="CQ47" s="33"/>
      <c r="CR47" s="33"/>
      <c r="CS47" s="36" t="s">
        <v>213</v>
      </c>
      <c r="CT47" s="36" t="s">
        <v>212</v>
      </c>
      <c r="CU47" s="33"/>
      <c r="CV47" s="33"/>
      <c r="CW47" s="36">
        <v>5.0</v>
      </c>
      <c r="CX47" s="33"/>
      <c r="CY47" s="33"/>
      <c r="CZ47" s="36">
        <v>8.0</v>
      </c>
      <c r="DA47" s="36">
        <v>5.0</v>
      </c>
      <c r="DB47" s="33"/>
      <c r="DC47" s="36">
        <v>9.0</v>
      </c>
      <c r="DD47" s="36">
        <v>6.0</v>
      </c>
      <c r="DE47" s="36">
        <v>7.0</v>
      </c>
      <c r="DF47" s="36">
        <v>9.0</v>
      </c>
      <c r="DG47" s="36">
        <v>8.0</v>
      </c>
      <c r="DH47" s="36">
        <v>7.0</v>
      </c>
      <c r="DI47" s="36">
        <v>9.0</v>
      </c>
      <c r="DJ47" s="36">
        <v>5.0</v>
      </c>
      <c r="DK47" s="36">
        <v>8.0</v>
      </c>
      <c r="DL47" s="36">
        <v>9.0</v>
      </c>
      <c r="DM47" s="36">
        <v>10.0</v>
      </c>
      <c r="DN47" s="36">
        <v>6.0</v>
      </c>
      <c r="DO47" s="33"/>
      <c r="DP47" s="33"/>
      <c r="DQ47" s="36">
        <v>8.0</v>
      </c>
      <c r="DR47" s="36">
        <v>3.0</v>
      </c>
      <c r="DS47" s="36"/>
      <c r="DT47" s="36">
        <v>5.0</v>
      </c>
      <c r="DU47" s="33"/>
      <c r="DV47" s="33"/>
      <c r="DW47" s="33"/>
      <c r="DX47" s="33"/>
      <c r="DY47" s="33"/>
      <c r="DZ47" s="36"/>
      <c r="EA47" s="36"/>
      <c r="EB47" s="33"/>
      <c r="EC47" s="36"/>
      <c r="ED47" s="33"/>
      <c r="EE47" s="33"/>
      <c r="EF47" s="33"/>
      <c r="EG47" s="39"/>
      <c r="EH47" s="39"/>
      <c r="EI47" s="36"/>
      <c r="EJ47" s="36"/>
      <c r="EK47" s="36"/>
      <c r="EL47" s="36"/>
      <c r="EM47" s="43"/>
      <c r="EN47" s="10">
        <f t="shared" si="1"/>
        <v>19</v>
      </c>
      <c r="EO47" s="10">
        <f t="shared" si="2"/>
        <v>130</v>
      </c>
      <c r="EP47" s="10">
        <f t="shared" si="3"/>
        <v>6.842105263</v>
      </c>
      <c r="EQ47" s="44">
        <f t="shared" si="4"/>
        <v>6.84</v>
      </c>
      <c r="ER47" s="10"/>
      <c r="ES47" s="87" t="s">
        <v>222</v>
      </c>
      <c r="ET47" s="50">
        <v>7.08</v>
      </c>
      <c r="EX47" s="10"/>
      <c r="EY47" s="10"/>
      <c r="EZ47" s="10"/>
      <c r="FA47" s="48"/>
    </row>
    <row r="48" ht="35.25" customHeight="1">
      <c r="A48" s="47"/>
      <c r="B48" s="10">
        <v>4.0</v>
      </c>
      <c r="C48" s="11" t="s">
        <v>224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6" t="s">
        <v>212</v>
      </c>
      <c r="CK48" s="33"/>
      <c r="CL48" s="36">
        <v>10.0</v>
      </c>
      <c r="CM48" s="36">
        <v>6.0</v>
      </c>
      <c r="CN48" s="36">
        <v>7.0</v>
      </c>
      <c r="CO48" s="36">
        <v>7.0</v>
      </c>
      <c r="CP48" s="36">
        <v>5.0</v>
      </c>
      <c r="CQ48" s="36">
        <v>3.0</v>
      </c>
      <c r="CR48" s="36">
        <v>8.0</v>
      </c>
      <c r="CS48" s="36">
        <v>8.0</v>
      </c>
      <c r="CT48" s="36">
        <v>8.0</v>
      </c>
      <c r="CU48" s="36">
        <v>8.0</v>
      </c>
      <c r="CV48" s="36">
        <v>8.0</v>
      </c>
      <c r="CW48" s="36">
        <v>5.0</v>
      </c>
      <c r="CX48" s="36">
        <v>6.0</v>
      </c>
      <c r="CY48" s="36">
        <v>8.0</v>
      </c>
      <c r="CZ48" s="36">
        <v>5.0</v>
      </c>
      <c r="DA48" s="33"/>
      <c r="DB48" s="33"/>
      <c r="DC48" s="33"/>
      <c r="DD48" s="33"/>
      <c r="DE48" s="33"/>
      <c r="DF48" s="33"/>
      <c r="DG48" s="33"/>
      <c r="DH48" s="33"/>
      <c r="DI48" s="36">
        <v>3.0</v>
      </c>
      <c r="DJ48" s="33"/>
      <c r="DK48" s="33"/>
      <c r="DL48" s="33"/>
      <c r="DM48" s="33"/>
      <c r="DN48" s="33"/>
      <c r="DO48" s="33"/>
      <c r="DP48" s="33"/>
      <c r="DQ48" s="33"/>
      <c r="DR48" s="36" t="s">
        <v>213</v>
      </c>
      <c r="DS48" s="33"/>
      <c r="DT48" s="36" t="s">
        <v>212</v>
      </c>
      <c r="DU48" s="36" t="s">
        <v>213</v>
      </c>
      <c r="DV48" s="33"/>
      <c r="DW48" s="33"/>
      <c r="DX48" s="33"/>
      <c r="DY48" s="33"/>
      <c r="DZ48" s="36"/>
      <c r="EA48" s="36"/>
      <c r="EB48" s="33"/>
      <c r="EC48" s="36"/>
      <c r="ED48" s="33"/>
      <c r="EE48" s="33"/>
      <c r="EF48" s="33"/>
      <c r="EG48" s="39"/>
      <c r="EH48" s="39"/>
      <c r="EI48" s="36"/>
      <c r="EJ48" s="36"/>
      <c r="EK48" s="36"/>
      <c r="EL48" s="36"/>
      <c r="EM48" s="43"/>
      <c r="EN48" s="10">
        <f t="shared" si="1"/>
        <v>16</v>
      </c>
      <c r="EO48" s="10">
        <f t="shared" si="2"/>
        <v>105</v>
      </c>
      <c r="EP48" s="10">
        <f t="shared" si="3"/>
        <v>6.5625</v>
      </c>
      <c r="EQ48" s="44">
        <f t="shared" si="4"/>
        <v>6.56</v>
      </c>
      <c r="ER48" s="10"/>
      <c r="ES48" s="49" t="s">
        <v>180</v>
      </c>
      <c r="ET48" s="50">
        <v>7.0</v>
      </c>
      <c r="EV48" s="10"/>
      <c r="EW48" s="47"/>
      <c r="EX48" s="15"/>
      <c r="EY48" s="10"/>
      <c r="EZ48" s="47"/>
      <c r="FA48" s="47"/>
    </row>
    <row r="49" ht="35.25" customHeight="1">
      <c r="A49" s="27" t="str">
        <f>image("http://sumo.or.jp/img/sumo_data/rikishi/60x60/20140033.jpg")</f>
        <v/>
      </c>
      <c r="B49" s="10">
        <v>5.0</v>
      </c>
      <c r="C49" s="11" t="s">
        <v>173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 t="s">
        <v>212</v>
      </c>
      <c r="DJ49" s="36" t="s">
        <v>213</v>
      </c>
      <c r="DK49" s="36" t="s">
        <v>212</v>
      </c>
      <c r="DL49" s="36"/>
      <c r="DM49" s="36">
        <v>8.0</v>
      </c>
      <c r="DN49" s="36">
        <v>9.0</v>
      </c>
      <c r="DO49" s="36">
        <v>8.0</v>
      </c>
      <c r="DP49" s="36">
        <v>5.0</v>
      </c>
      <c r="DQ49" s="36">
        <v>7.0</v>
      </c>
      <c r="DR49" s="36">
        <v>7.0</v>
      </c>
      <c r="DS49" s="36">
        <v>7.0</v>
      </c>
      <c r="DT49" s="36">
        <v>7.0</v>
      </c>
      <c r="DU49" s="36">
        <v>8.0</v>
      </c>
      <c r="DV49" s="36">
        <v>7.0</v>
      </c>
      <c r="DW49" s="36">
        <v>10.0</v>
      </c>
      <c r="DX49" s="36">
        <v>4.0</v>
      </c>
      <c r="DY49" s="36">
        <v>7.0</v>
      </c>
      <c r="DZ49" s="36">
        <v>9.0</v>
      </c>
      <c r="EA49" s="36">
        <v>9.0</v>
      </c>
      <c r="EB49" s="39">
        <v>6.0</v>
      </c>
      <c r="EC49" s="36">
        <v>5.0</v>
      </c>
      <c r="ED49" s="36">
        <v>6.0</v>
      </c>
      <c r="EE49" s="39">
        <v>3.0</v>
      </c>
      <c r="EF49" s="39"/>
      <c r="EG49" s="39"/>
      <c r="EH49" s="39"/>
      <c r="EI49" s="39"/>
      <c r="EJ49" s="39">
        <v>5.0</v>
      </c>
      <c r="EK49" s="39"/>
      <c r="EL49" s="39"/>
      <c r="EM49" s="89"/>
      <c r="EN49" s="10">
        <f t="shared" si="1"/>
        <v>20</v>
      </c>
      <c r="EO49" s="10">
        <f t="shared" si="2"/>
        <v>137</v>
      </c>
      <c r="EP49" s="10">
        <f t="shared" si="3"/>
        <v>6.85</v>
      </c>
      <c r="EQ49" s="44">
        <f t="shared" si="4"/>
        <v>6.85</v>
      </c>
      <c r="ER49" s="10"/>
      <c r="ES49" s="49" t="s">
        <v>125</v>
      </c>
      <c r="ET49" s="50">
        <v>7.0</v>
      </c>
      <c r="EX49" s="10"/>
      <c r="EY49" s="47"/>
      <c r="EZ49" s="47"/>
      <c r="FA49" s="48"/>
    </row>
    <row r="50" ht="35.25" customHeight="1">
      <c r="A50" s="27" t="str">
        <f>image("http://sumo.or.jp/img/sumo_data/rikishi/60x60/20070085.jpg")</f>
        <v/>
      </c>
      <c r="B50" s="10">
        <v>5.0</v>
      </c>
      <c r="C50" s="11" t="s">
        <v>163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 t="s">
        <v>212</v>
      </c>
      <c r="CZ50" s="36"/>
      <c r="DA50" s="36"/>
      <c r="DB50" s="36">
        <v>8.0</v>
      </c>
      <c r="DC50" s="36">
        <v>5.0</v>
      </c>
      <c r="DD50" s="36">
        <v>8.0</v>
      </c>
      <c r="DE50" s="36">
        <v>4.0</v>
      </c>
      <c r="DF50" s="36">
        <v>8.0</v>
      </c>
      <c r="DG50" s="36">
        <v>7.0</v>
      </c>
      <c r="DH50" s="36">
        <v>8.0</v>
      </c>
      <c r="DI50" s="36">
        <v>3.0</v>
      </c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>
        <v>9.0</v>
      </c>
      <c r="DW50" s="36">
        <v>9.0</v>
      </c>
      <c r="DX50" s="36">
        <v>7.0</v>
      </c>
      <c r="DY50" s="36">
        <v>9.0</v>
      </c>
      <c r="DZ50" s="36">
        <v>14.0</v>
      </c>
      <c r="EA50" s="36">
        <v>5.0</v>
      </c>
      <c r="EB50" s="39">
        <v>5.0</v>
      </c>
      <c r="EC50" s="36">
        <v>6.0</v>
      </c>
      <c r="ED50" s="36">
        <v>4.0</v>
      </c>
      <c r="EE50" s="36"/>
      <c r="EF50" s="36"/>
      <c r="EG50" s="36">
        <v>7.0</v>
      </c>
      <c r="EH50" s="36">
        <v>5.0</v>
      </c>
      <c r="EI50" s="36"/>
      <c r="EJ50" s="36">
        <v>9.0</v>
      </c>
      <c r="EK50" s="36">
        <v>6.0</v>
      </c>
      <c r="EL50" s="36">
        <v>7.0</v>
      </c>
      <c r="EM50" s="43">
        <v>4.0</v>
      </c>
      <c r="EN50" s="10">
        <f t="shared" si="1"/>
        <v>23</v>
      </c>
      <c r="EO50" s="10">
        <f t="shared" si="2"/>
        <v>157</v>
      </c>
      <c r="EP50" s="10">
        <f t="shared" si="3"/>
        <v>6.826086957</v>
      </c>
      <c r="EQ50" s="44">
        <f t="shared" si="4"/>
        <v>6.83</v>
      </c>
      <c r="ER50" s="10"/>
      <c r="ES50" s="86" t="s">
        <v>141</v>
      </c>
      <c r="ET50" s="50">
        <v>7.0</v>
      </c>
      <c r="EU50" s="90"/>
      <c r="EW50" s="90"/>
      <c r="EX50" s="21"/>
      <c r="EY50" s="91"/>
      <c r="EZ50" s="21"/>
      <c r="FA50" s="91"/>
      <c r="FB50" s="90"/>
      <c r="FC50" s="92"/>
    </row>
    <row r="51" ht="35.25" customHeight="1">
      <c r="A51" s="47" t="str">
        <f>image("http://sumo.or.jp/img/sumo_data/rikishi/60x60/20120047.jpg")</f>
        <v/>
      </c>
      <c r="B51" s="10">
        <v>6.0</v>
      </c>
      <c r="C51" s="11" t="s">
        <v>135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6" t="s">
        <v>212</v>
      </c>
      <c r="DQ51" s="36" t="s">
        <v>213</v>
      </c>
      <c r="DR51" s="33"/>
      <c r="DS51" s="33"/>
      <c r="DT51" s="33"/>
      <c r="DU51" s="33"/>
      <c r="DV51" s="33"/>
      <c r="DW51" s="33"/>
      <c r="DX51" s="33"/>
      <c r="DY51" s="33"/>
      <c r="DZ51" s="36" t="s">
        <v>212</v>
      </c>
      <c r="EA51" s="33"/>
      <c r="EB51" s="33"/>
      <c r="EC51" s="33"/>
      <c r="ED51" s="33"/>
      <c r="EE51" s="33"/>
      <c r="EF51" s="33"/>
      <c r="EG51" s="63">
        <v>15.0</v>
      </c>
      <c r="EH51" s="39">
        <v>8.0</v>
      </c>
      <c r="EI51" s="36">
        <v>5.0</v>
      </c>
      <c r="EJ51" s="36">
        <v>6.0</v>
      </c>
      <c r="EK51" s="36">
        <v>6.0</v>
      </c>
      <c r="EL51" s="36">
        <v>9.0</v>
      </c>
      <c r="EM51" s="43">
        <v>5.0</v>
      </c>
      <c r="EN51" s="10">
        <f t="shared" si="1"/>
        <v>7</v>
      </c>
      <c r="EO51" s="10">
        <f t="shared" si="2"/>
        <v>54</v>
      </c>
      <c r="EP51" s="10">
        <f t="shared" si="3"/>
        <v>7.714285714</v>
      </c>
      <c r="EQ51" s="44">
        <f t="shared" si="4"/>
        <v>7.71</v>
      </c>
      <c r="ER51" s="10"/>
      <c r="ES51" s="86" t="s">
        <v>219</v>
      </c>
      <c r="ET51" s="50">
        <v>6.95</v>
      </c>
      <c r="EU51" s="47"/>
      <c r="EV51" s="10"/>
      <c r="EW51" s="47"/>
      <c r="EX51" s="47"/>
      <c r="EY51" s="47"/>
      <c r="EZ51" s="47"/>
      <c r="FA51" s="47"/>
      <c r="FB51" s="47"/>
      <c r="FC51" s="47"/>
    </row>
    <row r="52" ht="35.25" customHeight="1">
      <c r="A52" s="27" t="str">
        <f>image("http://sumo.or.jp/img/sumo_data/rikishi/60x60/20100052.jpg")</f>
        <v/>
      </c>
      <c r="B52" s="10">
        <v>7.0</v>
      </c>
      <c r="C52" s="16" t="s">
        <v>65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93"/>
      <c r="CU52" s="93"/>
      <c r="CV52" s="93"/>
      <c r="CW52" s="93"/>
      <c r="CX52" s="93"/>
      <c r="CY52" s="93"/>
      <c r="CZ52" s="93"/>
      <c r="DA52" s="93"/>
      <c r="DB52" s="93"/>
      <c r="DC52" s="93"/>
      <c r="DD52" s="93"/>
      <c r="DE52" s="93"/>
      <c r="DF52" s="93"/>
      <c r="DG52" s="93"/>
      <c r="DH52" s="93"/>
      <c r="DI52" s="93"/>
      <c r="DJ52" s="93"/>
      <c r="DK52" s="93"/>
      <c r="DL52" s="93"/>
      <c r="DM52" s="93"/>
      <c r="DN52" s="93"/>
      <c r="DO52" s="93"/>
      <c r="DP52" s="93"/>
      <c r="DQ52" s="93"/>
      <c r="DR52" s="93"/>
      <c r="DS52" s="93" t="s">
        <v>212</v>
      </c>
      <c r="DT52" s="93"/>
      <c r="DU52" s="93"/>
      <c r="DV52" s="93"/>
      <c r="DW52" s="93"/>
      <c r="DX52" s="93"/>
      <c r="DY52" s="93" t="s">
        <v>213</v>
      </c>
      <c r="DZ52" s="93" t="s">
        <v>212</v>
      </c>
      <c r="EA52" s="93"/>
      <c r="EB52" s="94"/>
      <c r="EC52" s="94"/>
      <c r="ED52" s="94"/>
      <c r="EE52" s="94"/>
      <c r="EF52" s="36">
        <v>6.0</v>
      </c>
      <c r="EG52" s="36">
        <v>6.0</v>
      </c>
      <c r="EH52" s="35">
        <v>17.0</v>
      </c>
      <c r="EI52" s="36">
        <v>4.0</v>
      </c>
      <c r="EJ52" s="36">
        <v>8.0</v>
      </c>
      <c r="EK52" s="36">
        <v>8.0</v>
      </c>
      <c r="EL52" s="36">
        <v>9.0</v>
      </c>
      <c r="EM52" s="43">
        <v>11.0</v>
      </c>
      <c r="EN52" s="10">
        <f t="shared" si="1"/>
        <v>8</v>
      </c>
      <c r="EO52" s="21">
        <f t="shared" si="2"/>
        <v>69</v>
      </c>
      <c r="EP52" s="21">
        <f t="shared" si="3"/>
        <v>8.625</v>
      </c>
      <c r="EQ52" s="95">
        <f t="shared" si="4"/>
        <v>8.63</v>
      </c>
      <c r="ER52" s="10"/>
      <c r="ES52" s="49" t="s">
        <v>173</v>
      </c>
      <c r="ET52" s="50">
        <v>6.85</v>
      </c>
      <c r="EX52" s="10"/>
      <c r="EY52" s="10"/>
      <c r="EZ52" s="10"/>
      <c r="FA52" s="48"/>
    </row>
    <row r="53" ht="35.25" customHeight="1">
      <c r="A53" s="27" t="str">
        <f>image("http://sumo.or.jp/img/sumo_data/rikishi/60x60/20140002.jpg")</f>
        <v/>
      </c>
      <c r="B53" s="10">
        <v>7.0</v>
      </c>
      <c r="C53" s="11" t="s">
        <v>180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6" t="s">
        <v>212</v>
      </c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5">
        <v>15.0</v>
      </c>
      <c r="EJ53" s="36">
        <v>6.0</v>
      </c>
      <c r="EK53" s="36">
        <v>6.0</v>
      </c>
      <c r="EL53" s="36">
        <v>1.0</v>
      </c>
      <c r="EM53" s="43"/>
      <c r="EN53" s="10">
        <f t="shared" si="1"/>
        <v>4</v>
      </c>
      <c r="EO53" s="10">
        <f t="shared" si="2"/>
        <v>28</v>
      </c>
      <c r="EP53" s="10">
        <f t="shared" si="3"/>
        <v>7</v>
      </c>
      <c r="EQ53" s="44">
        <f t="shared" si="4"/>
        <v>7</v>
      </c>
      <c r="ER53" s="10"/>
      <c r="ES53" s="49" t="s">
        <v>223</v>
      </c>
      <c r="ET53" s="50">
        <v>6.84</v>
      </c>
      <c r="EU53" s="47"/>
      <c r="EV53" s="47"/>
      <c r="EW53" s="47"/>
      <c r="EX53" s="47"/>
      <c r="EY53" s="47"/>
      <c r="EZ53" s="47"/>
      <c r="FA53" s="47"/>
      <c r="FB53" s="47"/>
      <c r="FC53" s="47"/>
    </row>
    <row r="54" ht="35.25" customHeight="1">
      <c r="A54" s="27" t="str">
        <f>image("http://sumo.or.jp/img/sumo_data/rikishi/60x60/20070057.jpg")</f>
        <v/>
      </c>
      <c r="B54" s="10">
        <v>7.0</v>
      </c>
      <c r="C54" s="11" t="s">
        <v>107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6" t="s">
        <v>212</v>
      </c>
      <c r="DG54" s="36" t="s">
        <v>213</v>
      </c>
      <c r="DH54" s="36" t="s">
        <v>212</v>
      </c>
      <c r="DI54" s="36" t="s">
        <v>213</v>
      </c>
      <c r="DJ54" s="33"/>
      <c r="DK54" s="33"/>
      <c r="DL54" s="33"/>
      <c r="DM54" s="33"/>
      <c r="DN54" s="33"/>
      <c r="DO54" s="33"/>
      <c r="DP54" s="36" t="s">
        <v>212</v>
      </c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9">
        <v>3.0</v>
      </c>
      <c r="EC54" s="33"/>
      <c r="ED54" s="33"/>
      <c r="EE54" s="36">
        <v>7.0</v>
      </c>
      <c r="EF54" s="36">
        <v>7.0</v>
      </c>
      <c r="EG54" s="36">
        <v>8.0</v>
      </c>
      <c r="EH54" s="36">
        <v>9.0</v>
      </c>
      <c r="EI54" s="36">
        <v>7.0</v>
      </c>
      <c r="EJ54" s="36">
        <v>5.0</v>
      </c>
      <c r="EK54" s="36">
        <v>2.0</v>
      </c>
      <c r="EL54" s="36"/>
      <c r="EM54" s="43">
        <v>10.0</v>
      </c>
      <c r="EN54" s="10">
        <f t="shared" si="1"/>
        <v>9</v>
      </c>
      <c r="EO54" s="10">
        <f t="shared" si="2"/>
        <v>58</v>
      </c>
      <c r="EP54" s="10">
        <f t="shared" si="3"/>
        <v>6.444444444</v>
      </c>
      <c r="EQ54" s="44">
        <f t="shared" si="4"/>
        <v>6.44</v>
      </c>
      <c r="ER54" s="10"/>
      <c r="ES54" s="49" t="s">
        <v>163</v>
      </c>
      <c r="ET54" s="50">
        <v>6.83</v>
      </c>
      <c r="EX54" s="10"/>
      <c r="EY54" s="47"/>
      <c r="EZ54" s="47"/>
      <c r="FA54" s="48"/>
    </row>
    <row r="55" ht="35.25" customHeight="1">
      <c r="A55" s="27" t="str">
        <f>image("http://sumo.or.jp/img/sumo_data/rikishi/60x60/20130013.jpg")</f>
        <v/>
      </c>
      <c r="B55" s="10">
        <v>8.0</v>
      </c>
      <c r="C55" s="11" t="s">
        <v>125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 t="s">
        <v>212</v>
      </c>
      <c r="DI55" s="36"/>
      <c r="DJ55" s="36"/>
      <c r="DK55" s="36"/>
      <c r="DL55" s="36"/>
      <c r="DM55" s="36"/>
      <c r="DN55" s="36"/>
      <c r="DO55" s="36"/>
      <c r="DP55" s="36"/>
      <c r="DQ55" s="36"/>
      <c r="DR55" s="35">
        <v>15.0</v>
      </c>
      <c r="DS55" s="36">
        <v>6.0</v>
      </c>
      <c r="DT55" s="36">
        <v>7.0</v>
      </c>
      <c r="DU55" s="36">
        <v>8.0</v>
      </c>
      <c r="DV55" s="36">
        <v>7.0</v>
      </c>
      <c r="DW55" s="36">
        <v>3.0</v>
      </c>
      <c r="DX55" s="36"/>
      <c r="DY55" s="36">
        <v>9.0</v>
      </c>
      <c r="DZ55" s="36">
        <v>7.0</v>
      </c>
      <c r="EA55" s="36">
        <v>6.0</v>
      </c>
      <c r="EB55" s="39">
        <v>7.0</v>
      </c>
      <c r="EC55" s="36">
        <v>4.0</v>
      </c>
      <c r="ED55" s="36"/>
      <c r="EE55" s="36"/>
      <c r="EF55" s="36">
        <v>6.0</v>
      </c>
      <c r="EG55" s="36">
        <v>5.0</v>
      </c>
      <c r="EH55" s="36"/>
      <c r="EI55" s="36">
        <v>8.0</v>
      </c>
      <c r="EJ55" s="36">
        <v>9.0</v>
      </c>
      <c r="EK55" s="36">
        <v>6.0</v>
      </c>
      <c r="EL55" s="36">
        <v>9.0</v>
      </c>
      <c r="EM55" s="43">
        <v>4.0</v>
      </c>
      <c r="EN55" s="10">
        <f t="shared" si="1"/>
        <v>18</v>
      </c>
      <c r="EO55" s="10">
        <f t="shared" si="2"/>
        <v>126</v>
      </c>
      <c r="EP55" s="10">
        <f t="shared" si="3"/>
        <v>7</v>
      </c>
      <c r="EQ55" s="44">
        <f t="shared" si="4"/>
        <v>7</v>
      </c>
      <c r="ER55" s="10"/>
      <c r="ES55" s="49" t="s">
        <v>169</v>
      </c>
      <c r="ET55" s="50">
        <v>6.64</v>
      </c>
      <c r="EU55" s="47"/>
      <c r="EV55" s="47"/>
      <c r="EW55" s="47"/>
      <c r="EX55" s="47"/>
      <c r="EY55" s="47"/>
      <c r="EZ55" s="47"/>
      <c r="FA55" s="47"/>
      <c r="FB55" s="47"/>
      <c r="FC55" s="47"/>
    </row>
    <row r="56" ht="35.25" customHeight="1">
      <c r="A56" s="27" t="str">
        <f>image("http://sumo.or.jp/img/sumo_data/rikishi/60x60/20080001.jpg")</f>
        <v/>
      </c>
      <c r="B56" s="10">
        <v>8.0</v>
      </c>
      <c r="C56" s="11" t="s">
        <v>141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 t="s">
        <v>212</v>
      </c>
      <c r="DE56" s="36"/>
      <c r="DF56" s="36" t="s">
        <v>213</v>
      </c>
      <c r="DG56" s="36"/>
      <c r="DH56" s="36"/>
      <c r="DI56" s="36"/>
      <c r="DJ56" s="36"/>
      <c r="DK56" s="36" t="s">
        <v>212</v>
      </c>
      <c r="DL56" s="36"/>
      <c r="DM56" s="36"/>
      <c r="DN56" s="36"/>
      <c r="DO56" s="36" t="s">
        <v>213</v>
      </c>
      <c r="DP56" s="36" t="s">
        <v>212</v>
      </c>
      <c r="DQ56" s="36"/>
      <c r="DR56" s="36"/>
      <c r="DS56" s="36"/>
      <c r="DT56" s="36"/>
      <c r="DU56" s="36"/>
      <c r="DV56" s="36"/>
      <c r="DW56" s="36"/>
      <c r="DX56" s="36"/>
      <c r="DY56" s="36"/>
      <c r="DZ56" s="33"/>
      <c r="EA56" s="35">
        <v>14.0</v>
      </c>
      <c r="EB56" s="39">
        <v>6.0</v>
      </c>
      <c r="EC56" s="39">
        <v>1.0</v>
      </c>
      <c r="ED56" s="39"/>
      <c r="EE56" s="39"/>
      <c r="EF56" s="39"/>
      <c r="EG56" s="39"/>
      <c r="EH56" s="39"/>
      <c r="EI56" s="39"/>
      <c r="EJ56" s="39"/>
      <c r="EK56" s="39"/>
      <c r="EL56" s="39"/>
      <c r="EM56" s="89"/>
      <c r="EN56" s="10">
        <f t="shared" si="1"/>
        <v>3</v>
      </c>
      <c r="EO56" s="10">
        <f t="shared" si="2"/>
        <v>21</v>
      </c>
      <c r="EP56" s="10">
        <f t="shared" si="3"/>
        <v>7</v>
      </c>
      <c r="EQ56" s="44">
        <f t="shared" si="4"/>
        <v>7</v>
      </c>
      <c r="ER56" s="10"/>
      <c r="ES56" s="86" t="s">
        <v>224</v>
      </c>
      <c r="ET56" s="50">
        <v>6.56</v>
      </c>
      <c r="EU56" s="47"/>
      <c r="EV56" s="47"/>
      <c r="EW56" s="47"/>
      <c r="EX56" s="47"/>
      <c r="EY56" s="47"/>
      <c r="EZ56" s="47"/>
      <c r="FA56" s="47"/>
      <c r="FB56" s="47"/>
      <c r="FC56" s="47"/>
    </row>
    <row r="57" ht="35.25" customHeight="1">
      <c r="A57" s="27" t="str">
        <f>image("http://sumo.or.jp/img/sumo_data/rikishi/60x60/20130002.jpg")</f>
        <v/>
      </c>
      <c r="B57" s="10">
        <v>9.0</v>
      </c>
      <c r="C57" s="11" t="s">
        <v>191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 t="s">
        <v>212</v>
      </c>
      <c r="DZ57" s="33"/>
      <c r="EA57" s="36"/>
      <c r="EB57" s="33"/>
      <c r="EC57" s="33"/>
      <c r="ED57" s="33"/>
      <c r="EE57" s="33"/>
      <c r="EF57" s="36">
        <v>7.0</v>
      </c>
      <c r="EG57" s="36">
        <v>9.0</v>
      </c>
      <c r="EH57" s="36">
        <v>6.0</v>
      </c>
      <c r="EI57" s="36">
        <v>5.0</v>
      </c>
      <c r="EJ57" s="36">
        <v>3.0</v>
      </c>
      <c r="EK57" s="36"/>
      <c r="EL57" s="36"/>
      <c r="EM57" s="43"/>
      <c r="EN57" s="10">
        <f t="shared" si="1"/>
        <v>5</v>
      </c>
      <c r="EO57" s="10">
        <f t="shared" si="2"/>
        <v>30</v>
      </c>
      <c r="EP57" s="10">
        <f t="shared" si="3"/>
        <v>6</v>
      </c>
      <c r="EQ57" s="44">
        <f t="shared" si="4"/>
        <v>6</v>
      </c>
      <c r="ER57" s="10"/>
      <c r="ES57" s="49" t="s">
        <v>159</v>
      </c>
      <c r="ET57" s="50">
        <v>6.5</v>
      </c>
      <c r="EV57" s="10"/>
      <c r="EW57" s="47"/>
      <c r="EX57" s="10"/>
      <c r="EY57" s="47"/>
      <c r="EZ57" s="10"/>
      <c r="FA57" s="48"/>
    </row>
    <row r="58" ht="35.25" customHeight="1">
      <c r="A58" t="str">
        <f>image("http://www.sumo.or.jp/img/sumo_data/rikishi/60x60/20170069.jpg")</f>
        <v/>
      </c>
      <c r="B58" s="10">
        <v>10.0</v>
      </c>
      <c r="C58" s="11" t="s">
        <v>199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6" t="s">
        <v>212</v>
      </c>
      <c r="DX58" s="33"/>
      <c r="DY58" s="36" t="s">
        <v>213</v>
      </c>
      <c r="DZ58" s="36" t="s">
        <v>212</v>
      </c>
      <c r="EA58" s="33"/>
      <c r="EB58" s="33"/>
      <c r="EC58" s="33"/>
      <c r="ED58" s="33"/>
      <c r="EE58" s="36">
        <v>9.0</v>
      </c>
      <c r="EF58" s="36">
        <v>6.0</v>
      </c>
      <c r="EG58" s="36">
        <v>6.0</v>
      </c>
      <c r="EH58" s="36">
        <v>4.0</v>
      </c>
      <c r="EI58" s="36"/>
      <c r="EJ58" s="36"/>
      <c r="EK58" s="36"/>
      <c r="EL58" s="36"/>
      <c r="EM58" s="43"/>
      <c r="EN58" s="10">
        <f t="shared" si="1"/>
        <v>4</v>
      </c>
      <c r="EO58" s="10">
        <f t="shared" si="2"/>
        <v>25</v>
      </c>
      <c r="EP58" s="10">
        <f t="shared" si="3"/>
        <v>6.25</v>
      </c>
      <c r="EQ58" s="44">
        <f t="shared" si="4"/>
        <v>6.25</v>
      </c>
      <c r="ER58" s="10"/>
      <c r="ES58" s="49" t="s">
        <v>96</v>
      </c>
      <c r="ET58" s="50">
        <v>6.5</v>
      </c>
      <c r="EV58" s="10"/>
      <c r="EW58" s="47"/>
      <c r="EX58" s="15"/>
      <c r="EY58" s="10"/>
      <c r="EZ58" s="47"/>
      <c r="FA58" s="47"/>
    </row>
    <row r="59" ht="34.5" customHeight="1">
      <c r="A59" s="27" t="str">
        <f>image("http://www.sumo.or.jp/img/sumo_data/rikishi/60x60/20130040.jpg")</f>
        <v/>
      </c>
      <c r="B59" s="10">
        <v>10.0</v>
      </c>
      <c r="C59" s="11" t="s">
        <v>195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6" t="s">
        <v>212</v>
      </c>
      <c r="DV59" s="36" t="s">
        <v>213</v>
      </c>
      <c r="DW59" s="33"/>
      <c r="DX59" s="36" t="s">
        <v>212</v>
      </c>
      <c r="DY59" s="33"/>
      <c r="DZ59" s="33"/>
      <c r="EA59" s="33"/>
      <c r="EB59" s="33"/>
      <c r="EC59" s="33"/>
      <c r="ED59" s="33"/>
      <c r="EE59" s="33"/>
      <c r="EF59" s="33"/>
      <c r="EG59" s="33"/>
      <c r="EH59" s="39">
        <v>4.0</v>
      </c>
      <c r="EI59" s="36">
        <v>4.0</v>
      </c>
      <c r="EJ59" s="36"/>
      <c r="EK59" s="36"/>
      <c r="EL59" s="36"/>
      <c r="EM59" s="43"/>
      <c r="EN59" s="10">
        <f t="shared" si="1"/>
        <v>2</v>
      </c>
      <c r="EO59" s="10">
        <f t="shared" si="2"/>
        <v>8</v>
      </c>
      <c r="EP59" s="10">
        <f t="shared" si="3"/>
        <v>4</v>
      </c>
      <c r="EQ59" s="44">
        <f t="shared" si="4"/>
        <v>4</v>
      </c>
      <c r="ER59" s="10"/>
      <c r="ES59" s="49" t="s">
        <v>107</v>
      </c>
      <c r="ET59" s="50">
        <v>6.44</v>
      </c>
      <c r="EU59" s="47"/>
      <c r="EV59" s="47"/>
      <c r="EW59" s="47"/>
      <c r="EX59" s="47"/>
      <c r="EY59" s="47"/>
      <c r="EZ59" s="47"/>
      <c r="FA59" s="47"/>
      <c r="FB59" s="47"/>
      <c r="FC59" s="47"/>
    </row>
    <row r="60" ht="35.25" customHeight="1">
      <c r="A60" s="27" t="str">
        <f>image("http://sumo.or.jp/img/sumo_data/rikishi/60x60/20160002.jpg")</f>
        <v/>
      </c>
      <c r="B60" s="10">
        <v>11.0</v>
      </c>
      <c r="C60" s="11" t="s">
        <v>169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 t="s">
        <v>212</v>
      </c>
      <c r="DN60" s="36"/>
      <c r="DO60" s="36"/>
      <c r="DP60" s="36"/>
      <c r="DQ60" s="36"/>
      <c r="DR60" s="36">
        <v>6.0</v>
      </c>
      <c r="DS60" s="36">
        <v>8.0</v>
      </c>
      <c r="DT60" s="36">
        <v>10.0</v>
      </c>
      <c r="DU60" s="36">
        <v>4.0</v>
      </c>
      <c r="DV60" s="36"/>
      <c r="DW60" s="36"/>
      <c r="DX60" s="36">
        <v>7.0</v>
      </c>
      <c r="DY60" s="36">
        <v>8.0</v>
      </c>
      <c r="DZ60" s="36">
        <v>10.0</v>
      </c>
      <c r="EA60" s="36">
        <v>4.0</v>
      </c>
      <c r="EB60" s="33"/>
      <c r="EC60" s="36"/>
      <c r="ED60" s="36">
        <v>7.0</v>
      </c>
      <c r="EE60" s="36">
        <v>4.0</v>
      </c>
      <c r="EF60" s="36"/>
      <c r="EG60" s="36"/>
      <c r="EH60" s="36"/>
      <c r="EI60" s="36"/>
      <c r="EJ60" s="36"/>
      <c r="EK60" s="36"/>
      <c r="EL60" s="36">
        <v>5.0</v>
      </c>
      <c r="EM60" s="43"/>
      <c r="EN60" s="10">
        <f t="shared" si="1"/>
        <v>11</v>
      </c>
      <c r="EO60" s="10">
        <f t="shared" si="2"/>
        <v>73</v>
      </c>
      <c r="EP60" s="10">
        <f t="shared" si="3"/>
        <v>6.636363636</v>
      </c>
      <c r="EQ60" s="44">
        <f t="shared" si="4"/>
        <v>6.64</v>
      </c>
      <c r="ER60" s="10"/>
      <c r="ES60" s="49" t="s">
        <v>220</v>
      </c>
      <c r="ET60" s="50">
        <v>6.4</v>
      </c>
      <c r="EV60" s="10"/>
      <c r="EW60" s="47"/>
      <c r="EX60" s="10"/>
      <c r="EY60" s="10"/>
      <c r="EZ60" s="10"/>
      <c r="FA60" s="48"/>
    </row>
    <row r="61" ht="35.25" customHeight="1">
      <c r="A61" s="27" t="str">
        <f>image("http://sumo.or.jp/img/sumo_data/rikishi/60x60/20120049.jpg")</f>
        <v/>
      </c>
      <c r="B61" s="10">
        <v>12.0</v>
      </c>
      <c r="C61" s="11" t="s">
        <v>183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 t="s">
        <v>212</v>
      </c>
      <c r="DG61" s="36"/>
      <c r="DH61" s="36"/>
      <c r="DI61" s="36"/>
      <c r="DJ61" s="36">
        <v>6.0</v>
      </c>
      <c r="DK61" s="36">
        <v>6.0</v>
      </c>
      <c r="DL61" s="36"/>
      <c r="DM61" s="36"/>
      <c r="DN61" s="36">
        <v>7.0</v>
      </c>
      <c r="DO61" s="36">
        <v>5.0</v>
      </c>
      <c r="DP61" s="36"/>
      <c r="DQ61" s="36"/>
      <c r="DR61" s="36">
        <v>4.0</v>
      </c>
      <c r="DS61" s="36"/>
      <c r="DT61" s="36"/>
      <c r="DU61" s="36"/>
      <c r="DV61" s="36"/>
      <c r="DW61" s="36"/>
      <c r="DX61" s="36"/>
      <c r="DY61" s="36"/>
      <c r="DZ61" s="36">
        <v>3.0</v>
      </c>
      <c r="EA61" s="33"/>
      <c r="EB61" s="33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43"/>
      <c r="EN61" s="10">
        <f t="shared" si="1"/>
        <v>6</v>
      </c>
      <c r="EO61" s="10">
        <f t="shared" si="2"/>
        <v>31</v>
      </c>
      <c r="EP61" s="10">
        <f t="shared" si="3"/>
        <v>5.166666667</v>
      </c>
      <c r="EQ61" s="44">
        <f t="shared" si="4"/>
        <v>5.17</v>
      </c>
      <c r="ER61" s="10"/>
      <c r="ES61" s="86" t="s">
        <v>199</v>
      </c>
      <c r="ET61" s="50">
        <v>6.25</v>
      </c>
      <c r="EX61" s="10"/>
      <c r="EY61" s="10"/>
      <c r="EZ61" s="10"/>
      <c r="FA61" s="48"/>
    </row>
    <row r="62" ht="35.25" customHeight="1">
      <c r="A62" s="47" t="str">
        <f>image("http://sumo.or.jp/img/sumo_data/rikishi/60x60/20150081.jpg")</f>
        <v/>
      </c>
      <c r="B62" s="10">
        <v>13.0</v>
      </c>
      <c r="C62" s="11" t="s">
        <v>159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6">
        <v>9.0</v>
      </c>
      <c r="EM62" s="43">
        <v>4.0</v>
      </c>
      <c r="EN62" s="10">
        <f t="shared" si="1"/>
        <v>2</v>
      </c>
      <c r="EO62" s="10">
        <f t="shared" si="2"/>
        <v>13</v>
      </c>
      <c r="EP62" s="10">
        <f t="shared" si="3"/>
        <v>6.5</v>
      </c>
      <c r="EQ62" s="44">
        <f t="shared" si="4"/>
        <v>6.5</v>
      </c>
      <c r="ER62" s="10"/>
      <c r="ES62" s="49" t="s">
        <v>176</v>
      </c>
      <c r="ET62" s="62">
        <v>6.17</v>
      </c>
      <c r="EV62" s="10"/>
      <c r="EW62" s="47"/>
      <c r="EX62" s="15"/>
      <c r="EY62" s="10"/>
      <c r="EZ62" s="10"/>
      <c r="FA62" s="47"/>
    </row>
    <row r="63" ht="35.25" customHeight="1">
      <c r="A63" s="47" t="str">
        <f>image("http://sumo.or.jp/img/sumo_data/rikishi/60x60/20170011.jpg")</f>
        <v/>
      </c>
      <c r="B63" s="10">
        <v>14.0</v>
      </c>
      <c r="C63" s="11" t="s">
        <v>96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6" t="s">
        <v>212</v>
      </c>
      <c r="EB63" s="33"/>
      <c r="EC63" s="33"/>
      <c r="ED63" s="33"/>
      <c r="EE63" s="33"/>
      <c r="EF63" s="33"/>
      <c r="EG63" s="33"/>
      <c r="EH63" s="33"/>
      <c r="EI63" s="33"/>
      <c r="EJ63" s="39">
        <v>3.0</v>
      </c>
      <c r="EK63" s="39"/>
      <c r="EL63" s="39"/>
      <c r="EM63" s="43">
        <v>10.0</v>
      </c>
      <c r="EN63" s="10">
        <f t="shared" si="1"/>
        <v>2</v>
      </c>
      <c r="EO63" s="10">
        <f t="shared" si="2"/>
        <v>13</v>
      </c>
      <c r="EP63" s="10">
        <f t="shared" si="3"/>
        <v>6.5</v>
      </c>
      <c r="EQ63" s="44">
        <f t="shared" si="4"/>
        <v>6.5</v>
      </c>
      <c r="ER63" s="10"/>
      <c r="ES63" s="49" t="s">
        <v>191</v>
      </c>
      <c r="ET63" s="50">
        <v>6.0</v>
      </c>
      <c r="EU63" s="47"/>
      <c r="EV63" s="47"/>
      <c r="EW63" s="47"/>
      <c r="EX63" s="47"/>
      <c r="EY63" s="47"/>
      <c r="EZ63" s="47"/>
      <c r="FA63" s="47"/>
      <c r="FB63" s="47"/>
      <c r="FC63" s="47"/>
    </row>
    <row r="64" ht="35.25" customHeight="1">
      <c r="A64" s="27" t="str">
        <f>image("http://sumo.or.jp/img/sumo_data/rikishi/60x60/20080097.jpg")</f>
        <v/>
      </c>
      <c r="B64" s="10">
        <v>14.0</v>
      </c>
      <c r="C64" s="11" t="s">
        <v>176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6" t="s">
        <v>212</v>
      </c>
      <c r="CV64" s="33"/>
      <c r="CW64" s="36">
        <v>6.0</v>
      </c>
      <c r="CX64" s="33"/>
      <c r="CY64" s="33"/>
      <c r="CZ64" s="33"/>
      <c r="DA64" s="33"/>
      <c r="DB64" s="36">
        <v>6.0</v>
      </c>
      <c r="DC64" s="33"/>
      <c r="DD64" s="36">
        <v>7.0</v>
      </c>
      <c r="DE64" s="33"/>
      <c r="DF64" s="33"/>
      <c r="DG64" s="33"/>
      <c r="DH64" s="36" t="s">
        <v>213</v>
      </c>
      <c r="DI64" s="33"/>
      <c r="DJ64" s="33"/>
      <c r="DK64" s="33"/>
      <c r="DL64" s="36" t="s">
        <v>212</v>
      </c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6">
        <v>6.0</v>
      </c>
      <c r="EJ64" s="36"/>
      <c r="EK64" s="36">
        <v>7.0</v>
      </c>
      <c r="EL64" s="36">
        <v>5.0</v>
      </c>
      <c r="EM64" s="43"/>
      <c r="EN64" s="10">
        <f t="shared" si="1"/>
        <v>6</v>
      </c>
      <c r="EO64" s="10">
        <f t="shared" si="2"/>
        <v>37</v>
      </c>
      <c r="EP64" s="10">
        <f t="shared" si="3"/>
        <v>6.166666667</v>
      </c>
      <c r="EQ64" s="44">
        <f t="shared" si="4"/>
        <v>6.17</v>
      </c>
      <c r="ER64" s="10"/>
      <c r="ES64" s="86" t="s">
        <v>183</v>
      </c>
      <c r="ET64" s="50">
        <v>5.17</v>
      </c>
      <c r="EX64" s="10"/>
      <c r="EY64" s="47"/>
      <c r="EZ64" s="10"/>
      <c r="FA64" s="47"/>
    </row>
    <row r="65" ht="35.25" customHeight="1">
      <c r="A65" s="47"/>
      <c r="B65" s="10">
        <v>15.0</v>
      </c>
      <c r="C65" s="10" t="s">
        <v>116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3">
        <v>8.0</v>
      </c>
      <c r="EN65" s="10">
        <f t="shared" si="1"/>
        <v>1</v>
      </c>
      <c r="EO65" s="10">
        <f t="shared" si="2"/>
        <v>8</v>
      </c>
      <c r="EP65" s="10">
        <f t="shared" si="3"/>
        <v>8</v>
      </c>
      <c r="EQ65" s="44">
        <f t="shared" si="4"/>
        <v>8</v>
      </c>
      <c r="ER65" s="47"/>
      <c r="ES65" s="49" t="s">
        <v>195</v>
      </c>
      <c r="ET65" s="50">
        <v>4.0</v>
      </c>
      <c r="EU65" s="47"/>
      <c r="EV65" s="47"/>
      <c r="EW65" s="47"/>
      <c r="EX65" s="47"/>
      <c r="EY65" s="47"/>
      <c r="EZ65" s="47"/>
      <c r="FA65" s="47"/>
      <c r="FB65" s="47"/>
      <c r="FC65" s="47"/>
    </row>
    <row r="66" ht="35.25" customHeight="1">
      <c r="A66" s="47" t="str">
        <f>image("http://sumo.or.jp/img/sumo_data/rikishi/60x60/20080002.jpg")</f>
        <v/>
      </c>
      <c r="B66" s="10">
        <v>16.0</v>
      </c>
      <c r="C66" s="11" t="s">
        <v>225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6">
        <v>4.0</v>
      </c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6"/>
      <c r="EB66" s="33"/>
      <c r="EC66" s="33"/>
      <c r="ED66" s="33"/>
      <c r="EE66" s="33"/>
      <c r="EF66" s="33"/>
      <c r="EG66" s="33"/>
      <c r="EH66" s="33"/>
      <c r="EI66" s="33"/>
      <c r="EJ66" s="39"/>
      <c r="EK66" s="39"/>
      <c r="EL66" s="39"/>
      <c r="EM66" s="89"/>
      <c r="EN66" s="10">
        <f t="shared" si="1"/>
        <v>1</v>
      </c>
      <c r="EO66" s="10">
        <f t="shared" si="2"/>
        <v>4</v>
      </c>
      <c r="EP66" s="10">
        <f t="shared" si="3"/>
        <v>4</v>
      </c>
      <c r="EQ66" s="44">
        <f t="shared" si="4"/>
        <v>4</v>
      </c>
      <c r="ER66" s="10"/>
      <c r="ES66" s="96" t="s">
        <v>225</v>
      </c>
      <c r="ET66" s="97">
        <v>4.0</v>
      </c>
      <c r="EX66" s="10"/>
      <c r="EY66" s="47"/>
      <c r="EZ66" s="10"/>
      <c r="FA66" s="47"/>
      <c r="FC66" s="98"/>
    </row>
    <row r="67" ht="35.25" customHeight="1">
      <c r="A67" s="99"/>
      <c r="B67" s="100"/>
      <c r="C67" s="101" t="s">
        <v>226</v>
      </c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102"/>
      <c r="BX67" s="102"/>
      <c r="BY67" s="102"/>
      <c r="BZ67" s="102"/>
      <c r="CA67" s="102"/>
      <c r="CB67" s="102"/>
      <c r="CC67" s="102"/>
      <c r="CD67" s="102"/>
      <c r="CE67" s="102"/>
      <c r="CF67" s="102"/>
      <c r="CG67" s="102"/>
      <c r="CH67" s="102"/>
      <c r="CI67" s="102"/>
      <c r="CJ67" s="102"/>
      <c r="CK67" s="102"/>
      <c r="CL67" s="102"/>
      <c r="CM67" s="102"/>
      <c r="CN67" s="102"/>
      <c r="CO67" s="102"/>
      <c r="CP67" s="102"/>
      <c r="CQ67" s="102"/>
      <c r="CR67" s="102"/>
      <c r="CS67" s="102"/>
      <c r="CT67" s="102"/>
      <c r="CU67" s="102"/>
      <c r="CV67" s="102"/>
      <c r="CW67" s="102"/>
      <c r="CX67" s="102"/>
      <c r="CY67" s="102"/>
      <c r="CZ67" s="102"/>
      <c r="DA67" s="102"/>
      <c r="DB67" s="102"/>
      <c r="DC67" s="102"/>
      <c r="DD67" s="102"/>
      <c r="DE67" s="102"/>
      <c r="DF67" s="102"/>
      <c r="DG67" s="102"/>
      <c r="DH67" s="102"/>
      <c r="DI67" s="102"/>
      <c r="DJ67" s="102"/>
      <c r="DK67" s="102"/>
      <c r="DL67" s="102"/>
      <c r="DM67" s="102"/>
      <c r="DN67" s="102"/>
      <c r="DO67" s="102"/>
      <c r="DP67" s="102"/>
      <c r="DQ67" s="102"/>
      <c r="DR67" s="102"/>
      <c r="DS67" s="102"/>
      <c r="DT67" s="102"/>
      <c r="DU67" s="102"/>
      <c r="DV67" s="102"/>
      <c r="DW67" s="102"/>
      <c r="DX67" s="102"/>
      <c r="DY67" s="102"/>
      <c r="DZ67" s="102"/>
      <c r="EA67" s="102"/>
      <c r="EB67" s="102"/>
      <c r="EC67" s="102"/>
      <c r="ED67" s="102"/>
      <c r="EE67" s="102"/>
      <c r="EF67" s="102"/>
      <c r="EG67" s="102"/>
      <c r="EH67" s="102"/>
      <c r="EI67" s="102"/>
      <c r="EJ67" s="102"/>
      <c r="EK67" s="102"/>
      <c r="EL67" s="102"/>
      <c r="EM67" s="102"/>
      <c r="EN67" s="103"/>
      <c r="EO67" s="100"/>
      <c r="EP67" s="100"/>
      <c r="EQ67" s="100"/>
      <c r="ER67" s="100"/>
      <c r="ES67" s="100"/>
      <c r="ET67" s="100"/>
      <c r="EU67" s="100"/>
      <c r="EV67" s="100"/>
      <c r="EW67" s="100"/>
      <c r="EX67" s="100"/>
      <c r="EY67" s="100"/>
      <c r="EZ67" s="100"/>
      <c r="FA67" s="100"/>
    </row>
    <row r="68">
      <c r="V68" s="32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104"/>
      <c r="EO68" s="47"/>
      <c r="EP68" s="47"/>
      <c r="EQ68" s="47"/>
      <c r="ES68" s="10"/>
      <c r="ET68" s="47"/>
    </row>
    <row r="70">
      <c r="V70" s="32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104"/>
      <c r="EO70" s="47"/>
      <c r="EP70" s="47"/>
      <c r="EQ70" s="47"/>
      <c r="ES70" s="10"/>
      <c r="ET70" s="105"/>
    </row>
    <row r="71">
      <c r="V71" s="32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104"/>
      <c r="EO71" s="47"/>
      <c r="EP71" s="47"/>
      <c r="EQ71" s="47"/>
      <c r="ES71" s="10"/>
      <c r="ET71" s="47"/>
    </row>
    <row r="72">
      <c r="V72" s="32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104"/>
      <c r="EO72" s="47"/>
      <c r="EP72" s="47"/>
      <c r="EQ72" s="47"/>
      <c r="ES72" s="10"/>
      <c r="ET72" s="47"/>
    </row>
    <row r="73">
      <c r="V73" s="32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104"/>
      <c r="EO73" s="47"/>
      <c r="EP73" s="47"/>
      <c r="EQ73" s="47"/>
    </row>
    <row r="74" ht="35.25" customHeight="1">
      <c r="A74" s="106" t="s">
        <v>227</v>
      </c>
      <c r="B74" s="106" t="s">
        <v>227</v>
      </c>
      <c r="C74" s="107" t="s">
        <v>228</v>
      </c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08"/>
      <c r="BQ74" s="108"/>
      <c r="BR74" s="108"/>
      <c r="BS74" s="108"/>
      <c r="BT74" s="108"/>
      <c r="BU74" s="108"/>
      <c r="BV74" s="108"/>
      <c r="BW74" s="108"/>
      <c r="BX74" s="108"/>
      <c r="BY74" s="108"/>
      <c r="BZ74" s="108"/>
      <c r="CA74" s="108"/>
      <c r="CB74" s="108"/>
      <c r="CC74" s="108"/>
      <c r="CD74" s="108"/>
      <c r="CE74" s="108"/>
      <c r="CF74" s="108"/>
      <c r="CG74" s="108"/>
      <c r="CH74" s="108"/>
      <c r="CI74" s="108"/>
      <c r="CJ74" s="108"/>
      <c r="CK74" s="108"/>
      <c r="CL74" s="108"/>
      <c r="CM74" s="108"/>
      <c r="CN74" s="108"/>
      <c r="CO74" s="108"/>
      <c r="CP74" s="108"/>
      <c r="CQ74" s="108"/>
      <c r="CR74" s="108"/>
      <c r="CS74" s="108"/>
      <c r="CT74" s="108"/>
      <c r="CU74" s="108"/>
      <c r="CV74" s="108"/>
      <c r="CW74" s="108"/>
      <c r="CX74" s="108"/>
      <c r="CY74" s="108"/>
      <c r="CZ74" s="108"/>
      <c r="DA74" s="108"/>
      <c r="DB74" s="108"/>
      <c r="DC74" s="108"/>
      <c r="DD74" s="108"/>
      <c r="DE74" s="108"/>
      <c r="DF74" s="108"/>
      <c r="DG74" s="108"/>
      <c r="DH74" s="108"/>
      <c r="DI74" s="108"/>
      <c r="DJ74" s="108"/>
      <c r="DK74" s="108"/>
      <c r="DL74" s="108"/>
      <c r="DM74" s="108"/>
      <c r="DN74" s="108"/>
      <c r="DO74" s="108"/>
      <c r="DP74" s="108"/>
      <c r="DQ74" s="108"/>
      <c r="DR74" s="108"/>
      <c r="DS74" s="108"/>
      <c r="DT74" s="108"/>
      <c r="DU74" s="108"/>
      <c r="DV74" s="108"/>
      <c r="DW74" s="108"/>
      <c r="DX74" s="108"/>
      <c r="DY74" s="108"/>
      <c r="DZ74" s="108"/>
      <c r="EA74" s="108"/>
      <c r="EB74" s="108"/>
      <c r="EC74" s="108"/>
      <c r="ED74" s="108"/>
      <c r="EE74" s="108"/>
      <c r="EF74" s="108"/>
      <c r="EG74" s="108"/>
      <c r="EH74" s="108"/>
      <c r="EI74" s="108"/>
      <c r="EJ74" s="108"/>
      <c r="EK74" s="108"/>
      <c r="EL74" s="108"/>
      <c r="EM74" s="108"/>
      <c r="EN74" s="109"/>
      <c r="EO74" s="110"/>
      <c r="EP74" s="110"/>
      <c r="EQ74" s="111" t="s">
        <v>229</v>
      </c>
      <c r="ER74" s="112" t="s">
        <v>230</v>
      </c>
      <c r="ES74" s="113"/>
      <c r="ET74" s="113"/>
      <c r="EU74" s="113"/>
      <c r="EV74" s="113"/>
      <c r="EW74" s="113"/>
      <c r="EX74" s="113"/>
      <c r="EY74" s="113"/>
      <c r="EZ74" s="113"/>
      <c r="FA74" s="113"/>
      <c r="FB74" s="113"/>
      <c r="FC74" s="113"/>
    </row>
    <row r="75" ht="35.25" customHeight="1">
      <c r="A75" s="114"/>
      <c r="B75" s="115" t="s">
        <v>14</v>
      </c>
      <c r="C75" s="116" t="s">
        <v>231</v>
      </c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5">
        <v>9.0</v>
      </c>
      <c r="AC75" s="115">
        <v>12.0</v>
      </c>
      <c r="AD75" s="117">
        <v>24.0</v>
      </c>
      <c r="AE75" s="115">
        <v>9.0</v>
      </c>
      <c r="AF75" s="118">
        <v>33.0</v>
      </c>
      <c r="AG75" s="118">
        <v>17.0</v>
      </c>
      <c r="AH75" s="115">
        <v>9.0</v>
      </c>
      <c r="AI75" s="117">
        <v>21.0</v>
      </c>
      <c r="AJ75" s="118">
        <v>19.0</v>
      </c>
      <c r="AK75" s="117">
        <v>19.0</v>
      </c>
      <c r="AL75" s="115">
        <v>10.0</v>
      </c>
      <c r="AM75" s="119">
        <v>19.0</v>
      </c>
      <c r="AN75" s="119">
        <v>19.0</v>
      </c>
      <c r="AO75" s="115">
        <v>10.0</v>
      </c>
      <c r="AP75" s="119">
        <v>18.0</v>
      </c>
      <c r="AQ75" s="115">
        <v>5.0</v>
      </c>
      <c r="AR75" s="119">
        <v>18.0</v>
      </c>
      <c r="AS75" s="115">
        <v>12.0</v>
      </c>
      <c r="AT75" s="119">
        <v>20.0</v>
      </c>
      <c r="AU75" s="119">
        <v>20.0</v>
      </c>
      <c r="AV75" s="119">
        <v>18.0</v>
      </c>
      <c r="AW75" s="119">
        <v>18.0</v>
      </c>
      <c r="AX75" s="115">
        <v>9.0</v>
      </c>
      <c r="AY75" s="119">
        <v>18.0</v>
      </c>
      <c r="AZ75" s="119">
        <v>20.0</v>
      </c>
      <c r="BA75" s="119">
        <v>19.0</v>
      </c>
      <c r="BB75" s="119">
        <v>20.0</v>
      </c>
      <c r="BC75" s="119">
        <v>18.0</v>
      </c>
      <c r="BD75" s="119">
        <v>18.0</v>
      </c>
      <c r="BE75" s="119">
        <v>19.0</v>
      </c>
      <c r="BF75" s="115">
        <v>11.0</v>
      </c>
      <c r="BG75" s="119">
        <v>18.0</v>
      </c>
      <c r="BH75" s="115">
        <v>1.0</v>
      </c>
      <c r="BI75" s="119">
        <v>19.0</v>
      </c>
      <c r="BJ75" s="119">
        <v>18.0</v>
      </c>
      <c r="BK75" s="119">
        <v>20.0</v>
      </c>
      <c r="BL75" s="119">
        <v>19.0</v>
      </c>
      <c r="BM75" s="115">
        <v>13.0</v>
      </c>
      <c r="BN75" s="115">
        <v>10.0</v>
      </c>
      <c r="BO75" s="119">
        <v>19.0</v>
      </c>
      <c r="BP75" s="114"/>
      <c r="BQ75" s="114"/>
      <c r="BR75" s="115">
        <v>13.0</v>
      </c>
      <c r="BS75" s="119">
        <v>18.0</v>
      </c>
      <c r="BT75" s="115">
        <v>11.0</v>
      </c>
      <c r="BU75" s="115">
        <v>3.0</v>
      </c>
      <c r="BV75" s="115">
        <v>5.0</v>
      </c>
      <c r="BW75" s="114"/>
      <c r="BX75" s="119">
        <v>19.0</v>
      </c>
      <c r="BY75" s="115">
        <v>11.0</v>
      </c>
      <c r="BZ75" s="115">
        <v>12.0</v>
      </c>
      <c r="CA75" s="115">
        <v>10.0</v>
      </c>
      <c r="CB75" s="119">
        <v>19.0</v>
      </c>
      <c r="CC75" s="115">
        <v>11.0</v>
      </c>
      <c r="CD75" s="119">
        <v>18.0</v>
      </c>
      <c r="CE75" s="114"/>
      <c r="CF75" s="114"/>
      <c r="CG75" s="114"/>
      <c r="CH75" s="114"/>
      <c r="CI75" s="114"/>
      <c r="CJ75" s="114"/>
      <c r="CK75" s="114"/>
      <c r="CL75" s="114"/>
      <c r="CM75" s="114"/>
      <c r="CN75" s="114"/>
      <c r="CO75" s="114"/>
      <c r="CP75" s="114"/>
      <c r="CQ75" s="114"/>
      <c r="CR75" s="114"/>
      <c r="CS75" s="114"/>
      <c r="CT75" s="114"/>
      <c r="CU75" s="114"/>
      <c r="CV75" s="114"/>
      <c r="CW75" s="114"/>
      <c r="CX75" s="114"/>
      <c r="CY75" s="114"/>
      <c r="CZ75" s="114"/>
      <c r="DA75" s="114"/>
      <c r="DB75" s="114"/>
      <c r="DC75" s="114"/>
      <c r="DD75" s="114"/>
      <c r="DE75" s="114"/>
      <c r="DF75" s="114"/>
      <c r="DG75" s="114"/>
      <c r="DH75" s="114"/>
      <c r="DI75" s="114"/>
      <c r="DJ75" s="114"/>
      <c r="DK75" s="114"/>
      <c r="DL75" s="114"/>
      <c r="DM75" s="114"/>
      <c r="DN75" s="114"/>
      <c r="DO75" s="114"/>
      <c r="DP75" s="114"/>
      <c r="DQ75" s="114"/>
      <c r="DR75" s="114"/>
      <c r="DS75" s="114"/>
      <c r="DT75" s="114"/>
      <c r="DU75" s="114"/>
      <c r="DV75" s="114"/>
      <c r="DW75" s="114"/>
      <c r="DX75" s="114"/>
      <c r="DY75" s="114"/>
      <c r="DZ75" s="114"/>
      <c r="EA75" s="114"/>
      <c r="EB75" s="114"/>
      <c r="EC75" s="114"/>
      <c r="ED75" s="114"/>
      <c r="EE75" s="114"/>
      <c r="EF75" s="114"/>
      <c r="EG75" s="114"/>
      <c r="EH75" s="114"/>
      <c r="EI75" s="114"/>
      <c r="EJ75" s="114"/>
      <c r="EK75" s="114"/>
      <c r="EL75" s="114"/>
      <c r="EM75" s="114"/>
      <c r="EN75" s="120">
        <f t="shared" ref="EN75:EN80" si="5">count(D75:EK75)</f>
        <v>52</v>
      </c>
      <c r="EO75" s="115">
        <f t="shared" ref="EO75:EO80" si="6">SUM(D75:EK75)</f>
        <v>798</v>
      </c>
      <c r="EP75" s="115">
        <f t="shared" ref="EP75:EP129" si="7">EO75/EN75</f>
        <v>15.34615385</v>
      </c>
      <c r="EQ75" s="121">
        <f t="shared" ref="EQ75:EQ129" si="8">ROUND(EP75,2)</f>
        <v>15.35</v>
      </c>
      <c r="ER75" s="115"/>
      <c r="ES75" s="10"/>
      <c r="ET75" s="47"/>
      <c r="EX75" s="10"/>
      <c r="EY75" s="47"/>
      <c r="EZ75" s="10"/>
      <c r="FA75" s="48"/>
    </row>
    <row r="76" ht="35.25" customHeight="1">
      <c r="A76" s="114"/>
      <c r="B76" s="122" t="s">
        <v>22</v>
      </c>
      <c r="C76" s="123" t="s">
        <v>232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14"/>
      <c r="X76" s="114"/>
      <c r="Y76" s="114"/>
      <c r="Z76" s="114"/>
      <c r="AA76" s="125">
        <v>41.0</v>
      </c>
      <c r="AB76" s="115">
        <v>5.0</v>
      </c>
      <c r="AC76" s="126">
        <v>28.0</v>
      </c>
      <c r="AD76" s="126">
        <v>23.0</v>
      </c>
      <c r="AE76" s="115">
        <v>7.0</v>
      </c>
      <c r="AF76" s="119">
        <v>44.0</v>
      </c>
      <c r="AG76" s="115">
        <v>11.0</v>
      </c>
      <c r="AH76" s="126">
        <v>20.0</v>
      </c>
      <c r="AI76" s="115">
        <v>9.0</v>
      </c>
      <c r="AJ76" s="114"/>
      <c r="AK76" s="115">
        <v>9.0</v>
      </c>
      <c r="AL76" s="118">
        <v>25.0</v>
      </c>
      <c r="AM76" s="115">
        <v>10.0</v>
      </c>
      <c r="AN76" s="115">
        <v>10.0</v>
      </c>
      <c r="AO76" s="115">
        <v>7.0</v>
      </c>
      <c r="AP76" s="115">
        <v>0.0</v>
      </c>
      <c r="AQ76" s="115">
        <v>9.0</v>
      </c>
      <c r="AR76" s="115">
        <v>14.0</v>
      </c>
      <c r="AS76" s="115">
        <v>15.0</v>
      </c>
      <c r="AT76" s="118">
        <v>25.0</v>
      </c>
      <c r="AU76" s="115">
        <v>8.0</v>
      </c>
      <c r="AV76" s="115">
        <v>10.0</v>
      </c>
      <c r="AW76" s="115">
        <v>10.0</v>
      </c>
      <c r="AX76" s="115">
        <v>11.0</v>
      </c>
      <c r="AY76" s="115">
        <v>16.0</v>
      </c>
      <c r="AZ76" s="115">
        <v>9.0</v>
      </c>
      <c r="BA76" s="115">
        <v>20.0</v>
      </c>
      <c r="BB76" s="126">
        <v>22.0</v>
      </c>
      <c r="BC76" s="115">
        <v>9.0</v>
      </c>
      <c r="BD76" s="115">
        <v>11.0</v>
      </c>
      <c r="BE76" s="115">
        <v>8.0</v>
      </c>
      <c r="BF76" s="115">
        <v>8.0</v>
      </c>
      <c r="BG76" s="115">
        <v>9.0</v>
      </c>
      <c r="BH76" s="115">
        <v>10.0</v>
      </c>
      <c r="BI76" s="115">
        <v>10.0</v>
      </c>
      <c r="BJ76" s="115">
        <v>12.0</v>
      </c>
      <c r="BK76" s="115">
        <v>10.0</v>
      </c>
      <c r="BL76" s="115">
        <v>10.0</v>
      </c>
      <c r="BM76" s="115">
        <v>12.0</v>
      </c>
      <c r="BN76" s="115">
        <v>14.0</v>
      </c>
      <c r="BO76" s="127">
        <v>27.0</v>
      </c>
      <c r="BP76" s="115">
        <v>10.0</v>
      </c>
      <c r="BQ76" s="115">
        <v>11.0</v>
      </c>
      <c r="BR76" s="115">
        <v>8.0</v>
      </c>
      <c r="BS76" s="115">
        <v>9.0</v>
      </c>
      <c r="BT76" s="115">
        <v>9.0</v>
      </c>
      <c r="BU76" s="115">
        <v>11.0</v>
      </c>
      <c r="BV76" s="115">
        <v>11.0</v>
      </c>
      <c r="BW76" s="115">
        <v>9.0</v>
      </c>
      <c r="BX76" s="115">
        <v>2.0</v>
      </c>
      <c r="BY76" s="115">
        <v>9.0</v>
      </c>
      <c r="BZ76" s="115">
        <v>8.0</v>
      </c>
      <c r="CA76" s="115">
        <v>13.0</v>
      </c>
      <c r="CB76" s="115">
        <v>9.0</v>
      </c>
      <c r="CC76" s="115">
        <v>9.0</v>
      </c>
      <c r="CD76" s="115">
        <v>1.0</v>
      </c>
      <c r="CE76" s="115">
        <v>9.0</v>
      </c>
      <c r="CF76" s="115">
        <v>9.0</v>
      </c>
      <c r="CG76" s="114"/>
      <c r="CH76" s="114"/>
      <c r="CI76" s="114"/>
      <c r="CJ76" s="114"/>
      <c r="CK76" s="114"/>
      <c r="CL76" s="114"/>
      <c r="CM76" s="114"/>
      <c r="CN76" s="114"/>
      <c r="CO76" s="114"/>
      <c r="CP76" s="114"/>
      <c r="CQ76" s="114"/>
      <c r="CR76" s="114"/>
      <c r="CS76" s="114"/>
      <c r="CT76" s="114"/>
      <c r="CU76" s="114"/>
      <c r="CV76" s="114"/>
      <c r="CW76" s="114"/>
      <c r="CX76" s="114"/>
      <c r="CY76" s="114"/>
      <c r="CZ76" s="114"/>
      <c r="DA76" s="114"/>
      <c r="DB76" s="114"/>
      <c r="DC76" s="114"/>
      <c r="DD76" s="114"/>
      <c r="DE76" s="114"/>
      <c r="DF76" s="114"/>
      <c r="DG76" s="114"/>
      <c r="DH76" s="114"/>
      <c r="DI76" s="114"/>
      <c r="DJ76" s="114"/>
      <c r="DK76" s="114"/>
      <c r="DL76" s="114"/>
      <c r="DM76" s="114"/>
      <c r="DN76" s="114"/>
      <c r="DO76" s="114"/>
      <c r="DP76" s="114"/>
      <c r="DQ76" s="114"/>
      <c r="DR76" s="114"/>
      <c r="DS76" s="114"/>
      <c r="DT76" s="114"/>
      <c r="DU76" s="114"/>
      <c r="DV76" s="114"/>
      <c r="DW76" s="114"/>
      <c r="DX76" s="114"/>
      <c r="DY76" s="114"/>
      <c r="DZ76" s="114"/>
      <c r="EA76" s="114"/>
      <c r="EB76" s="114"/>
      <c r="EC76" s="114"/>
      <c r="ED76" s="114"/>
      <c r="EE76" s="114"/>
      <c r="EF76" s="114"/>
      <c r="EG76" s="114"/>
      <c r="EH76" s="114"/>
      <c r="EI76" s="114"/>
      <c r="EJ76" s="114"/>
      <c r="EK76" s="114"/>
      <c r="EL76" s="114"/>
      <c r="EM76" s="114"/>
      <c r="EN76" s="120">
        <f t="shared" si="5"/>
        <v>57</v>
      </c>
      <c r="EO76" s="115">
        <f t="shared" si="6"/>
        <v>715</v>
      </c>
      <c r="EP76" s="115">
        <f t="shared" si="7"/>
        <v>12.54385965</v>
      </c>
      <c r="EQ76" s="121">
        <f t="shared" si="8"/>
        <v>12.54</v>
      </c>
      <c r="ER76" s="115"/>
      <c r="ES76" s="10"/>
      <c r="ET76" s="47"/>
      <c r="EX76" s="10"/>
      <c r="EY76" s="47"/>
      <c r="EZ76" s="10"/>
      <c r="FA76" s="48"/>
    </row>
    <row r="77" ht="35.25" customHeight="1">
      <c r="A77" s="115" t="str">
        <f>image("http://sumo.or.jp/img/sumo_data/rikishi/60x60/20020024.jpg")</f>
        <v/>
      </c>
      <c r="B77" s="128" t="s">
        <v>14</v>
      </c>
      <c r="C77" s="116" t="s">
        <v>233</v>
      </c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>
        <v>9.0</v>
      </c>
      <c r="AZ77" s="115">
        <v>6.0</v>
      </c>
      <c r="BA77" s="115">
        <v>8.0</v>
      </c>
      <c r="BB77" s="115">
        <v>5.0</v>
      </c>
      <c r="BC77" s="115">
        <v>7.0</v>
      </c>
      <c r="BD77" s="118">
        <v>19.0</v>
      </c>
      <c r="BE77" s="115">
        <v>9.0</v>
      </c>
      <c r="BF77" s="115">
        <v>8.0</v>
      </c>
      <c r="BG77" s="115">
        <v>10.0</v>
      </c>
      <c r="BH77" s="115">
        <v>15.0</v>
      </c>
      <c r="BI77" s="115">
        <v>12.0</v>
      </c>
      <c r="BJ77" s="117">
        <v>19.0</v>
      </c>
      <c r="BK77" s="115">
        <v>11.0</v>
      </c>
      <c r="BL77" s="115">
        <v>10.0</v>
      </c>
      <c r="BM77" s="115">
        <v>10.0</v>
      </c>
      <c r="BN77" s="115">
        <v>7.0</v>
      </c>
      <c r="BO77" s="115">
        <v>13.0</v>
      </c>
      <c r="BP77" s="115">
        <v>8.0</v>
      </c>
      <c r="BQ77" s="115">
        <v>19.0</v>
      </c>
      <c r="BR77" s="117">
        <v>30.0</v>
      </c>
      <c r="BS77" s="115">
        <v>14.0</v>
      </c>
      <c r="BT77" s="118">
        <v>24.0</v>
      </c>
      <c r="BU77" s="115">
        <v>9.0</v>
      </c>
      <c r="BV77" s="115">
        <v>11.0</v>
      </c>
      <c r="BW77" s="115">
        <v>24.0</v>
      </c>
      <c r="BX77" s="115">
        <v>14.0</v>
      </c>
      <c r="BY77" s="115">
        <v>7.0</v>
      </c>
      <c r="BZ77" s="118">
        <v>22.0</v>
      </c>
      <c r="CA77" s="115">
        <v>14.0</v>
      </c>
      <c r="CB77" s="115">
        <v>9.0</v>
      </c>
      <c r="CC77" s="115">
        <v>10.0</v>
      </c>
      <c r="CD77" s="115">
        <v>15.0</v>
      </c>
      <c r="CE77" s="115">
        <v>14.0</v>
      </c>
      <c r="CF77" s="115">
        <v>9.0</v>
      </c>
      <c r="CG77" s="115">
        <v>7.0</v>
      </c>
      <c r="CH77" s="115">
        <v>9.0</v>
      </c>
      <c r="CI77" s="117">
        <v>31.0</v>
      </c>
      <c r="CJ77" s="117">
        <v>18.0</v>
      </c>
      <c r="CK77" s="115">
        <v>9.0</v>
      </c>
      <c r="CL77" s="115">
        <v>13.0</v>
      </c>
      <c r="CM77" s="117">
        <v>19.0</v>
      </c>
      <c r="CN77" s="126">
        <v>16.0</v>
      </c>
      <c r="CO77" s="115">
        <v>11.0</v>
      </c>
      <c r="CP77" s="115">
        <v>10.0</v>
      </c>
      <c r="CQ77" s="115">
        <v>11.0</v>
      </c>
      <c r="CR77" s="115">
        <v>10.0</v>
      </c>
      <c r="CS77" s="115">
        <v>10.0</v>
      </c>
      <c r="CT77" s="115">
        <v>11.0</v>
      </c>
      <c r="CU77" s="115">
        <v>10.0</v>
      </c>
      <c r="CV77" s="115">
        <v>11.0</v>
      </c>
      <c r="CW77" s="115">
        <v>14.0</v>
      </c>
      <c r="CX77" s="115">
        <v>13.0</v>
      </c>
      <c r="CY77" s="115">
        <v>12.0</v>
      </c>
      <c r="CZ77" s="115">
        <v>15.0</v>
      </c>
      <c r="DA77" s="115">
        <v>7.0</v>
      </c>
      <c r="DB77" s="115">
        <v>9.0</v>
      </c>
      <c r="DC77" s="115">
        <v>15.0</v>
      </c>
      <c r="DD77" s="115">
        <v>10.0</v>
      </c>
      <c r="DE77" s="115">
        <v>9.0</v>
      </c>
      <c r="DF77" s="115">
        <v>12.0</v>
      </c>
      <c r="DG77" s="115">
        <v>12.0</v>
      </c>
      <c r="DH77" s="115">
        <v>9.0</v>
      </c>
      <c r="DI77" s="115">
        <v>12.0</v>
      </c>
      <c r="DJ77" s="115">
        <v>11.0</v>
      </c>
      <c r="DK77" s="115">
        <v>11.0</v>
      </c>
      <c r="DL77" s="115">
        <v>11.0</v>
      </c>
      <c r="DM77" s="115">
        <v>11.0</v>
      </c>
      <c r="DN77" s="115">
        <v>14.0</v>
      </c>
      <c r="DO77" s="115">
        <v>14.0</v>
      </c>
      <c r="DP77" s="115">
        <v>13.0</v>
      </c>
      <c r="DQ77" s="115">
        <v>10.0</v>
      </c>
      <c r="DR77" s="115">
        <v>15.0</v>
      </c>
      <c r="DS77" s="119">
        <v>20.0</v>
      </c>
      <c r="DT77" s="119">
        <v>18.0</v>
      </c>
      <c r="DU77" s="115">
        <v>6.0</v>
      </c>
      <c r="DV77" s="115">
        <v>2.0</v>
      </c>
      <c r="DW77" s="114"/>
      <c r="DX77" s="115">
        <v>4.0</v>
      </c>
      <c r="DY77" s="115">
        <v>1.0</v>
      </c>
      <c r="DZ77" s="114"/>
      <c r="EA77" s="114"/>
      <c r="EB77" s="114"/>
      <c r="EC77" s="129">
        <v>10.0</v>
      </c>
      <c r="ED77" s="115">
        <v>0.0</v>
      </c>
      <c r="EE77" s="115">
        <v>0.0</v>
      </c>
      <c r="EF77" s="129"/>
      <c r="EG77" s="129"/>
      <c r="EH77" s="129"/>
      <c r="EI77" s="129"/>
      <c r="EJ77" s="129"/>
      <c r="EK77" s="129"/>
      <c r="EL77" s="129"/>
      <c r="EM77" s="129"/>
      <c r="EN77" s="120">
        <f t="shared" si="5"/>
        <v>81</v>
      </c>
      <c r="EO77" s="115">
        <f t="shared" si="6"/>
        <v>957</v>
      </c>
      <c r="EP77" s="115">
        <f t="shared" si="7"/>
        <v>11.81481481</v>
      </c>
      <c r="EQ77" s="121">
        <f t="shared" si="8"/>
        <v>11.81</v>
      </c>
      <c r="ER77" s="115"/>
      <c r="ES77" s="10"/>
      <c r="ET77" s="47"/>
      <c r="EX77" s="10"/>
      <c r="EY77" s="10"/>
      <c r="EZ77" s="10"/>
      <c r="FA77" s="48"/>
    </row>
    <row r="78" ht="35.25" customHeight="1">
      <c r="A78" s="115"/>
      <c r="B78" s="115" t="s">
        <v>14</v>
      </c>
      <c r="C78" s="116" t="s">
        <v>234</v>
      </c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 t="s">
        <v>212</v>
      </c>
      <c r="AV78" s="115"/>
      <c r="AW78" s="115"/>
      <c r="AX78" s="115"/>
      <c r="AY78" s="115">
        <v>8.0</v>
      </c>
      <c r="AZ78" s="115">
        <v>8.0</v>
      </c>
      <c r="BA78" s="126">
        <v>14.0</v>
      </c>
      <c r="BB78" s="115">
        <v>8.0</v>
      </c>
      <c r="BC78" s="115">
        <v>6.0</v>
      </c>
      <c r="BD78" s="115">
        <v>9.0</v>
      </c>
      <c r="BE78" s="115">
        <v>8.0</v>
      </c>
      <c r="BF78" s="115">
        <v>15.0</v>
      </c>
      <c r="BG78" s="126">
        <v>22.0</v>
      </c>
      <c r="BH78" s="115">
        <v>6.0</v>
      </c>
      <c r="BI78" s="115">
        <v>6.0</v>
      </c>
      <c r="BJ78" s="118">
        <v>17.0</v>
      </c>
      <c r="BK78" s="115">
        <v>10.0</v>
      </c>
      <c r="BL78" s="115">
        <v>17.0</v>
      </c>
      <c r="BM78" s="115">
        <v>12.0</v>
      </c>
      <c r="BN78" s="115">
        <v>10.0</v>
      </c>
      <c r="BO78" s="115">
        <v>8.0</v>
      </c>
      <c r="BP78" s="117">
        <v>23.0</v>
      </c>
      <c r="BQ78" s="117">
        <v>24.0</v>
      </c>
      <c r="BR78" s="117">
        <v>19.0</v>
      </c>
      <c r="BS78" s="115">
        <v>9.0</v>
      </c>
      <c r="BT78" s="126">
        <v>18.0</v>
      </c>
      <c r="BU78" s="126">
        <v>18.0</v>
      </c>
      <c r="BV78" s="117">
        <v>23.0</v>
      </c>
      <c r="BW78" s="126">
        <v>23.0</v>
      </c>
      <c r="BX78" s="115">
        <v>9.0</v>
      </c>
      <c r="BY78" s="115">
        <v>11.0</v>
      </c>
      <c r="BZ78" s="119">
        <v>21.0</v>
      </c>
      <c r="CA78" s="115">
        <v>9.0</v>
      </c>
      <c r="CB78" s="115">
        <v>9.0</v>
      </c>
      <c r="CC78" s="115">
        <v>10.0</v>
      </c>
      <c r="CD78" s="115">
        <v>11.0</v>
      </c>
      <c r="CE78" s="115">
        <v>10.0</v>
      </c>
      <c r="CF78" s="115">
        <v>9.0</v>
      </c>
      <c r="CG78" s="115">
        <v>10.0</v>
      </c>
      <c r="CH78" s="115">
        <v>8.0</v>
      </c>
      <c r="CI78" s="115">
        <v>0.0</v>
      </c>
      <c r="CJ78" s="115">
        <v>8.0</v>
      </c>
      <c r="CK78" s="115">
        <v>11.0</v>
      </c>
      <c r="CL78" s="119">
        <v>20.0</v>
      </c>
      <c r="CM78" s="115">
        <v>8.0</v>
      </c>
      <c r="CN78" s="115">
        <v>8.0</v>
      </c>
      <c r="CO78" s="115">
        <v>12.0</v>
      </c>
      <c r="CP78" s="115">
        <v>11.0</v>
      </c>
      <c r="CQ78" s="115">
        <v>9.0</v>
      </c>
      <c r="CR78" s="119">
        <v>21.0</v>
      </c>
      <c r="CS78" s="119">
        <v>21.0</v>
      </c>
      <c r="CT78" s="115">
        <v>9.0</v>
      </c>
      <c r="CU78" s="119">
        <v>20.0</v>
      </c>
      <c r="CV78" s="115">
        <v>9.0</v>
      </c>
      <c r="CW78" s="115">
        <v>11.0</v>
      </c>
      <c r="CX78" s="115">
        <v>10.0</v>
      </c>
      <c r="CY78" s="115">
        <v>10.0</v>
      </c>
      <c r="CZ78" s="119">
        <v>19.0</v>
      </c>
      <c r="DA78" s="115"/>
      <c r="DB78" s="115">
        <v>12.0</v>
      </c>
      <c r="DC78" s="115">
        <v>11.0</v>
      </c>
      <c r="DD78" s="115">
        <v>10.0</v>
      </c>
      <c r="DE78" s="115">
        <v>3.0</v>
      </c>
      <c r="DF78" s="115">
        <v>11.0</v>
      </c>
      <c r="DG78" s="115">
        <v>11.0</v>
      </c>
      <c r="DH78" s="115">
        <v>10.0</v>
      </c>
      <c r="DI78" s="115">
        <v>11.0</v>
      </c>
      <c r="DJ78" s="115">
        <v>1.0</v>
      </c>
      <c r="DK78" s="115"/>
      <c r="DL78" s="119">
        <v>18.0</v>
      </c>
      <c r="DM78" s="115">
        <v>12.0</v>
      </c>
      <c r="DN78" s="115">
        <v>9.0</v>
      </c>
      <c r="DO78" s="115">
        <v>10.0</v>
      </c>
      <c r="DP78" s="119">
        <v>18.0</v>
      </c>
      <c r="DQ78" s="115">
        <v>12.0</v>
      </c>
      <c r="DR78" s="115">
        <v>11.0</v>
      </c>
      <c r="DS78" s="115">
        <v>4.0</v>
      </c>
      <c r="DT78" s="115">
        <v>10.0</v>
      </c>
      <c r="DU78" s="115">
        <v>11.0</v>
      </c>
      <c r="DV78" s="115">
        <v>11.0</v>
      </c>
      <c r="DW78" s="119">
        <v>16.0</v>
      </c>
      <c r="DX78" s="115">
        <v>0.0</v>
      </c>
      <c r="DY78" s="115"/>
      <c r="DZ78" s="114"/>
      <c r="EA78" s="114"/>
      <c r="EB78" s="114"/>
      <c r="EC78" s="129"/>
      <c r="ED78" s="129"/>
      <c r="EE78" s="115"/>
      <c r="EF78" s="129"/>
      <c r="EG78" s="129"/>
      <c r="EH78" s="129"/>
      <c r="EI78" s="129"/>
      <c r="EJ78" s="129"/>
      <c r="EK78" s="129"/>
      <c r="EL78" s="129"/>
      <c r="EM78" s="129"/>
      <c r="EN78" s="120">
        <f t="shared" si="5"/>
        <v>76</v>
      </c>
      <c r="EO78" s="115">
        <f t="shared" si="6"/>
        <v>897</v>
      </c>
      <c r="EP78" s="115">
        <f t="shared" si="7"/>
        <v>11.80263158</v>
      </c>
      <c r="EQ78" s="121">
        <f t="shared" si="8"/>
        <v>11.8</v>
      </c>
      <c r="ER78" s="115"/>
      <c r="ES78" s="15"/>
      <c r="ET78" s="47"/>
      <c r="EX78" s="10"/>
      <c r="EY78" s="47"/>
      <c r="EZ78" s="10"/>
      <c r="FA78" s="47"/>
    </row>
    <row r="79" ht="35.25" customHeight="1">
      <c r="A79" s="114"/>
      <c r="B79" s="115" t="s">
        <v>22</v>
      </c>
      <c r="C79" s="116" t="s">
        <v>235</v>
      </c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5" t="s">
        <v>212</v>
      </c>
      <c r="BE79" s="114"/>
      <c r="BF79" s="115" t="s">
        <v>213</v>
      </c>
      <c r="BG79" s="115" t="s">
        <v>212</v>
      </c>
      <c r="BH79" s="118">
        <v>16.0</v>
      </c>
      <c r="BI79" s="115">
        <v>16.0</v>
      </c>
      <c r="BJ79" s="115">
        <v>7.0</v>
      </c>
      <c r="BK79" s="115">
        <v>10.0</v>
      </c>
      <c r="BL79" s="115">
        <v>4.0</v>
      </c>
      <c r="BM79" s="114"/>
      <c r="BN79" s="114"/>
      <c r="BO79" s="115">
        <v>0.0</v>
      </c>
      <c r="BP79" s="114"/>
      <c r="BQ79" s="118">
        <v>16.0</v>
      </c>
      <c r="BR79" s="115">
        <v>7.0</v>
      </c>
      <c r="BS79" s="118">
        <v>20.0</v>
      </c>
      <c r="BT79" s="115">
        <v>7.0</v>
      </c>
      <c r="BU79" s="115">
        <v>12.0</v>
      </c>
      <c r="BV79" s="115">
        <v>11.0</v>
      </c>
      <c r="BW79" s="115">
        <v>11.0</v>
      </c>
      <c r="BX79" s="115">
        <v>13.0</v>
      </c>
      <c r="BY79" s="115">
        <v>10.0</v>
      </c>
      <c r="BZ79" s="115">
        <v>4.0</v>
      </c>
      <c r="CA79" s="115">
        <v>14.0</v>
      </c>
      <c r="CB79" s="118">
        <v>29.0</v>
      </c>
      <c r="CC79" s="115">
        <v>11.0</v>
      </c>
      <c r="CD79" s="117">
        <v>21.0</v>
      </c>
      <c r="CE79" s="127">
        <v>28.0</v>
      </c>
      <c r="CF79" s="115">
        <v>10.0</v>
      </c>
      <c r="CG79" s="115">
        <v>8.0</v>
      </c>
      <c r="CH79" s="115">
        <v>9.0</v>
      </c>
      <c r="CI79" s="115">
        <v>11.0</v>
      </c>
      <c r="CJ79" s="115">
        <v>9.0</v>
      </c>
      <c r="CK79" s="115">
        <v>10.0</v>
      </c>
      <c r="CL79" s="115">
        <v>12.0</v>
      </c>
      <c r="CM79" s="115">
        <v>10.0</v>
      </c>
      <c r="CN79" s="115">
        <v>12.0</v>
      </c>
      <c r="CO79" s="119">
        <v>19.0</v>
      </c>
      <c r="CP79" s="115">
        <v>10.0</v>
      </c>
      <c r="CQ79" s="115">
        <v>9.0</v>
      </c>
      <c r="CR79" s="115">
        <v>9.0</v>
      </c>
      <c r="CS79" s="115">
        <v>1.0</v>
      </c>
      <c r="CT79" s="115">
        <v>1.0</v>
      </c>
      <c r="CU79" s="115">
        <v>9.0</v>
      </c>
      <c r="CV79" s="115">
        <v>12.0</v>
      </c>
      <c r="CW79" s="115">
        <v>3.0</v>
      </c>
      <c r="CX79" s="115"/>
      <c r="CY79" s="115"/>
      <c r="CZ79" s="115"/>
      <c r="DA79" s="115"/>
      <c r="DB79" s="115"/>
      <c r="DC79" s="115"/>
      <c r="DD79" s="115"/>
      <c r="DE79" s="115"/>
      <c r="DF79" s="115"/>
      <c r="DG79" s="115"/>
      <c r="DH79" s="115"/>
      <c r="DI79" s="115"/>
      <c r="DJ79" s="115"/>
      <c r="DK79" s="115"/>
      <c r="DL79" s="115"/>
      <c r="DM79" s="115"/>
      <c r="DN79" s="114"/>
      <c r="DO79" s="114"/>
      <c r="DP79" s="115"/>
      <c r="DQ79" s="115"/>
      <c r="DR79" s="114"/>
      <c r="DS79" s="114"/>
      <c r="DT79" s="114"/>
      <c r="DU79" s="114"/>
      <c r="DV79" s="114"/>
      <c r="DW79" s="114"/>
      <c r="DX79" s="114"/>
      <c r="DY79" s="114"/>
      <c r="DZ79" s="115"/>
      <c r="EA79" s="114"/>
      <c r="EB79" s="114"/>
      <c r="EC79" s="115"/>
      <c r="ED79" s="114"/>
      <c r="EE79" s="114"/>
      <c r="EF79" s="114"/>
      <c r="EG79" s="129"/>
      <c r="EH79" s="129"/>
      <c r="EI79" s="115"/>
      <c r="EJ79" s="115"/>
      <c r="EK79" s="115"/>
      <c r="EL79" s="115"/>
      <c r="EM79" s="115"/>
      <c r="EN79" s="120">
        <f t="shared" si="5"/>
        <v>39</v>
      </c>
      <c r="EO79" s="115">
        <f t="shared" si="6"/>
        <v>431</v>
      </c>
      <c r="EP79" s="115">
        <f t="shared" si="7"/>
        <v>11.05128205</v>
      </c>
      <c r="EQ79" s="121">
        <f t="shared" si="8"/>
        <v>11.05</v>
      </c>
      <c r="ER79" s="115"/>
    </row>
    <row r="80" ht="35.25" customHeight="1">
      <c r="A80" s="115" t="str">
        <f>image("http://sumo.or.jp/img/sumo_data/rikishi/60x60/20050008.jpg")</f>
        <v/>
      </c>
      <c r="B80" s="115" t="s">
        <v>22</v>
      </c>
      <c r="C80" s="116" t="s">
        <v>236</v>
      </c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8">
        <v>16.0</v>
      </c>
      <c r="BQ80" s="115">
        <v>9.0</v>
      </c>
      <c r="BR80" s="115">
        <v>9.0</v>
      </c>
      <c r="BS80" s="115">
        <v>8.0</v>
      </c>
      <c r="BT80" s="115">
        <v>8.0</v>
      </c>
      <c r="BU80" s="115">
        <v>10.0</v>
      </c>
      <c r="BV80" s="118">
        <v>17.0</v>
      </c>
      <c r="BW80" s="115">
        <v>6.0</v>
      </c>
      <c r="BX80" s="126">
        <v>23.0</v>
      </c>
      <c r="BY80" s="115">
        <v>17.0</v>
      </c>
      <c r="BZ80" s="115">
        <v>9.0</v>
      </c>
      <c r="CA80" s="115">
        <v>9.0</v>
      </c>
      <c r="CB80" s="115">
        <v>12.0</v>
      </c>
      <c r="CC80" s="115">
        <v>13.0</v>
      </c>
      <c r="CD80" s="115">
        <v>16.0</v>
      </c>
      <c r="CE80" s="115">
        <v>6.0</v>
      </c>
      <c r="CF80" s="115">
        <v>9.0</v>
      </c>
      <c r="CG80" s="114"/>
      <c r="CH80" s="114"/>
      <c r="CI80" s="115">
        <v>12.0</v>
      </c>
      <c r="CJ80" s="115">
        <v>13.0</v>
      </c>
      <c r="CK80" s="126">
        <v>29.0</v>
      </c>
      <c r="CL80" s="115">
        <v>7.0</v>
      </c>
      <c r="CM80" s="115">
        <v>10.0</v>
      </c>
      <c r="CN80" s="115">
        <v>17.0</v>
      </c>
      <c r="CO80" s="115">
        <v>14.0</v>
      </c>
      <c r="CP80" s="118">
        <v>19.0</v>
      </c>
      <c r="CQ80" s="117">
        <v>18.0</v>
      </c>
      <c r="CR80" s="115">
        <v>9.0</v>
      </c>
      <c r="CS80" s="115">
        <v>9.0</v>
      </c>
      <c r="CT80" s="126">
        <v>21.0</v>
      </c>
      <c r="CU80" s="115">
        <v>11.0</v>
      </c>
      <c r="CV80" s="115">
        <v>12.0</v>
      </c>
      <c r="CW80" s="115">
        <v>8.0</v>
      </c>
      <c r="CX80" s="115">
        <v>11.0</v>
      </c>
      <c r="CY80" s="117">
        <v>21.0</v>
      </c>
      <c r="CZ80" s="115">
        <v>10.0</v>
      </c>
      <c r="DA80" s="115">
        <v>8.0</v>
      </c>
      <c r="DB80" s="117">
        <v>21.0</v>
      </c>
      <c r="DC80" s="117">
        <v>16.0</v>
      </c>
      <c r="DD80" s="117">
        <v>23.0</v>
      </c>
      <c r="DE80" s="115">
        <v>9.0</v>
      </c>
      <c r="DF80" s="115">
        <v>5.0</v>
      </c>
      <c r="DG80" s="115">
        <v>8.0</v>
      </c>
      <c r="DH80" s="115">
        <v>8.0</v>
      </c>
      <c r="DI80" s="115">
        <v>9.0</v>
      </c>
      <c r="DJ80" s="115">
        <v>9.0</v>
      </c>
      <c r="DK80" s="115">
        <v>7.0</v>
      </c>
      <c r="DL80" s="115">
        <v>9.0</v>
      </c>
      <c r="DM80" s="115">
        <v>4.0</v>
      </c>
      <c r="DN80" s="115">
        <v>14.0</v>
      </c>
      <c r="DO80" s="115">
        <v>9.0</v>
      </c>
      <c r="DP80" s="115">
        <v>7.0</v>
      </c>
      <c r="DQ80" s="119">
        <v>22.0</v>
      </c>
      <c r="DR80" s="115">
        <v>9.0</v>
      </c>
      <c r="DS80" s="115">
        <v>8.0</v>
      </c>
      <c r="DT80" s="115">
        <v>1.0</v>
      </c>
      <c r="DU80" s="115">
        <v>10.0</v>
      </c>
      <c r="DV80" s="115">
        <v>7.0</v>
      </c>
      <c r="DW80" s="115">
        <v>11.0</v>
      </c>
      <c r="DX80" s="115">
        <v>9.0</v>
      </c>
      <c r="DY80" s="115">
        <v>8.0</v>
      </c>
      <c r="DZ80" s="115">
        <v>9.0</v>
      </c>
      <c r="EA80" s="115">
        <v>3.0</v>
      </c>
      <c r="EB80" s="115">
        <v>10.0</v>
      </c>
      <c r="EC80" s="115">
        <v>14.0</v>
      </c>
      <c r="ED80" s="115">
        <v>8.0</v>
      </c>
      <c r="EE80" s="115">
        <v>9.0</v>
      </c>
      <c r="EF80" s="115">
        <v>13.0</v>
      </c>
      <c r="EG80" s="115">
        <v>9.0</v>
      </c>
      <c r="EH80" s="115">
        <v>3.0</v>
      </c>
      <c r="EI80" s="115">
        <v>10.0</v>
      </c>
      <c r="EJ80" s="115">
        <v>0.0</v>
      </c>
      <c r="EK80" s="115">
        <v>5.0</v>
      </c>
      <c r="EL80" s="115"/>
      <c r="EM80" s="116"/>
      <c r="EN80" s="115">
        <f t="shared" si="5"/>
        <v>72</v>
      </c>
      <c r="EO80" s="115">
        <f t="shared" si="6"/>
        <v>792</v>
      </c>
      <c r="EP80" s="115">
        <f t="shared" si="7"/>
        <v>11</v>
      </c>
      <c r="EQ80" s="121">
        <f t="shared" si="8"/>
        <v>11</v>
      </c>
      <c r="ER80" s="115"/>
      <c r="ES80" s="10"/>
      <c r="ET80" s="47"/>
      <c r="EX80" s="15"/>
      <c r="EY80" s="10"/>
      <c r="EZ80" s="10"/>
      <c r="FA80" s="48"/>
    </row>
    <row r="81" ht="35.25" customHeight="1">
      <c r="A81" s="115" t="str">
        <f>image("http://www.sumo.or.jp/img/sumo_data/rikishi/60x60/20020008.jpg")</f>
        <v/>
      </c>
      <c r="B81" s="115" t="s">
        <v>31</v>
      </c>
      <c r="C81" s="116" t="s">
        <v>237</v>
      </c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5" t="s">
        <v>212</v>
      </c>
      <c r="AW81" s="114"/>
      <c r="AX81" s="115">
        <v>6.0</v>
      </c>
      <c r="AY81" s="114"/>
      <c r="AZ81" s="115">
        <v>8.0</v>
      </c>
      <c r="BA81" s="115">
        <v>7.0</v>
      </c>
      <c r="BB81" s="115">
        <v>6.0</v>
      </c>
      <c r="BC81" s="115">
        <v>6.0</v>
      </c>
      <c r="BD81" s="114"/>
      <c r="BE81" s="115">
        <v>7.0</v>
      </c>
      <c r="BF81" s="115">
        <v>7.0</v>
      </c>
      <c r="BG81" s="115">
        <v>6.0</v>
      </c>
      <c r="BH81" s="115">
        <v>8.0</v>
      </c>
      <c r="BI81" s="115">
        <v>9.0</v>
      </c>
      <c r="BJ81" s="115">
        <v>4.0</v>
      </c>
      <c r="BK81" s="115">
        <v>8.0</v>
      </c>
      <c r="BL81" s="127">
        <v>24.0</v>
      </c>
      <c r="BM81" s="115">
        <v>16.0</v>
      </c>
      <c r="BN81" s="115">
        <v>6.0</v>
      </c>
      <c r="BO81" s="115">
        <v>7.0</v>
      </c>
      <c r="BP81" s="117">
        <v>25.0</v>
      </c>
      <c r="BQ81" s="115">
        <v>13.0</v>
      </c>
      <c r="BR81" s="115">
        <v>17.0</v>
      </c>
      <c r="BS81" s="115">
        <v>12.0</v>
      </c>
      <c r="BT81" s="118">
        <v>18.0</v>
      </c>
      <c r="BU81" s="117">
        <v>25.0</v>
      </c>
      <c r="BV81" s="115">
        <v>9.0</v>
      </c>
      <c r="BW81" s="115">
        <v>23.0</v>
      </c>
      <c r="BX81" s="115">
        <v>5.0</v>
      </c>
      <c r="BY81" s="115">
        <v>8.0</v>
      </c>
      <c r="BZ81" s="115">
        <v>5.0</v>
      </c>
      <c r="CA81" s="115">
        <v>8.0</v>
      </c>
      <c r="CB81" s="115">
        <v>9.0</v>
      </c>
      <c r="CC81" s="126">
        <v>19.0</v>
      </c>
      <c r="CD81" s="115">
        <v>16.0</v>
      </c>
      <c r="CE81" s="115">
        <v>7.0</v>
      </c>
      <c r="CF81" s="115">
        <v>10.0</v>
      </c>
      <c r="CG81" s="114"/>
      <c r="CH81" s="114"/>
      <c r="CI81" s="127">
        <v>32.0</v>
      </c>
      <c r="CJ81" s="115">
        <v>12.0</v>
      </c>
      <c r="CK81" s="115">
        <v>5.0</v>
      </c>
      <c r="CL81" s="115">
        <v>15.0</v>
      </c>
      <c r="CM81" s="115">
        <v>10.0</v>
      </c>
      <c r="CN81" s="115">
        <v>15.0</v>
      </c>
      <c r="CO81" s="115">
        <v>6.0</v>
      </c>
      <c r="CP81" s="126">
        <v>22.0</v>
      </c>
      <c r="CQ81" s="115">
        <v>9.0</v>
      </c>
      <c r="CR81" s="115">
        <v>10.0</v>
      </c>
      <c r="CS81" s="115">
        <v>9.0</v>
      </c>
      <c r="CT81" s="115">
        <v>14.0</v>
      </c>
      <c r="CU81" s="115">
        <v>9.0</v>
      </c>
      <c r="CV81" s="115">
        <v>17.0</v>
      </c>
      <c r="CW81" s="115">
        <v>9.0</v>
      </c>
      <c r="CX81" s="115">
        <v>6.0</v>
      </c>
      <c r="CY81" s="115">
        <v>9.0</v>
      </c>
      <c r="CZ81" s="115">
        <v>12.0</v>
      </c>
      <c r="DA81" s="115">
        <v>16.0</v>
      </c>
      <c r="DB81" s="115">
        <v>9.0</v>
      </c>
      <c r="DC81" s="115">
        <v>8.0</v>
      </c>
      <c r="DD81" s="115">
        <v>10.0</v>
      </c>
      <c r="DE81" s="115">
        <v>7.0</v>
      </c>
      <c r="DF81" s="115">
        <v>8.0</v>
      </c>
      <c r="DG81" s="115">
        <v>11.0</v>
      </c>
      <c r="DH81" s="115">
        <v>15.0</v>
      </c>
      <c r="DI81" s="115">
        <v>9.0</v>
      </c>
      <c r="DJ81" s="115">
        <v>8.0</v>
      </c>
      <c r="DK81" s="115">
        <v>10.0</v>
      </c>
      <c r="DL81" s="115">
        <v>15.0</v>
      </c>
      <c r="DM81" s="117">
        <v>22.0</v>
      </c>
      <c r="DN81" s="115">
        <v>7.0</v>
      </c>
      <c r="DO81" s="115">
        <v>5.0</v>
      </c>
      <c r="DP81" s="114"/>
      <c r="DQ81" s="114"/>
      <c r="DR81" s="114"/>
      <c r="DS81" s="114"/>
      <c r="DT81" s="114"/>
      <c r="DU81" s="114"/>
      <c r="DV81" s="114"/>
      <c r="DW81" s="114"/>
      <c r="DX81" s="114"/>
      <c r="DY81" s="114"/>
      <c r="DZ81" s="114"/>
      <c r="EA81" s="114"/>
      <c r="EB81" s="114"/>
      <c r="EC81" s="114"/>
      <c r="ED81" s="114"/>
      <c r="EE81" s="114"/>
      <c r="EF81" s="115">
        <v>5.0</v>
      </c>
      <c r="EG81" s="115"/>
      <c r="EH81" s="115">
        <v>7.0</v>
      </c>
      <c r="EI81" s="115">
        <v>1.0</v>
      </c>
      <c r="EJ81" s="115"/>
      <c r="EK81" s="115"/>
      <c r="EL81" s="115"/>
      <c r="EM81" s="115"/>
      <c r="EN81" s="120">
        <f t="shared" ref="EN81:EN82" si="9">count(D81:EL81)</f>
        <v>69</v>
      </c>
      <c r="EO81" s="115">
        <f t="shared" ref="EO81:EO82" si="10">SUM(D81:EL81)</f>
        <v>758</v>
      </c>
      <c r="EP81" s="115">
        <f t="shared" si="7"/>
        <v>10.98550725</v>
      </c>
      <c r="EQ81" s="121">
        <f t="shared" si="8"/>
        <v>10.99</v>
      </c>
      <c r="ER81" s="115"/>
    </row>
    <row r="82" ht="35.25" customHeight="1">
      <c r="A82" s="115" t="str">
        <f>image("http://sumo.or.jp/img/sumo_data/rikishi/60x60/20050013.jpg")</f>
        <v/>
      </c>
      <c r="B82" s="115" t="s">
        <v>31</v>
      </c>
      <c r="C82" s="116" t="s">
        <v>238</v>
      </c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 t="s">
        <v>212</v>
      </c>
      <c r="BK82" s="115"/>
      <c r="BL82" s="115"/>
      <c r="BM82" s="118">
        <v>16.0</v>
      </c>
      <c r="BN82" s="115">
        <v>7.0</v>
      </c>
      <c r="BO82" s="115">
        <v>4.0</v>
      </c>
      <c r="BP82" s="115">
        <v>7.0</v>
      </c>
      <c r="BQ82" s="115">
        <v>7.0</v>
      </c>
      <c r="BR82" s="115">
        <v>8.0</v>
      </c>
      <c r="BS82" s="126">
        <v>16.0</v>
      </c>
      <c r="BT82" s="115">
        <v>5.0</v>
      </c>
      <c r="BU82" s="115">
        <v>9.0</v>
      </c>
      <c r="BV82" s="115">
        <v>7.0</v>
      </c>
      <c r="BW82" s="115">
        <v>6.0</v>
      </c>
      <c r="BX82" s="115">
        <v>10.0</v>
      </c>
      <c r="BY82" s="115">
        <v>19.0</v>
      </c>
      <c r="BZ82" s="115">
        <v>11.0</v>
      </c>
      <c r="CA82" s="115">
        <v>2.0</v>
      </c>
      <c r="CB82" s="115">
        <v>11.0</v>
      </c>
      <c r="CC82" s="115">
        <v>12.0</v>
      </c>
      <c r="CD82" s="115">
        <v>8.0</v>
      </c>
      <c r="CE82" s="115">
        <v>15.0</v>
      </c>
      <c r="CF82" s="115">
        <v>8.0</v>
      </c>
      <c r="CG82" s="115">
        <v>18.0</v>
      </c>
      <c r="CH82" s="126">
        <v>19.0</v>
      </c>
      <c r="CI82" s="115">
        <v>7.0</v>
      </c>
      <c r="CJ82" s="115">
        <v>10.0</v>
      </c>
      <c r="CK82" s="115">
        <v>10.0</v>
      </c>
      <c r="CL82" s="115">
        <v>10.0</v>
      </c>
      <c r="CM82" s="115">
        <v>14.0</v>
      </c>
      <c r="CN82" s="115">
        <v>8.0</v>
      </c>
      <c r="CO82" s="115">
        <v>11.0</v>
      </c>
      <c r="CP82" s="115">
        <v>13.0</v>
      </c>
      <c r="CQ82" s="118">
        <v>24.0</v>
      </c>
      <c r="CR82" s="115">
        <v>4.0</v>
      </c>
      <c r="CS82" s="117">
        <v>20.0</v>
      </c>
      <c r="CT82" s="115">
        <v>24.0</v>
      </c>
      <c r="CU82" s="115">
        <v>15.0</v>
      </c>
      <c r="CV82" s="115">
        <v>18.0</v>
      </c>
      <c r="CW82" s="115">
        <v>10.0</v>
      </c>
      <c r="CX82" s="115">
        <v>20.0</v>
      </c>
      <c r="CY82" s="115">
        <v>13.0</v>
      </c>
      <c r="CZ82" s="115">
        <v>7.0</v>
      </c>
      <c r="DA82" s="115">
        <v>17.0</v>
      </c>
      <c r="DB82" s="115">
        <v>10.0</v>
      </c>
      <c r="DC82" s="115">
        <v>13.0</v>
      </c>
      <c r="DD82" s="115">
        <v>2.0</v>
      </c>
      <c r="DE82" s="115">
        <v>11.0</v>
      </c>
      <c r="DF82" s="115">
        <v>16.0</v>
      </c>
      <c r="DG82" s="115">
        <v>12.0</v>
      </c>
      <c r="DH82" s="115">
        <v>18.0</v>
      </c>
      <c r="DI82" s="115">
        <v>11.0</v>
      </c>
      <c r="DJ82" s="117">
        <v>21.0</v>
      </c>
      <c r="DK82" s="115">
        <v>10.0</v>
      </c>
      <c r="DL82" s="115">
        <v>11.0</v>
      </c>
      <c r="DM82" s="115">
        <v>8.0</v>
      </c>
      <c r="DN82" s="115">
        <v>5.0</v>
      </c>
      <c r="DO82" s="115">
        <v>8.0</v>
      </c>
      <c r="DP82" s="115">
        <v>23.0</v>
      </c>
      <c r="DQ82" s="115">
        <v>12.0</v>
      </c>
      <c r="DR82" s="115">
        <v>11.0</v>
      </c>
      <c r="DS82" s="115">
        <v>3.0</v>
      </c>
      <c r="DT82" s="115">
        <v>10.0</v>
      </c>
      <c r="DU82" s="115">
        <v>10.0</v>
      </c>
      <c r="DV82" s="115">
        <v>19.0</v>
      </c>
      <c r="DW82" s="115">
        <v>6.0</v>
      </c>
      <c r="DX82" s="115">
        <v>6.0</v>
      </c>
      <c r="DY82" s="115">
        <v>6.0</v>
      </c>
      <c r="DZ82" s="115">
        <v>5.0</v>
      </c>
      <c r="EA82" s="115">
        <v>8.0</v>
      </c>
      <c r="EB82" s="129">
        <v>11.0</v>
      </c>
      <c r="EC82" s="115">
        <v>8.0</v>
      </c>
      <c r="ED82" s="115">
        <v>22.0</v>
      </c>
      <c r="EE82" s="115">
        <v>13.0</v>
      </c>
      <c r="EF82" s="115">
        <v>3.0</v>
      </c>
      <c r="EG82" s="115">
        <v>6.0</v>
      </c>
      <c r="EH82" s="115">
        <v>5.0</v>
      </c>
      <c r="EI82" s="115">
        <v>6.0</v>
      </c>
      <c r="EJ82" s="115"/>
      <c r="EK82" s="115">
        <v>9.0</v>
      </c>
      <c r="EL82" s="115">
        <v>3.0</v>
      </c>
      <c r="EM82" s="115"/>
      <c r="EN82" s="120">
        <f t="shared" si="9"/>
        <v>77</v>
      </c>
      <c r="EO82" s="115">
        <f t="shared" si="10"/>
        <v>841</v>
      </c>
      <c r="EP82" s="115">
        <f t="shared" si="7"/>
        <v>10.92207792</v>
      </c>
      <c r="EQ82" s="121">
        <f t="shared" si="8"/>
        <v>10.92</v>
      </c>
      <c r="ER82" s="115"/>
    </row>
    <row r="83" ht="35.25" customHeight="1">
      <c r="A83" s="47"/>
      <c r="B83" s="10" t="s">
        <v>22</v>
      </c>
      <c r="C83" s="11" t="s">
        <v>239</v>
      </c>
      <c r="D83" s="47"/>
      <c r="E83" s="130">
        <v>21.0</v>
      </c>
      <c r="F83" s="10">
        <v>10.0</v>
      </c>
      <c r="G83" s="10">
        <v>13.0</v>
      </c>
      <c r="H83" s="131">
        <v>37.0</v>
      </c>
      <c r="I83" s="10">
        <v>6.0</v>
      </c>
      <c r="J83" s="47"/>
      <c r="K83" s="47"/>
      <c r="L83" s="132">
        <v>15.0</v>
      </c>
      <c r="M83" s="133">
        <v>27.0</v>
      </c>
      <c r="N83" s="10">
        <v>12.0</v>
      </c>
      <c r="O83" s="10">
        <v>12.0</v>
      </c>
      <c r="P83" s="10">
        <v>10.0</v>
      </c>
      <c r="Q83" s="10">
        <v>11.0</v>
      </c>
      <c r="R83" s="10">
        <v>14.0</v>
      </c>
      <c r="S83" s="134">
        <v>39.0</v>
      </c>
      <c r="T83" s="10">
        <v>11.0</v>
      </c>
      <c r="U83" s="10">
        <v>10.0</v>
      </c>
      <c r="V83" s="10">
        <v>9.0</v>
      </c>
      <c r="W83" s="10">
        <v>12.0</v>
      </c>
      <c r="X83" s="10">
        <v>8.0</v>
      </c>
      <c r="Y83" s="10">
        <v>10.0</v>
      </c>
      <c r="Z83" s="10">
        <v>11.0</v>
      </c>
      <c r="AA83" s="10">
        <v>9.0</v>
      </c>
      <c r="AB83" s="10">
        <v>7.0</v>
      </c>
      <c r="AC83" s="10">
        <v>8.0</v>
      </c>
      <c r="AD83" s="10">
        <v>5.0</v>
      </c>
      <c r="AE83" s="10">
        <v>3.0</v>
      </c>
      <c r="AF83" s="10">
        <v>6.0</v>
      </c>
      <c r="AG83" s="10">
        <v>12.0</v>
      </c>
      <c r="AH83" s="10">
        <v>6.0</v>
      </c>
      <c r="AI83" s="10">
        <v>6.0</v>
      </c>
      <c r="AJ83" s="10">
        <v>9.0</v>
      </c>
      <c r="AK83" s="10">
        <v>7.0</v>
      </c>
      <c r="AL83" s="47"/>
      <c r="AM83" s="10">
        <v>10.0</v>
      </c>
      <c r="AN83" s="10">
        <v>24.0</v>
      </c>
      <c r="AO83" s="10">
        <v>14.0</v>
      </c>
      <c r="AP83" s="10">
        <v>8.0</v>
      </c>
      <c r="AQ83" s="47"/>
      <c r="AR83" s="10">
        <v>6.0</v>
      </c>
      <c r="AS83" s="10">
        <v>11.0</v>
      </c>
      <c r="AT83" s="10">
        <v>10.0</v>
      </c>
      <c r="AU83" s="10">
        <v>8.0</v>
      </c>
      <c r="AV83" s="10">
        <v>10.0</v>
      </c>
      <c r="AW83" s="10">
        <v>7.0</v>
      </c>
      <c r="AX83" s="10">
        <v>13.0</v>
      </c>
      <c r="AY83" s="10">
        <v>0.0</v>
      </c>
      <c r="AZ83" s="10">
        <v>9.0</v>
      </c>
      <c r="BA83" s="10">
        <v>12.0</v>
      </c>
      <c r="BB83" s="10">
        <v>9.0</v>
      </c>
      <c r="BC83" s="10">
        <v>12.0</v>
      </c>
      <c r="BD83" s="10">
        <v>11.0</v>
      </c>
      <c r="BE83" s="10">
        <v>6.0</v>
      </c>
      <c r="BF83" s="10">
        <v>8.0</v>
      </c>
      <c r="BG83" s="10">
        <v>6.0</v>
      </c>
      <c r="BH83" s="10">
        <v>8.0</v>
      </c>
      <c r="BI83" s="10">
        <v>8.0</v>
      </c>
      <c r="BJ83" s="10">
        <v>11.0</v>
      </c>
      <c r="BK83" s="10">
        <v>15.0</v>
      </c>
      <c r="BL83" s="10">
        <v>13.0</v>
      </c>
      <c r="BM83" s="10">
        <v>7.0</v>
      </c>
      <c r="BN83" s="132">
        <v>18.0</v>
      </c>
      <c r="BO83" s="10">
        <v>11.0</v>
      </c>
      <c r="BP83" s="10">
        <v>18.0</v>
      </c>
      <c r="BQ83" s="10">
        <v>24.0</v>
      </c>
      <c r="BR83" s="10">
        <v>6.0</v>
      </c>
      <c r="BS83" s="10">
        <v>6.0</v>
      </c>
      <c r="BT83" s="10">
        <v>8.0</v>
      </c>
      <c r="BU83" s="10">
        <v>6.0</v>
      </c>
      <c r="BV83" s="10">
        <v>9.0</v>
      </c>
      <c r="BW83" s="10">
        <v>6.0</v>
      </c>
      <c r="BX83" s="10">
        <v>7.0</v>
      </c>
      <c r="BY83" s="10">
        <v>6.0</v>
      </c>
      <c r="BZ83" s="10">
        <v>7.0</v>
      </c>
      <c r="CA83" s="10">
        <v>2.0</v>
      </c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120">
        <f t="shared" ref="EN83:EN131" si="11">count(D83:EK83)</f>
        <v>71</v>
      </c>
      <c r="EO83" s="115">
        <f t="shared" ref="EO83:EO129" si="12">SUM(D83:EK83)</f>
        <v>766</v>
      </c>
      <c r="EP83" s="115">
        <f t="shared" si="7"/>
        <v>10.78873239</v>
      </c>
      <c r="EQ83" s="121">
        <f t="shared" si="8"/>
        <v>10.79</v>
      </c>
      <c r="ER83" s="115"/>
    </row>
    <row r="84" ht="35.25" customHeight="1">
      <c r="A84" s="115" t="str">
        <f>image("http://sumo.or.jp/img/sumo_data/rikishi/60x60/20001080.jpg")</f>
        <v/>
      </c>
      <c r="B84" s="115" t="s">
        <v>31</v>
      </c>
      <c r="C84" s="116" t="s">
        <v>240</v>
      </c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35">
        <v>15.0</v>
      </c>
      <c r="Z84" s="136">
        <v>7.0</v>
      </c>
      <c r="AA84" s="136">
        <v>1.0</v>
      </c>
      <c r="AB84" s="136"/>
      <c r="AC84" s="136">
        <v>8.0</v>
      </c>
      <c r="AD84" s="136">
        <v>7.0</v>
      </c>
      <c r="AE84" s="136">
        <v>7.0</v>
      </c>
      <c r="AF84" s="136">
        <v>7.0</v>
      </c>
      <c r="AG84" s="136">
        <v>8.0</v>
      </c>
      <c r="AH84" s="136">
        <v>9.0</v>
      </c>
      <c r="AI84" s="137">
        <v>18.0</v>
      </c>
      <c r="AJ84" s="136">
        <v>11.0</v>
      </c>
      <c r="AK84" s="136">
        <v>7.0</v>
      </c>
      <c r="AL84" s="136">
        <v>7.0</v>
      </c>
      <c r="AM84" s="136">
        <v>9.0</v>
      </c>
      <c r="AN84" s="136">
        <v>8.0</v>
      </c>
      <c r="AO84" s="136">
        <v>8.0</v>
      </c>
      <c r="AP84" s="137">
        <v>16.0</v>
      </c>
      <c r="AQ84" s="136">
        <v>6.0</v>
      </c>
      <c r="AR84" s="136">
        <v>10.0</v>
      </c>
      <c r="AS84" s="136">
        <v>11.0</v>
      </c>
      <c r="AT84" s="136">
        <v>9.0</v>
      </c>
      <c r="AU84" s="136">
        <v>3.0</v>
      </c>
      <c r="AV84" s="136">
        <v>8.0</v>
      </c>
      <c r="AW84" s="136">
        <v>4.0</v>
      </c>
      <c r="AX84" s="136">
        <v>6.0</v>
      </c>
      <c r="AY84" s="136"/>
      <c r="AZ84" s="136">
        <v>7.0</v>
      </c>
      <c r="BA84" s="136">
        <v>9.0</v>
      </c>
      <c r="BB84" s="136">
        <v>8.0</v>
      </c>
      <c r="BC84" s="136">
        <v>9.0</v>
      </c>
      <c r="BD84" s="136">
        <v>11.0</v>
      </c>
      <c r="BE84" s="136">
        <v>7.0</v>
      </c>
      <c r="BF84" s="136">
        <v>9.0</v>
      </c>
      <c r="BG84" s="136">
        <v>14.0</v>
      </c>
      <c r="BH84" s="136">
        <v>5.0</v>
      </c>
      <c r="BI84" s="136">
        <v>8.0</v>
      </c>
      <c r="BJ84" s="137">
        <v>31.0</v>
      </c>
      <c r="BK84" s="136">
        <v>7.0</v>
      </c>
      <c r="BL84" s="136">
        <v>10.0</v>
      </c>
      <c r="BM84" s="136">
        <v>9.0</v>
      </c>
      <c r="BN84" s="138">
        <v>24.0</v>
      </c>
      <c r="BO84" s="138">
        <v>16.0</v>
      </c>
      <c r="BP84" s="136">
        <v>11.0</v>
      </c>
      <c r="BQ84" s="136">
        <v>9.0</v>
      </c>
      <c r="BR84" s="136">
        <v>7.0</v>
      </c>
      <c r="BS84" s="136">
        <v>21.0</v>
      </c>
      <c r="BT84" s="138">
        <v>22.0</v>
      </c>
      <c r="BU84" s="136">
        <v>9.0</v>
      </c>
      <c r="BV84" s="136">
        <v>18.0</v>
      </c>
      <c r="BW84" s="138">
        <v>20.0</v>
      </c>
      <c r="BX84" s="136">
        <v>5.0</v>
      </c>
      <c r="BY84" s="136">
        <v>9.0</v>
      </c>
      <c r="BZ84" s="136">
        <v>14.0</v>
      </c>
      <c r="CA84" s="137">
        <v>19.0</v>
      </c>
      <c r="CB84" s="136">
        <v>10.0</v>
      </c>
      <c r="CC84" s="136">
        <v>14.0</v>
      </c>
      <c r="CD84" s="137">
        <v>17.0</v>
      </c>
      <c r="CE84" s="136">
        <v>13.0</v>
      </c>
      <c r="CF84" s="136">
        <v>5.0</v>
      </c>
      <c r="CG84" s="136">
        <v>13.0</v>
      </c>
      <c r="CH84" s="136">
        <v>15.0</v>
      </c>
      <c r="CI84" s="136">
        <v>17.0</v>
      </c>
      <c r="CJ84" s="136">
        <v>10.0</v>
      </c>
      <c r="CK84" s="136">
        <v>9.0</v>
      </c>
      <c r="CL84" s="136">
        <v>2.0</v>
      </c>
      <c r="CM84" s="136">
        <v>10.0</v>
      </c>
      <c r="CN84" s="136">
        <v>9.0</v>
      </c>
      <c r="CO84" s="136">
        <v>16.0</v>
      </c>
      <c r="CP84" s="136">
        <v>9.0</v>
      </c>
      <c r="CQ84" s="136">
        <v>16.0</v>
      </c>
      <c r="CR84" s="136">
        <v>10.0</v>
      </c>
      <c r="CS84" s="136">
        <v>15.0</v>
      </c>
      <c r="CT84" s="136">
        <v>10.0</v>
      </c>
      <c r="CU84" s="136">
        <v>21.0</v>
      </c>
      <c r="CV84" s="136">
        <v>8.0</v>
      </c>
      <c r="CW84" s="136">
        <v>10.0</v>
      </c>
      <c r="CX84" s="136">
        <v>12.0</v>
      </c>
      <c r="CY84" s="136">
        <v>9.0</v>
      </c>
      <c r="CZ84" s="136">
        <v>15.0</v>
      </c>
      <c r="DA84" s="136">
        <v>6.0</v>
      </c>
      <c r="DB84" s="136">
        <v>8.0</v>
      </c>
      <c r="DC84" s="136">
        <v>19.0</v>
      </c>
      <c r="DD84" s="136">
        <v>5.0</v>
      </c>
      <c r="DE84" s="137">
        <v>15.0</v>
      </c>
      <c r="DF84" s="136">
        <v>13.0</v>
      </c>
      <c r="DG84" s="136">
        <v>8.0</v>
      </c>
      <c r="DH84" s="136">
        <v>8.0</v>
      </c>
      <c r="DI84" s="136">
        <v>10.0</v>
      </c>
      <c r="DJ84" s="136">
        <v>6.0</v>
      </c>
      <c r="DK84" s="136">
        <v>10.0</v>
      </c>
      <c r="DL84" s="136">
        <v>9.0</v>
      </c>
      <c r="DM84" s="136">
        <v>16.0</v>
      </c>
      <c r="DN84" s="136">
        <v>7.0</v>
      </c>
      <c r="DO84" s="136">
        <v>1.0</v>
      </c>
      <c r="DP84" s="136"/>
      <c r="DQ84" s="136"/>
      <c r="DR84" s="136"/>
      <c r="DS84" s="136"/>
      <c r="DT84" s="136"/>
      <c r="DU84" s="136"/>
      <c r="DV84" s="114"/>
      <c r="DW84" s="114"/>
      <c r="DX84" s="135">
        <v>13.0</v>
      </c>
      <c r="DY84" s="136">
        <v>3.0</v>
      </c>
      <c r="DZ84" s="136"/>
      <c r="EA84" s="136">
        <v>4.0</v>
      </c>
      <c r="EB84" s="114"/>
      <c r="EC84" s="114"/>
      <c r="ED84" s="114"/>
      <c r="EE84" s="114"/>
      <c r="EF84" s="114"/>
      <c r="EG84" s="114"/>
      <c r="EH84" s="114"/>
      <c r="EI84" s="114"/>
      <c r="EJ84" s="114"/>
      <c r="EK84" s="114"/>
      <c r="EL84" s="114"/>
      <c r="EM84" s="114"/>
      <c r="EN84" s="120">
        <f t="shared" si="11"/>
        <v>96</v>
      </c>
      <c r="EO84" s="115">
        <f t="shared" si="12"/>
        <v>1014</v>
      </c>
      <c r="EP84" s="115">
        <f t="shared" si="7"/>
        <v>10.5625</v>
      </c>
      <c r="EQ84" s="121">
        <f t="shared" si="8"/>
        <v>10.56</v>
      </c>
      <c r="ER84" s="115"/>
      <c r="ES84" s="10"/>
      <c r="ET84" s="47"/>
      <c r="EX84" s="10"/>
      <c r="EY84" s="47"/>
      <c r="EZ84" s="10"/>
      <c r="FA84" s="48"/>
    </row>
    <row r="85" ht="35.25" customHeight="1">
      <c r="A85" s="114"/>
      <c r="B85" s="115" t="s">
        <v>22</v>
      </c>
      <c r="C85" s="116" t="s">
        <v>241</v>
      </c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8">
        <v>14.0</v>
      </c>
      <c r="R85" s="115">
        <v>7.0</v>
      </c>
      <c r="S85" s="115">
        <v>9.0</v>
      </c>
      <c r="T85" s="115">
        <v>10.0</v>
      </c>
      <c r="U85" s="115">
        <v>11.0</v>
      </c>
      <c r="V85" s="117">
        <v>24.0</v>
      </c>
      <c r="W85" s="118">
        <v>22.0</v>
      </c>
      <c r="X85" s="118">
        <v>17.0</v>
      </c>
      <c r="Y85" s="115">
        <v>6.0</v>
      </c>
      <c r="Z85" s="115">
        <v>8.0</v>
      </c>
      <c r="AA85" s="115">
        <v>9.0</v>
      </c>
      <c r="AB85" s="115">
        <v>8.0</v>
      </c>
      <c r="AC85" s="115">
        <v>7.0</v>
      </c>
      <c r="AD85" s="115">
        <v>9.0</v>
      </c>
      <c r="AE85" s="115">
        <v>7.0</v>
      </c>
      <c r="AF85" s="115">
        <v>3.0</v>
      </c>
      <c r="AG85" s="114"/>
      <c r="AH85" s="114"/>
      <c r="AI85" s="115">
        <v>9.0</v>
      </c>
      <c r="AJ85" s="115">
        <v>14.0</v>
      </c>
      <c r="AK85" s="115">
        <v>6.0</v>
      </c>
      <c r="AL85" s="115">
        <v>14.0</v>
      </c>
      <c r="AM85" s="115">
        <v>15.0</v>
      </c>
      <c r="AN85" s="115">
        <v>4.0</v>
      </c>
      <c r="AO85" s="115">
        <v>9.0</v>
      </c>
      <c r="AP85" s="115">
        <v>12.0</v>
      </c>
      <c r="AQ85" s="115">
        <v>21.0</v>
      </c>
      <c r="AR85" s="115">
        <v>4.0</v>
      </c>
      <c r="AS85" s="115">
        <v>11.0</v>
      </c>
      <c r="AT85" s="115">
        <v>11.0</v>
      </c>
      <c r="AU85" s="115">
        <v>11.0</v>
      </c>
      <c r="AV85" s="115">
        <v>4.0</v>
      </c>
      <c r="AW85" s="115">
        <v>15.0</v>
      </c>
      <c r="AX85" s="115">
        <v>11.0</v>
      </c>
      <c r="AY85" s="115">
        <v>11.0</v>
      </c>
      <c r="AZ85" s="115">
        <v>9.0</v>
      </c>
      <c r="BA85" s="115">
        <v>8.0</v>
      </c>
      <c r="BB85" s="115">
        <v>12.0</v>
      </c>
      <c r="BC85" s="115">
        <v>9.0</v>
      </c>
      <c r="BD85" s="115">
        <v>10.0</v>
      </c>
      <c r="BE85" s="118">
        <v>21.0</v>
      </c>
      <c r="BF85" s="115">
        <v>20.0</v>
      </c>
      <c r="BG85" s="115">
        <v>16.0</v>
      </c>
      <c r="BH85" s="139">
        <v>28.0</v>
      </c>
      <c r="BI85" s="115">
        <v>12.0</v>
      </c>
      <c r="BJ85" s="115">
        <v>11.0</v>
      </c>
      <c r="BK85" s="115">
        <v>11.0</v>
      </c>
      <c r="BL85" s="115">
        <v>6.0</v>
      </c>
      <c r="BM85" s="115">
        <v>11.0</v>
      </c>
      <c r="BN85" s="115">
        <v>9.0</v>
      </c>
      <c r="BO85" s="115">
        <v>8.0</v>
      </c>
      <c r="BP85" s="115">
        <v>9.0</v>
      </c>
      <c r="BQ85" s="115">
        <v>12.0</v>
      </c>
      <c r="BR85" s="115">
        <v>12.0</v>
      </c>
      <c r="BS85" s="115">
        <v>11.0</v>
      </c>
      <c r="BT85" s="115">
        <v>10.0</v>
      </c>
      <c r="BU85" s="115">
        <v>11.0</v>
      </c>
      <c r="BV85" s="115">
        <v>11.0</v>
      </c>
      <c r="BW85" s="115">
        <v>10.0</v>
      </c>
      <c r="BX85" s="115">
        <v>15.0</v>
      </c>
      <c r="BY85" s="115">
        <v>10.0</v>
      </c>
      <c r="BZ85" s="115">
        <v>9.0</v>
      </c>
      <c r="CA85" s="115">
        <v>8.0</v>
      </c>
      <c r="CB85" s="115">
        <v>7.0</v>
      </c>
      <c r="CC85" s="118">
        <v>17.0</v>
      </c>
      <c r="CD85" s="115">
        <v>11.0</v>
      </c>
      <c r="CE85" s="115">
        <v>10.0</v>
      </c>
      <c r="CF85" s="115">
        <v>8.0</v>
      </c>
      <c r="CG85" s="114"/>
      <c r="CH85" s="114"/>
      <c r="CI85" s="115">
        <v>9.0</v>
      </c>
      <c r="CJ85" s="115">
        <v>6.0</v>
      </c>
      <c r="CK85" s="115">
        <v>8.0</v>
      </c>
      <c r="CL85" s="115">
        <v>8.0</v>
      </c>
      <c r="CM85" s="115">
        <v>7.0</v>
      </c>
      <c r="CN85" s="115">
        <v>12.0</v>
      </c>
      <c r="CO85" s="115">
        <v>6.0</v>
      </c>
      <c r="CP85" s="115">
        <v>8.0</v>
      </c>
      <c r="CQ85" s="115">
        <v>4.0</v>
      </c>
      <c r="CR85" s="115">
        <v>8.0</v>
      </c>
      <c r="CS85" s="115">
        <v>5.0</v>
      </c>
      <c r="CT85" s="115">
        <v>5.0</v>
      </c>
      <c r="CU85" s="115">
        <v>3.0</v>
      </c>
      <c r="CV85" s="114"/>
      <c r="CW85" s="114"/>
      <c r="CX85" s="114"/>
      <c r="CY85" s="114"/>
      <c r="CZ85" s="114"/>
      <c r="DA85" s="114"/>
      <c r="DB85" s="114"/>
      <c r="DC85" s="114"/>
      <c r="DD85" s="114"/>
      <c r="DE85" s="114"/>
      <c r="DF85" s="114"/>
      <c r="DG85" s="114"/>
      <c r="DH85" s="114"/>
      <c r="DI85" s="114"/>
      <c r="DJ85" s="114"/>
      <c r="DK85" s="114"/>
      <c r="DL85" s="114"/>
      <c r="DM85" s="114"/>
      <c r="DN85" s="114"/>
      <c r="DO85" s="114"/>
      <c r="DP85" s="114"/>
      <c r="DQ85" s="114"/>
      <c r="DR85" s="114"/>
      <c r="DS85" s="114"/>
      <c r="DT85" s="114"/>
      <c r="DU85" s="114"/>
      <c r="DV85" s="114"/>
      <c r="DW85" s="114"/>
      <c r="DX85" s="114"/>
      <c r="DY85" s="114"/>
      <c r="DZ85" s="114"/>
      <c r="EA85" s="114"/>
      <c r="EB85" s="114"/>
      <c r="EC85" s="114"/>
      <c r="ED85" s="114"/>
      <c r="EE85" s="114"/>
      <c r="EF85" s="114"/>
      <c r="EG85" s="114"/>
      <c r="EH85" s="114"/>
      <c r="EI85" s="114"/>
      <c r="EJ85" s="114"/>
      <c r="EK85" s="114"/>
      <c r="EL85" s="114"/>
      <c r="EM85" s="114"/>
      <c r="EN85" s="120">
        <f t="shared" si="11"/>
        <v>79</v>
      </c>
      <c r="EO85" s="115">
        <f t="shared" si="12"/>
        <v>824</v>
      </c>
      <c r="EP85" s="115">
        <f t="shared" si="7"/>
        <v>10.43037975</v>
      </c>
      <c r="EQ85" s="121">
        <f t="shared" si="8"/>
        <v>10.43</v>
      </c>
      <c r="ER85" s="115"/>
      <c r="ES85" s="10"/>
      <c r="ET85" s="47"/>
      <c r="EX85" s="10"/>
      <c r="EY85" s="10"/>
      <c r="EZ85" s="10"/>
      <c r="FA85" s="48"/>
    </row>
    <row r="86" ht="35.25" customHeight="1">
      <c r="A86" s="115"/>
      <c r="B86" s="115" t="s">
        <v>44</v>
      </c>
      <c r="C86" s="116" t="s">
        <v>242</v>
      </c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 t="s">
        <v>212</v>
      </c>
      <c r="BG86" s="115"/>
      <c r="BH86" s="115">
        <v>6.0</v>
      </c>
      <c r="BI86" s="115">
        <v>9.0</v>
      </c>
      <c r="BJ86" s="115">
        <v>7.0</v>
      </c>
      <c r="BK86" s="127">
        <v>22.0</v>
      </c>
      <c r="BL86" s="115">
        <v>10.0</v>
      </c>
      <c r="BM86" s="126">
        <v>23.0</v>
      </c>
      <c r="BN86" s="115">
        <v>11.0</v>
      </c>
      <c r="BO86" s="115">
        <v>9.0</v>
      </c>
      <c r="BP86" s="115">
        <v>18.0</v>
      </c>
      <c r="BQ86" s="115">
        <v>5.0</v>
      </c>
      <c r="BR86" s="115">
        <v>4.0</v>
      </c>
      <c r="BS86" s="115">
        <v>9.0</v>
      </c>
      <c r="BT86" s="115">
        <v>9.0</v>
      </c>
      <c r="BU86" s="115">
        <v>11.0</v>
      </c>
      <c r="BV86" s="115"/>
      <c r="BW86" s="115">
        <v>7.0</v>
      </c>
      <c r="BX86" s="118">
        <v>16.0</v>
      </c>
      <c r="BY86" s="118">
        <v>16.0</v>
      </c>
      <c r="BZ86" s="115">
        <v>1.0</v>
      </c>
      <c r="CA86" s="115">
        <v>10.0</v>
      </c>
      <c r="CB86" s="115">
        <v>7.0</v>
      </c>
      <c r="CC86" s="115">
        <v>6.0</v>
      </c>
      <c r="CD86" s="115">
        <v>9.0</v>
      </c>
      <c r="CE86" s="115">
        <v>9.0</v>
      </c>
      <c r="CF86" s="115">
        <v>0.0</v>
      </c>
      <c r="CG86" s="118">
        <v>18.0</v>
      </c>
      <c r="CH86" s="115">
        <v>9.0</v>
      </c>
      <c r="CI86" s="115">
        <v>16.0</v>
      </c>
      <c r="CJ86" s="115">
        <v>15.0</v>
      </c>
      <c r="CK86" s="115">
        <v>8.0</v>
      </c>
      <c r="CL86" s="118">
        <v>16.0</v>
      </c>
      <c r="CM86" s="115">
        <v>21.0</v>
      </c>
      <c r="CN86" s="115">
        <v>4.0</v>
      </c>
      <c r="CO86" s="115">
        <v>10.0</v>
      </c>
      <c r="CP86" s="115">
        <v>12.0</v>
      </c>
      <c r="CQ86" s="115">
        <v>5.0</v>
      </c>
      <c r="CR86" s="115">
        <v>10.0</v>
      </c>
      <c r="CS86" s="115">
        <v>21.0</v>
      </c>
      <c r="CT86" s="115">
        <v>5.0</v>
      </c>
      <c r="CU86" s="136"/>
      <c r="CV86" s="136"/>
      <c r="CW86" s="136"/>
      <c r="CX86" s="136"/>
      <c r="CY86" s="115">
        <v>10.0</v>
      </c>
      <c r="CZ86" s="115">
        <v>6.0</v>
      </c>
      <c r="DA86" s="136"/>
      <c r="DB86" s="136"/>
      <c r="DC86" s="115">
        <v>9.0</v>
      </c>
      <c r="DD86" s="115">
        <v>3.0</v>
      </c>
      <c r="DE86" s="136"/>
      <c r="DF86" s="136"/>
      <c r="DG86" s="136"/>
      <c r="DH86" s="136"/>
      <c r="DI86" s="136"/>
      <c r="DJ86" s="136"/>
      <c r="DK86" s="115"/>
      <c r="DL86" s="115"/>
      <c r="DM86" s="136"/>
      <c r="DN86" s="136"/>
      <c r="DO86" s="136"/>
      <c r="DP86" s="136"/>
      <c r="DQ86" s="136"/>
      <c r="DR86" s="136"/>
      <c r="DS86" s="136"/>
      <c r="DT86" s="136"/>
      <c r="DU86" s="136"/>
      <c r="DV86" s="136"/>
      <c r="DW86" s="115"/>
      <c r="DX86" s="136"/>
      <c r="DY86" s="136"/>
      <c r="DZ86" s="136"/>
      <c r="EA86" s="136"/>
      <c r="EB86" s="136"/>
      <c r="EC86" s="136"/>
      <c r="ED86" s="136"/>
      <c r="EE86" s="114"/>
      <c r="EF86" s="136"/>
      <c r="EG86" s="136"/>
      <c r="EH86" s="115"/>
      <c r="EI86" s="115"/>
      <c r="EJ86" s="115"/>
      <c r="EK86" s="115"/>
      <c r="EL86" s="115"/>
      <c r="EM86" s="115"/>
      <c r="EN86" s="120">
        <f t="shared" si="11"/>
        <v>42</v>
      </c>
      <c r="EO86" s="115">
        <f t="shared" si="12"/>
        <v>432</v>
      </c>
      <c r="EP86" s="115">
        <f t="shared" si="7"/>
        <v>10.28571429</v>
      </c>
      <c r="EQ86" s="121">
        <f t="shared" si="8"/>
        <v>10.29</v>
      </c>
      <c r="ER86" s="115"/>
      <c r="ES86" s="10"/>
      <c r="ET86" s="47"/>
      <c r="EX86" s="10"/>
      <c r="EY86" s="47"/>
      <c r="EZ86" s="47"/>
      <c r="FA86" s="47"/>
    </row>
    <row r="87" ht="35.25" customHeight="1">
      <c r="A87" s="114"/>
      <c r="B87" s="115" t="s">
        <v>31</v>
      </c>
      <c r="C87" s="116" t="s">
        <v>243</v>
      </c>
      <c r="D87" s="114"/>
      <c r="E87" s="114"/>
      <c r="F87" s="114"/>
      <c r="G87" s="114"/>
      <c r="H87" s="114"/>
      <c r="I87" s="114"/>
      <c r="J87" s="114"/>
      <c r="K87" s="114"/>
      <c r="L87" s="118">
        <v>15.0</v>
      </c>
      <c r="M87" s="115">
        <v>9.0</v>
      </c>
      <c r="N87" s="115">
        <v>12.0</v>
      </c>
      <c r="O87" s="115">
        <v>11.0</v>
      </c>
      <c r="P87" s="114"/>
      <c r="Q87" s="115">
        <v>5.0</v>
      </c>
      <c r="R87" s="126">
        <v>18.0</v>
      </c>
      <c r="S87" s="115">
        <v>4.0</v>
      </c>
      <c r="T87" s="115">
        <v>6.0</v>
      </c>
      <c r="U87" s="115">
        <v>5.0</v>
      </c>
      <c r="V87" s="114"/>
      <c r="W87" s="114"/>
      <c r="X87" s="115" t="s">
        <v>212</v>
      </c>
      <c r="Y87" s="114"/>
      <c r="Z87" s="118">
        <v>18.0</v>
      </c>
      <c r="AA87" s="117">
        <v>22.0</v>
      </c>
      <c r="AB87" s="117">
        <v>19.0</v>
      </c>
      <c r="AC87" s="115">
        <v>6.0</v>
      </c>
      <c r="AD87" s="115">
        <v>22.0</v>
      </c>
      <c r="AE87" s="117">
        <v>23.0</v>
      </c>
      <c r="AF87" s="115">
        <v>12.0</v>
      </c>
      <c r="AG87" s="118">
        <v>18.0</v>
      </c>
      <c r="AH87" s="115">
        <v>13.0</v>
      </c>
      <c r="AI87" s="115">
        <v>13.0</v>
      </c>
      <c r="AJ87" s="115">
        <v>9.0</v>
      </c>
      <c r="AK87" s="115">
        <v>13.0</v>
      </c>
      <c r="AL87" s="115">
        <v>9.0</v>
      </c>
      <c r="AM87" s="115">
        <v>7.0</v>
      </c>
      <c r="AN87" s="118">
        <v>20.0</v>
      </c>
      <c r="AO87" s="115">
        <v>12.0</v>
      </c>
      <c r="AP87" s="115">
        <v>11.0</v>
      </c>
      <c r="AQ87" s="115">
        <v>12.0</v>
      </c>
      <c r="AR87" s="117">
        <v>20.0</v>
      </c>
      <c r="AS87" s="115">
        <v>8.0</v>
      </c>
      <c r="AT87" s="115">
        <v>15.0</v>
      </c>
      <c r="AU87" s="115">
        <v>9.0</v>
      </c>
      <c r="AV87" s="115">
        <v>10.0</v>
      </c>
      <c r="AW87" s="115">
        <v>10.0</v>
      </c>
      <c r="AX87" s="115">
        <v>13.0</v>
      </c>
      <c r="AY87" s="126">
        <v>16.0</v>
      </c>
      <c r="AZ87" s="115">
        <v>6.0</v>
      </c>
      <c r="BA87" s="115">
        <v>13.0</v>
      </c>
      <c r="BB87" s="115">
        <v>10.0</v>
      </c>
      <c r="BC87" s="115">
        <v>24.0</v>
      </c>
      <c r="BD87" s="115">
        <v>4.0</v>
      </c>
      <c r="BE87" s="114"/>
      <c r="BF87" s="115">
        <v>10.0</v>
      </c>
      <c r="BG87" s="115">
        <v>11.0</v>
      </c>
      <c r="BH87" s="115">
        <v>14.0</v>
      </c>
      <c r="BI87" s="115">
        <v>3.0</v>
      </c>
      <c r="BJ87" s="114"/>
      <c r="BK87" s="114"/>
      <c r="BL87" s="114"/>
      <c r="BM87" s="115">
        <v>11.0</v>
      </c>
      <c r="BN87" s="115">
        <v>10.0</v>
      </c>
      <c r="BO87" s="115">
        <v>10.0</v>
      </c>
      <c r="BP87" s="115">
        <v>10.0</v>
      </c>
      <c r="BQ87" s="115">
        <v>8.0</v>
      </c>
      <c r="BR87" s="115">
        <v>11.0</v>
      </c>
      <c r="BS87" s="115">
        <v>6.0</v>
      </c>
      <c r="BT87" s="115">
        <v>10.0</v>
      </c>
      <c r="BU87" s="115">
        <v>5.0</v>
      </c>
      <c r="BV87" s="115">
        <v>9.0</v>
      </c>
      <c r="BW87" s="115">
        <v>17.0</v>
      </c>
      <c r="BX87" s="115">
        <v>10.0</v>
      </c>
      <c r="BY87" s="115">
        <v>6.0</v>
      </c>
      <c r="BZ87" s="114"/>
      <c r="CA87" s="114"/>
      <c r="CB87" s="115">
        <v>10.0</v>
      </c>
      <c r="CC87" s="115">
        <v>7.0</v>
      </c>
      <c r="CD87" s="115">
        <v>9.0</v>
      </c>
      <c r="CE87" s="115">
        <v>8.0</v>
      </c>
      <c r="CF87" s="115">
        <v>6.0</v>
      </c>
      <c r="CG87" s="115">
        <v>11.0</v>
      </c>
      <c r="CH87" s="115">
        <v>5.0</v>
      </c>
      <c r="CI87" s="115">
        <v>5.0</v>
      </c>
      <c r="CJ87" s="115">
        <v>8.0</v>
      </c>
      <c r="CK87" s="115">
        <v>7.0</v>
      </c>
      <c r="CL87" s="115">
        <v>11.0</v>
      </c>
      <c r="CM87" s="115">
        <v>9.0</v>
      </c>
      <c r="CN87" s="115">
        <v>2.0</v>
      </c>
      <c r="CO87" s="114"/>
      <c r="CP87" s="115">
        <v>8.0</v>
      </c>
      <c r="CQ87" s="115">
        <v>5.0</v>
      </c>
      <c r="CR87" s="115">
        <v>8.0</v>
      </c>
      <c r="CS87" s="115">
        <v>7.0</v>
      </c>
      <c r="CT87" s="115">
        <v>8.0</v>
      </c>
      <c r="CU87" s="115">
        <v>4.0</v>
      </c>
      <c r="CV87" s="115">
        <v>9.0</v>
      </c>
      <c r="CW87" s="115">
        <v>6.0</v>
      </c>
      <c r="CX87" s="115">
        <v>7.0</v>
      </c>
      <c r="CY87" s="115">
        <v>4.0</v>
      </c>
      <c r="CZ87" s="114"/>
      <c r="DA87" s="114"/>
      <c r="DB87" s="114"/>
      <c r="DC87" s="114"/>
      <c r="DD87" s="115">
        <v>5.0</v>
      </c>
      <c r="DE87" s="114"/>
      <c r="DF87" s="114"/>
      <c r="DG87" s="114"/>
      <c r="DH87" s="114"/>
      <c r="DI87" s="114"/>
      <c r="DJ87" s="114"/>
      <c r="DK87" s="114"/>
      <c r="DL87" s="114"/>
      <c r="DM87" s="114"/>
      <c r="DN87" s="114"/>
      <c r="DO87" s="114"/>
      <c r="DP87" s="114"/>
      <c r="DQ87" s="114"/>
      <c r="DR87" s="114"/>
      <c r="DS87" s="114"/>
      <c r="DT87" s="114"/>
      <c r="DU87" s="114"/>
      <c r="DV87" s="114"/>
      <c r="DW87" s="114"/>
      <c r="DX87" s="114"/>
      <c r="DY87" s="114"/>
      <c r="DZ87" s="114"/>
      <c r="EA87" s="114"/>
      <c r="EB87" s="114"/>
      <c r="EC87" s="114"/>
      <c r="ED87" s="114"/>
      <c r="EE87" s="114"/>
      <c r="EF87" s="114"/>
      <c r="EG87" s="114"/>
      <c r="EH87" s="114"/>
      <c r="EI87" s="114"/>
      <c r="EJ87" s="114"/>
      <c r="EK87" s="114"/>
      <c r="EL87" s="114"/>
      <c r="EM87" s="114"/>
      <c r="EN87" s="120">
        <f t="shared" si="11"/>
        <v>81</v>
      </c>
      <c r="EO87" s="115">
        <f t="shared" si="12"/>
        <v>832</v>
      </c>
      <c r="EP87" s="115">
        <f t="shared" si="7"/>
        <v>10.27160494</v>
      </c>
      <c r="EQ87" s="121">
        <f t="shared" si="8"/>
        <v>10.27</v>
      </c>
      <c r="ER87" s="115"/>
      <c r="ES87" s="15"/>
      <c r="ET87" s="47"/>
      <c r="EV87" s="10"/>
      <c r="EW87" s="47"/>
      <c r="EX87" s="15"/>
      <c r="EY87" s="10"/>
      <c r="EZ87" s="10"/>
      <c r="FA87" s="48"/>
    </row>
    <row r="88" ht="35.25" customHeight="1">
      <c r="A88" s="114"/>
      <c r="B88" s="115" t="s">
        <v>31</v>
      </c>
      <c r="C88" s="116" t="s">
        <v>244</v>
      </c>
      <c r="D88" s="114"/>
      <c r="E88" s="114"/>
      <c r="F88" s="115">
        <v>9.0</v>
      </c>
      <c r="G88" s="118">
        <v>15.0</v>
      </c>
      <c r="H88" s="118">
        <v>24.0</v>
      </c>
      <c r="I88" s="115">
        <v>8.0</v>
      </c>
      <c r="J88" s="115">
        <v>16.0</v>
      </c>
      <c r="K88" s="115">
        <v>16.0</v>
      </c>
      <c r="L88" s="115">
        <v>18.0</v>
      </c>
      <c r="M88" s="115">
        <v>9.0</v>
      </c>
      <c r="N88" s="115">
        <v>11.0</v>
      </c>
      <c r="O88" s="115">
        <v>8.0</v>
      </c>
      <c r="P88" s="115">
        <v>8.0</v>
      </c>
      <c r="Q88" s="115">
        <v>10.0</v>
      </c>
      <c r="R88" s="115">
        <v>8.0</v>
      </c>
      <c r="S88" s="114"/>
      <c r="T88" s="115">
        <v>5.0</v>
      </c>
      <c r="U88" s="115">
        <v>10.0</v>
      </c>
      <c r="V88" s="115">
        <v>10.0</v>
      </c>
      <c r="W88" s="115">
        <v>10.0</v>
      </c>
      <c r="X88" s="115">
        <v>9.0</v>
      </c>
      <c r="Y88" s="115">
        <v>10.0</v>
      </c>
      <c r="Z88" s="115">
        <v>10.0</v>
      </c>
      <c r="AA88" s="115">
        <v>10.0</v>
      </c>
      <c r="AB88" s="126">
        <v>22.0</v>
      </c>
      <c r="AC88" s="117">
        <v>15.0</v>
      </c>
      <c r="AD88" s="115">
        <v>5.0</v>
      </c>
      <c r="AE88" s="115">
        <v>9.0</v>
      </c>
      <c r="AF88" s="115">
        <v>14.0</v>
      </c>
      <c r="AG88" s="115">
        <v>11.0</v>
      </c>
      <c r="AH88" s="115">
        <v>10.0</v>
      </c>
      <c r="AI88" s="115">
        <v>13.0</v>
      </c>
      <c r="AJ88" s="115">
        <v>10.0</v>
      </c>
      <c r="AK88" s="115">
        <v>14.0</v>
      </c>
      <c r="AL88" s="115">
        <v>6.0</v>
      </c>
      <c r="AM88" s="115">
        <v>9.0</v>
      </c>
      <c r="AN88" s="115">
        <v>11.0</v>
      </c>
      <c r="AO88" s="115">
        <v>18.0</v>
      </c>
      <c r="AP88" s="115">
        <v>21.0</v>
      </c>
      <c r="AQ88" s="115">
        <v>10.0</v>
      </c>
      <c r="AR88" s="115">
        <v>18.0</v>
      </c>
      <c r="AS88" s="117">
        <v>24.0</v>
      </c>
      <c r="AT88" s="115">
        <v>10.0</v>
      </c>
      <c r="AU88" s="115">
        <v>11.0</v>
      </c>
      <c r="AV88" s="115">
        <v>7.0</v>
      </c>
      <c r="AW88" s="115">
        <v>9.0</v>
      </c>
      <c r="AX88" s="117">
        <v>27.0</v>
      </c>
      <c r="AY88" s="115">
        <v>8.0</v>
      </c>
      <c r="AZ88" s="115">
        <v>10.0</v>
      </c>
      <c r="BA88" s="115">
        <v>16.0</v>
      </c>
      <c r="BB88" s="115">
        <v>6.0</v>
      </c>
      <c r="BC88" s="115">
        <v>0.0</v>
      </c>
      <c r="BD88" s="115">
        <v>7.0</v>
      </c>
      <c r="BE88" s="115">
        <v>7.0</v>
      </c>
      <c r="BF88" s="114"/>
      <c r="BG88" s="115">
        <v>8.0</v>
      </c>
      <c r="BH88" s="115">
        <v>6.0</v>
      </c>
      <c r="BI88" s="115">
        <v>10.0</v>
      </c>
      <c r="BJ88" s="115">
        <v>7.0</v>
      </c>
      <c r="BK88" s="115">
        <v>7.0</v>
      </c>
      <c r="BL88" s="115">
        <v>6.0</v>
      </c>
      <c r="BM88" s="115">
        <v>7.0</v>
      </c>
      <c r="BN88" s="115">
        <v>8.0</v>
      </c>
      <c r="BO88" s="115">
        <v>10.0</v>
      </c>
      <c r="BP88" s="115">
        <v>7.0</v>
      </c>
      <c r="BQ88" s="115">
        <v>8.0</v>
      </c>
      <c r="BR88" s="115">
        <v>8.0</v>
      </c>
      <c r="BS88" s="115">
        <v>8.0</v>
      </c>
      <c r="BT88" s="115">
        <v>9.0</v>
      </c>
      <c r="BU88" s="115">
        <v>20.0</v>
      </c>
      <c r="BV88" s="115">
        <v>9.0</v>
      </c>
      <c r="BW88" s="115">
        <v>5.0</v>
      </c>
      <c r="BX88" s="115">
        <v>8.0</v>
      </c>
      <c r="BY88" s="115">
        <v>8.0</v>
      </c>
      <c r="BZ88" s="115">
        <v>5.0</v>
      </c>
      <c r="CA88" s="115">
        <v>6.0</v>
      </c>
      <c r="CB88" s="115">
        <v>4.0</v>
      </c>
      <c r="CC88" s="114"/>
      <c r="CD88" s="115">
        <v>5.0</v>
      </c>
      <c r="CE88" s="114"/>
      <c r="CF88" s="115">
        <v>3.0</v>
      </c>
      <c r="CG88" s="114"/>
      <c r="CH88" s="115">
        <v>8.0</v>
      </c>
      <c r="CI88" s="115">
        <v>6.0</v>
      </c>
      <c r="CJ88" s="115">
        <v>9.0</v>
      </c>
      <c r="CK88" s="115">
        <v>6.0</v>
      </c>
      <c r="CL88" s="115">
        <v>6.0</v>
      </c>
      <c r="CM88" s="114"/>
      <c r="CN88" s="114"/>
      <c r="CO88" s="114"/>
      <c r="CP88" s="114"/>
      <c r="CQ88" s="114"/>
      <c r="CR88" s="114"/>
      <c r="CS88" s="114"/>
      <c r="CT88" s="114"/>
      <c r="CU88" s="114"/>
      <c r="CV88" s="114"/>
      <c r="CW88" s="114"/>
      <c r="CX88" s="114"/>
      <c r="CY88" s="114"/>
      <c r="CZ88" s="114"/>
      <c r="DA88" s="114"/>
      <c r="DB88" s="114"/>
      <c r="DC88" s="114"/>
      <c r="DD88" s="114"/>
      <c r="DE88" s="114"/>
      <c r="DF88" s="114"/>
      <c r="DG88" s="114"/>
      <c r="DH88" s="114"/>
      <c r="DI88" s="114"/>
      <c r="DJ88" s="114"/>
      <c r="DK88" s="114"/>
      <c r="DL88" s="114"/>
      <c r="DM88" s="114"/>
      <c r="DN88" s="114"/>
      <c r="DO88" s="114"/>
      <c r="DP88" s="114"/>
      <c r="DQ88" s="114"/>
      <c r="DR88" s="114"/>
      <c r="DS88" s="114"/>
      <c r="DT88" s="114"/>
      <c r="DU88" s="114"/>
      <c r="DV88" s="114"/>
      <c r="DW88" s="114"/>
      <c r="DX88" s="114"/>
      <c r="DY88" s="114"/>
      <c r="DZ88" s="114"/>
      <c r="EA88" s="114"/>
      <c r="EB88" s="114"/>
      <c r="EC88" s="114"/>
      <c r="ED88" s="114"/>
      <c r="EE88" s="114"/>
      <c r="EF88" s="114"/>
      <c r="EG88" s="114"/>
      <c r="EH88" s="114"/>
      <c r="EI88" s="114"/>
      <c r="EJ88" s="114"/>
      <c r="EK88" s="114"/>
      <c r="EL88" s="114"/>
      <c r="EM88" s="114"/>
      <c r="EN88" s="120">
        <f t="shared" si="11"/>
        <v>80</v>
      </c>
      <c r="EO88" s="115">
        <f t="shared" si="12"/>
        <v>809</v>
      </c>
      <c r="EP88" s="115">
        <f t="shared" si="7"/>
        <v>10.1125</v>
      </c>
      <c r="EQ88" s="121">
        <f t="shared" si="8"/>
        <v>10.11</v>
      </c>
      <c r="ER88" s="115"/>
      <c r="ES88" s="10"/>
      <c r="ET88" s="47"/>
      <c r="EV88" s="10"/>
      <c r="EW88" s="47"/>
      <c r="EX88" s="10"/>
      <c r="EY88" s="10"/>
      <c r="EZ88" s="10"/>
      <c r="FA88" s="48"/>
    </row>
    <row r="89" ht="35.25" customHeight="1">
      <c r="A89" s="47"/>
      <c r="B89" s="10" t="s">
        <v>44</v>
      </c>
      <c r="C89" s="11" t="s">
        <v>245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132">
        <v>15.0</v>
      </c>
      <c r="AY89" s="10">
        <v>10.0</v>
      </c>
      <c r="AZ89" s="10">
        <v>7.0</v>
      </c>
      <c r="BA89" s="10">
        <v>13.0</v>
      </c>
      <c r="BB89" s="10">
        <v>8.0</v>
      </c>
      <c r="BC89" s="10">
        <v>8.0</v>
      </c>
      <c r="BD89" s="10">
        <v>8.0</v>
      </c>
      <c r="BE89" s="10">
        <v>10.0</v>
      </c>
      <c r="BF89" s="10">
        <v>17.0</v>
      </c>
      <c r="BG89" s="10">
        <v>6.0</v>
      </c>
      <c r="BH89" s="10">
        <v>10.0</v>
      </c>
      <c r="BI89" s="10">
        <v>18.0</v>
      </c>
      <c r="BJ89" s="10">
        <v>22.0</v>
      </c>
      <c r="BK89" s="10">
        <v>11.0</v>
      </c>
      <c r="BL89" s="10">
        <v>5.0</v>
      </c>
      <c r="BM89" s="10">
        <v>7.0</v>
      </c>
      <c r="BN89" s="10">
        <v>10.0</v>
      </c>
      <c r="BO89" s="10">
        <v>6.0</v>
      </c>
      <c r="BP89" s="10">
        <v>6.0</v>
      </c>
      <c r="BQ89" s="10">
        <v>10.0</v>
      </c>
      <c r="BR89" s="10">
        <v>7.0</v>
      </c>
      <c r="BS89" s="10">
        <v>6.0</v>
      </c>
      <c r="BT89" s="10">
        <v>8.0</v>
      </c>
      <c r="BU89" s="10">
        <v>9.0</v>
      </c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120">
        <f t="shared" si="11"/>
        <v>24</v>
      </c>
      <c r="EO89" s="115">
        <f t="shared" si="12"/>
        <v>237</v>
      </c>
      <c r="EP89" s="115">
        <f t="shared" si="7"/>
        <v>9.875</v>
      </c>
      <c r="EQ89" s="121">
        <f t="shared" si="8"/>
        <v>9.88</v>
      </c>
      <c r="ER89" s="115"/>
      <c r="ES89" s="10"/>
      <c r="ET89" s="47"/>
      <c r="EX89" s="10"/>
      <c r="EY89" s="10"/>
      <c r="EZ89" s="10"/>
      <c r="FA89" s="48"/>
    </row>
    <row r="90" ht="35.25" customHeight="1">
      <c r="A90" s="115" t="str">
        <f>image("http://sumo.or.jp/img/sumo_data/rikishi/60x60/20040026.jpg")</f>
        <v/>
      </c>
      <c r="B90" s="115" t="s">
        <v>31</v>
      </c>
      <c r="C90" s="116" t="s">
        <v>246</v>
      </c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36">
        <v>5.0</v>
      </c>
      <c r="BG90" s="136">
        <v>8.0</v>
      </c>
      <c r="BH90" s="136">
        <v>9.0</v>
      </c>
      <c r="BI90" s="136">
        <v>6.0</v>
      </c>
      <c r="BJ90" s="136">
        <v>5.0</v>
      </c>
      <c r="BK90" s="114"/>
      <c r="BL90" s="136">
        <v>8.0</v>
      </c>
      <c r="BM90" s="136">
        <v>5.0</v>
      </c>
      <c r="BN90" s="114"/>
      <c r="BO90" s="136">
        <v>6.0</v>
      </c>
      <c r="BP90" s="136">
        <v>10.0</v>
      </c>
      <c r="BQ90" s="136">
        <v>4.0</v>
      </c>
      <c r="BR90" s="136">
        <v>8.0</v>
      </c>
      <c r="BS90" s="136">
        <v>6.0</v>
      </c>
      <c r="BT90" s="136">
        <v>7.0</v>
      </c>
      <c r="BU90" s="136">
        <v>8.0</v>
      </c>
      <c r="BV90" s="136">
        <v>7.0</v>
      </c>
      <c r="BW90" s="135">
        <v>16.0</v>
      </c>
      <c r="BX90" s="136">
        <v>9.0</v>
      </c>
      <c r="BY90" s="136">
        <v>7.0</v>
      </c>
      <c r="BZ90" s="136">
        <v>4.0</v>
      </c>
      <c r="CA90" s="136">
        <v>6.0</v>
      </c>
      <c r="CB90" s="136">
        <v>9.0</v>
      </c>
      <c r="CC90" s="136">
        <v>10.0</v>
      </c>
      <c r="CD90" s="136">
        <v>9.0</v>
      </c>
      <c r="CE90" s="136">
        <v>5.0</v>
      </c>
      <c r="CF90" s="136">
        <v>9.0</v>
      </c>
      <c r="CG90" s="136">
        <v>5.0</v>
      </c>
      <c r="CH90" s="135">
        <v>16.0</v>
      </c>
      <c r="CI90" s="136">
        <v>9.0</v>
      </c>
      <c r="CJ90" s="136">
        <v>5.0</v>
      </c>
      <c r="CK90" s="136">
        <v>10.0</v>
      </c>
      <c r="CL90" s="136">
        <v>11.0</v>
      </c>
      <c r="CM90" s="136">
        <v>13.0</v>
      </c>
      <c r="CN90" s="136">
        <v>7.0</v>
      </c>
      <c r="CO90" s="136">
        <v>9.0</v>
      </c>
      <c r="CP90" s="136">
        <v>9.0</v>
      </c>
      <c r="CQ90" s="136">
        <v>8.0</v>
      </c>
      <c r="CR90" s="136">
        <v>7.0</v>
      </c>
      <c r="CS90" s="136">
        <v>7.0</v>
      </c>
      <c r="CT90" s="136">
        <v>8.0</v>
      </c>
      <c r="CU90" s="136">
        <v>7.0</v>
      </c>
      <c r="CV90" s="136">
        <v>9.0</v>
      </c>
      <c r="CW90" s="136">
        <v>7.0</v>
      </c>
      <c r="CX90" s="136">
        <v>7.0</v>
      </c>
      <c r="CY90" s="136">
        <v>6.0</v>
      </c>
      <c r="CZ90" s="136">
        <v>8.0</v>
      </c>
      <c r="DA90" s="136">
        <v>10.0</v>
      </c>
      <c r="DB90" s="135">
        <v>20.0</v>
      </c>
      <c r="DC90" s="136">
        <v>9.0</v>
      </c>
      <c r="DD90" s="136">
        <v>16.0</v>
      </c>
      <c r="DE90" s="136">
        <v>21.0</v>
      </c>
      <c r="DF90" s="136">
        <v>4.0</v>
      </c>
      <c r="DG90" s="136">
        <v>8.0</v>
      </c>
      <c r="DH90" s="136">
        <v>5.0</v>
      </c>
      <c r="DI90" s="136">
        <v>10.0</v>
      </c>
      <c r="DJ90" s="135">
        <v>19.0</v>
      </c>
      <c r="DK90" s="140">
        <v>40.0</v>
      </c>
      <c r="DL90" s="137">
        <v>22.0</v>
      </c>
      <c r="DM90" s="136">
        <v>10.0</v>
      </c>
      <c r="DN90" s="136">
        <v>7.0</v>
      </c>
      <c r="DO90" s="136">
        <v>10.0</v>
      </c>
      <c r="DP90" s="138">
        <v>20.0</v>
      </c>
      <c r="DQ90" s="136">
        <v>12.0</v>
      </c>
      <c r="DR90" s="136">
        <v>12.0</v>
      </c>
      <c r="DS90" s="136">
        <v>8.0</v>
      </c>
      <c r="DT90" s="136">
        <v>14.0</v>
      </c>
      <c r="DU90" s="137">
        <v>23.0</v>
      </c>
      <c r="DV90" s="136">
        <v>17.0</v>
      </c>
      <c r="DW90" s="126">
        <v>13.0</v>
      </c>
      <c r="DX90" s="136">
        <v>9.0</v>
      </c>
      <c r="DY90" s="136">
        <v>15.0</v>
      </c>
      <c r="DZ90" s="136">
        <v>8.0</v>
      </c>
      <c r="EA90" s="136">
        <v>8.0</v>
      </c>
      <c r="EB90" s="136">
        <v>3.0</v>
      </c>
      <c r="EC90" s="136">
        <v>11.0</v>
      </c>
      <c r="ED90" s="136">
        <v>12.0</v>
      </c>
      <c r="EE90" s="114">
        <v>3.0</v>
      </c>
      <c r="EF90" s="136">
        <v>10.0</v>
      </c>
      <c r="EG90" s="136">
        <v>4.0</v>
      </c>
      <c r="EH90" s="115"/>
      <c r="EI90" s="115"/>
      <c r="EJ90" s="115"/>
      <c r="EK90" s="115"/>
      <c r="EL90" s="115"/>
      <c r="EM90" s="115"/>
      <c r="EN90" s="120">
        <f t="shared" si="11"/>
        <v>78</v>
      </c>
      <c r="EO90" s="115">
        <f t="shared" si="12"/>
        <v>767</v>
      </c>
      <c r="EP90" s="115">
        <f t="shared" si="7"/>
        <v>9.833333333</v>
      </c>
      <c r="EQ90" s="121">
        <f t="shared" si="8"/>
        <v>9.83</v>
      </c>
      <c r="ER90" s="115"/>
      <c r="ES90" s="10"/>
      <c r="ET90" s="47"/>
      <c r="EX90" s="10"/>
      <c r="EY90" s="10"/>
      <c r="EZ90" s="10"/>
      <c r="FA90" s="48"/>
    </row>
    <row r="91" ht="35.25" customHeight="1">
      <c r="A91" s="114"/>
      <c r="B91" s="115" t="s">
        <v>22</v>
      </c>
      <c r="C91" s="116" t="s">
        <v>247</v>
      </c>
      <c r="D91" s="114"/>
      <c r="E91" s="114"/>
      <c r="F91" s="114"/>
      <c r="G91" s="114"/>
      <c r="H91" s="115">
        <v>8.0</v>
      </c>
      <c r="I91" s="115">
        <v>12.0</v>
      </c>
      <c r="J91" s="115">
        <v>9.0</v>
      </c>
      <c r="K91" s="126">
        <v>22.0</v>
      </c>
      <c r="L91" s="115">
        <v>12.0</v>
      </c>
      <c r="M91" s="126">
        <v>20.0</v>
      </c>
      <c r="N91" s="126">
        <v>16.0</v>
      </c>
      <c r="O91" s="115">
        <v>14.0</v>
      </c>
      <c r="P91" s="119">
        <v>34.0</v>
      </c>
      <c r="Q91" s="115">
        <v>3.0</v>
      </c>
      <c r="R91" s="114"/>
      <c r="S91" s="115">
        <v>11.0</v>
      </c>
      <c r="T91" s="115">
        <v>12.0</v>
      </c>
      <c r="U91" s="115">
        <v>9.0</v>
      </c>
      <c r="V91" s="115">
        <v>10.0</v>
      </c>
      <c r="W91" s="115">
        <v>10.0</v>
      </c>
      <c r="X91" s="115">
        <v>12.0</v>
      </c>
      <c r="Y91" s="115">
        <v>13.0</v>
      </c>
      <c r="Z91" s="115">
        <v>10.0</v>
      </c>
      <c r="AA91" s="115">
        <v>10.0</v>
      </c>
      <c r="AB91" s="115">
        <v>2.0</v>
      </c>
      <c r="AC91" s="114"/>
      <c r="AD91" s="115">
        <v>12.0</v>
      </c>
      <c r="AE91" s="115">
        <v>11.0</v>
      </c>
      <c r="AF91" s="115">
        <v>4.0</v>
      </c>
      <c r="AG91" s="114"/>
      <c r="AH91" s="115">
        <v>13.0</v>
      </c>
      <c r="AI91" s="115">
        <v>7.0</v>
      </c>
      <c r="AJ91" s="115">
        <v>12.0</v>
      </c>
      <c r="AK91" s="119">
        <v>20.0</v>
      </c>
      <c r="AL91" s="115">
        <v>10.0</v>
      </c>
      <c r="AM91" s="115">
        <v>6.0</v>
      </c>
      <c r="AN91" s="114"/>
      <c r="AO91" s="119">
        <v>18.0</v>
      </c>
      <c r="AP91" s="115">
        <v>10.0</v>
      </c>
      <c r="AQ91" s="115">
        <v>11.0</v>
      </c>
      <c r="AR91" s="115">
        <v>11.0</v>
      </c>
      <c r="AS91" s="115">
        <v>10.0</v>
      </c>
      <c r="AT91" s="115">
        <v>10.0</v>
      </c>
      <c r="AU91" s="115">
        <v>13.0</v>
      </c>
      <c r="AV91" s="115">
        <v>9.0</v>
      </c>
      <c r="AW91" s="115">
        <v>10.0</v>
      </c>
      <c r="AX91" s="115">
        <v>9.0</v>
      </c>
      <c r="AY91" s="115">
        <v>7.0</v>
      </c>
      <c r="AZ91" s="115">
        <v>8.0</v>
      </c>
      <c r="BA91" s="115">
        <v>6.0</v>
      </c>
      <c r="BB91" s="115">
        <v>10.0</v>
      </c>
      <c r="BC91" s="115">
        <v>3.0</v>
      </c>
      <c r="BD91" s="115">
        <v>10.0</v>
      </c>
      <c r="BE91" s="115">
        <v>11.0</v>
      </c>
      <c r="BF91" s="115">
        <v>4.0</v>
      </c>
      <c r="BG91" s="115">
        <v>9.0</v>
      </c>
      <c r="BH91" s="115">
        <v>10.0</v>
      </c>
      <c r="BI91" s="115">
        <v>9.0</v>
      </c>
      <c r="BJ91" s="115">
        <v>11.0</v>
      </c>
      <c r="BK91" s="115">
        <v>9.0</v>
      </c>
      <c r="BL91" s="115">
        <v>10.0</v>
      </c>
      <c r="BM91" s="115">
        <v>7.0</v>
      </c>
      <c r="BN91" s="115">
        <v>11.0</v>
      </c>
      <c r="BO91" s="115">
        <v>10.0</v>
      </c>
      <c r="BP91" s="115">
        <v>9.0</v>
      </c>
      <c r="BQ91" s="115">
        <v>11.0</v>
      </c>
      <c r="BR91" s="115">
        <v>0.0</v>
      </c>
      <c r="BS91" s="115">
        <v>9.0</v>
      </c>
      <c r="BT91" s="115">
        <v>6.0</v>
      </c>
      <c r="BU91" s="115">
        <v>9.0</v>
      </c>
      <c r="BV91" s="115">
        <v>9.0</v>
      </c>
      <c r="BW91" s="115">
        <v>8.0</v>
      </c>
      <c r="BX91" s="115">
        <v>8.0</v>
      </c>
      <c r="BY91" s="115">
        <v>2.0</v>
      </c>
      <c r="BZ91" s="115">
        <v>8.0</v>
      </c>
      <c r="CA91" s="115">
        <v>9.0</v>
      </c>
      <c r="CB91" s="115">
        <v>2.0</v>
      </c>
      <c r="CC91" s="115">
        <v>2.0</v>
      </c>
      <c r="CD91" s="115">
        <v>0.0</v>
      </c>
      <c r="CE91" s="114"/>
      <c r="CF91" s="114"/>
      <c r="CG91" s="114"/>
      <c r="CH91" s="114"/>
      <c r="CI91" s="114"/>
      <c r="CJ91" s="114"/>
      <c r="CK91" s="114"/>
      <c r="CL91" s="114"/>
      <c r="CM91" s="114"/>
      <c r="CN91" s="114"/>
      <c r="CO91" s="114"/>
      <c r="CP91" s="114"/>
      <c r="CQ91" s="114"/>
      <c r="CR91" s="114"/>
      <c r="CS91" s="114"/>
      <c r="CT91" s="114"/>
      <c r="CU91" s="114"/>
      <c r="CV91" s="114"/>
      <c r="CW91" s="114"/>
      <c r="CX91" s="114"/>
      <c r="CY91" s="114"/>
      <c r="CZ91" s="114"/>
      <c r="DA91" s="114"/>
      <c r="DB91" s="114"/>
      <c r="DC91" s="114"/>
      <c r="DD91" s="114"/>
      <c r="DE91" s="114"/>
      <c r="DF91" s="114"/>
      <c r="DG91" s="114"/>
      <c r="DH91" s="114"/>
      <c r="DI91" s="114"/>
      <c r="DJ91" s="114"/>
      <c r="DK91" s="114"/>
      <c r="DL91" s="114"/>
      <c r="DM91" s="114"/>
      <c r="DN91" s="114"/>
      <c r="DO91" s="114"/>
      <c r="DP91" s="114"/>
      <c r="DQ91" s="114"/>
      <c r="DR91" s="114"/>
      <c r="DS91" s="114"/>
      <c r="DT91" s="114"/>
      <c r="DU91" s="114"/>
      <c r="DV91" s="114"/>
      <c r="DW91" s="114"/>
      <c r="DX91" s="114"/>
      <c r="DY91" s="114"/>
      <c r="DZ91" s="114"/>
      <c r="EA91" s="114"/>
      <c r="EB91" s="114"/>
      <c r="EC91" s="114"/>
      <c r="ED91" s="114"/>
      <c r="EE91" s="114"/>
      <c r="EF91" s="114"/>
      <c r="EG91" s="114"/>
      <c r="EH91" s="114"/>
      <c r="EI91" s="114"/>
      <c r="EJ91" s="114"/>
      <c r="EK91" s="114"/>
      <c r="EL91" s="114"/>
      <c r="EM91" s="114"/>
      <c r="EN91" s="120">
        <f t="shared" si="11"/>
        <v>71</v>
      </c>
      <c r="EO91" s="115">
        <f t="shared" si="12"/>
        <v>692</v>
      </c>
      <c r="EP91" s="115">
        <f t="shared" si="7"/>
        <v>9.746478873</v>
      </c>
      <c r="EQ91" s="121">
        <f t="shared" si="8"/>
        <v>9.75</v>
      </c>
      <c r="ER91" s="115"/>
      <c r="ES91" s="10"/>
      <c r="ET91" s="47"/>
      <c r="EU91" s="47"/>
      <c r="EV91" s="10"/>
      <c r="EW91" s="47"/>
      <c r="EX91" s="47"/>
      <c r="EY91" s="47"/>
      <c r="EZ91" s="47"/>
      <c r="FA91" s="47"/>
      <c r="FB91" s="47"/>
      <c r="FC91" s="47"/>
    </row>
    <row r="92" ht="35.25" customHeight="1">
      <c r="A92" s="114"/>
      <c r="B92" s="115" t="s">
        <v>31</v>
      </c>
      <c r="C92" s="115" t="s">
        <v>248</v>
      </c>
      <c r="D92" s="114"/>
      <c r="E92" s="114"/>
      <c r="F92" s="114"/>
      <c r="G92" s="114"/>
      <c r="H92" s="114"/>
      <c r="I92" s="114"/>
      <c r="J92" s="115">
        <v>9.0</v>
      </c>
      <c r="K92" s="115">
        <v>6.0</v>
      </c>
      <c r="L92" s="114"/>
      <c r="M92" s="115">
        <v>4.0</v>
      </c>
      <c r="N92" s="114"/>
      <c r="O92" s="114"/>
      <c r="P92" s="114"/>
      <c r="Q92" s="114"/>
      <c r="R92" s="115">
        <v>9.0</v>
      </c>
      <c r="S92" s="115">
        <v>7.0</v>
      </c>
      <c r="T92" s="115">
        <v>8.0</v>
      </c>
      <c r="U92" s="115">
        <v>6.0</v>
      </c>
      <c r="V92" s="118">
        <v>16.0</v>
      </c>
      <c r="W92" s="115">
        <v>9.0</v>
      </c>
      <c r="X92" s="115">
        <v>7.0</v>
      </c>
      <c r="Y92" s="115">
        <v>9.0</v>
      </c>
      <c r="Z92" s="115">
        <v>4.0</v>
      </c>
      <c r="AA92" s="115">
        <v>7.0</v>
      </c>
      <c r="AB92" s="115">
        <v>13.0</v>
      </c>
      <c r="AC92" s="115">
        <v>8.0</v>
      </c>
      <c r="AD92" s="115">
        <v>6.0</v>
      </c>
      <c r="AE92" s="115">
        <v>8.0</v>
      </c>
      <c r="AF92" s="115">
        <v>12.0</v>
      </c>
      <c r="AG92" s="115">
        <v>9.0</v>
      </c>
      <c r="AH92" s="115">
        <v>6.0</v>
      </c>
      <c r="AI92" s="115">
        <v>7.0</v>
      </c>
      <c r="AJ92" s="115">
        <v>9.0</v>
      </c>
      <c r="AK92" s="115">
        <v>8.0</v>
      </c>
      <c r="AL92" s="115">
        <v>14.0</v>
      </c>
      <c r="AM92" s="115">
        <v>10.0</v>
      </c>
      <c r="AN92" s="115">
        <v>17.0</v>
      </c>
      <c r="AO92" s="118">
        <v>23.0</v>
      </c>
      <c r="AP92" s="118">
        <v>21.0</v>
      </c>
      <c r="AQ92" s="115">
        <v>8.0</v>
      </c>
      <c r="AR92" s="118">
        <v>27.0</v>
      </c>
      <c r="AS92" s="115">
        <v>6.0</v>
      </c>
      <c r="AT92" s="115">
        <v>14.0</v>
      </c>
      <c r="AU92" s="115">
        <v>19.0</v>
      </c>
      <c r="AV92" s="115">
        <v>9.0</v>
      </c>
      <c r="AW92" s="115">
        <v>15.0</v>
      </c>
      <c r="AX92" s="115">
        <v>10.0</v>
      </c>
      <c r="AY92" s="115">
        <v>11.0</v>
      </c>
      <c r="AZ92" s="115">
        <v>13.0</v>
      </c>
      <c r="BA92" s="115">
        <v>10.0</v>
      </c>
      <c r="BB92" s="115">
        <v>6.0</v>
      </c>
      <c r="BC92" s="115">
        <v>9.0</v>
      </c>
      <c r="BD92" s="115">
        <v>17.0</v>
      </c>
      <c r="BE92" s="115">
        <v>11.0</v>
      </c>
      <c r="BF92" s="115">
        <v>4.0</v>
      </c>
      <c r="BG92" s="115">
        <v>14.0</v>
      </c>
      <c r="BH92" s="115">
        <v>6.0</v>
      </c>
      <c r="BI92" s="115">
        <v>6.0</v>
      </c>
      <c r="BJ92" s="115">
        <v>6.0</v>
      </c>
      <c r="BK92" s="115">
        <v>10.0</v>
      </c>
      <c r="BL92" s="115">
        <v>22.0</v>
      </c>
      <c r="BM92" s="115">
        <v>7.0</v>
      </c>
      <c r="BN92" s="114"/>
      <c r="BO92" s="115" t="s">
        <v>212</v>
      </c>
      <c r="BP92" s="118">
        <v>18.0</v>
      </c>
      <c r="BQ92" s="115">
        <v>6.0</v>
      </c>
      <c r="BR92" s="115">
        <v>10.0</v>
      </c>
      <c r="BS92" s="115">
        <v>11.0</v>
      </c>
      <c r="BT92" s="115">
        <v>11.0</v>
      </c>
      <c r="BU92" s="115">
        <v>10.0</v>
      </c>
      <c r="BV92" s="115">
        <v>12.0</v>
      </c>
      <c r="BW92" s="115">
        <v>11.0</v>
      </c>
      <c r="BX92" s="115">
        <v>15.0</v>
      </c>
      <c r="BY92" s="115">
        <v>11.0</v>
      </c>
      <c r="BZ92" s="115">
        <v>16.0</v>
      </c>
      <c r="CA92" s="115">
        <v>10.0</v>
      </c>
      <c r="CB92" s="115">
        <v>10.0</v>
      </c>
      <c r="CC92" s="115">
        <v>8.0</v>
      </c>
      <c r="CD92" s="115">
        <v>9.0</v>
      </c>
      <c r="CE92" s="115">
        <v>3.0</v>
      </c>
      <c r="CF92" s="115">
        <v>9.0</v>
      </c>
      <c r="CG92" s="115">
        <v>13.0</v>
      </c>
      <c r="CH92" s="115">
        <v>4.0</v>
      </c>
      <c r="CI92" s="115">
        <v>9.0</v>
      </c>
      <c r="CJ92" s="115">
        <v>6.0</v>
      </c>
      <c r="CK92" s="115">
        <v>8.0</v>
      </c>
      <c r="CL92" s="115">
        <v>4.0</v>
      </c>
      <c r="CM92" s="115">
        <v>11.0</v>
      </c>
      <c r="CN92" s="115">
        <v>7.0</v>
      </c>
      <c r="CO92" s="115">
        <v>9.0</v>
      </c>
      <c r="CP92" s="115">
        <v>6.0</v>
      </c>
      <c r="CQ92" s="119">
        <v>27.0</v>
      </c>
      <c r="CR92" s="115">
        <v>2.0</v>
      </c>
      <c r="CS92" s="115">
        <v>10.0</v>
      </c>
      <c r="CT92" s="115">
        <v>10.0</v>
      </c>
      <c r="CU92" s="115">
        <v>4.0</v>
      </c>
      <c r="CV92" s="115">
        <v>7.0</v>
      </c>
      <c r="CW92" s="115">
        <v>9.0</v>
      </c>
      <c r="CX92" s="115">
        <v>7.0</v>
      </c>
      <c r="CY92" s="115">
        <v>8.0</v>
      </c>
      <c r="CZ92" s="115">
        <v>9.0</v>
      </c>
      <c r="DA92" s="115">
        <v>7.0</v>
      </c>
      <c r="DB92" s="115">
        <v>9.0</v>
      </c>
      <c r="DC92" s="115">
        <v>3.0</v>
      </c>
      <c r="DD92" s="115">
        <v>6.0</v>
      </c>
      <c r="DE92" s="115">
        <v>8.0</v>
      </c>
      <c r="DF92" s="118">
        <v>15.0</v>
      </c>
      <c r="DG92" s="115">
        <v>5.0</v>
      </c>
      <c r="DH92" s="115">
        <v>6.0</v>
      </c>
      <c r="DI92" s="115">
        <v>8.0</v>
      </c>
      <c r="DJ92" s="115">
        <v>3.0</v>
      </c>
      <c r="DK92" s="114"/>
      <c r="DL92" s="114"/>
      <c r="DM92" s="114"/>
      <c r="DN92" s="114"/>
      <c r="DO92" s="114"/>
      <c r="DP92" s="114"/>
      <c r="DQ92" s="114"/>
      <c r="DR92" s="114"/>
      <c r="DS92" s="114"/>
      <c r="DT92" s="114"/>
      <c r="DU92" s="114"/>
      <c r="DV92" s="114"/>
      <c r="DW92" s="114"/>
      <c r="DX92" s="114"/>
      <c r="DY92" s="114"/>
      <c r="DZ92" s="114"/>
      <c r="EA92" s="114"/>
      <c r="EB92" s="114"/>
      <c r="EC92" s="114"/>
      <c r="ED92" s="114"/>
      <c r="EE92" s="114"/>
      <c r="EF92" s="114"/>
      <c r="EG92" s="114"/>
      <c r="EH92" s="114"/>
      <c r="EI92" s="114"/>
      <c r="EJ92" s="114"/>
      <c r="EK92" s="114"/>
      <c r="EL92" s="114"/>
      <c r="EM92" s="114"/>
      <c r="EN92" s="120">
        <f t="shared" si="11"/>
        <v>98</v>
      </c>
      <c r="EO92" s="115">
        <f t="shared" si="12"/>
        <v>952</v>
      </c>
      <c r="EP92" s="115">
        <f t="shared" si="7"/>
        <v>9.714285714</v>
      </c>
      <c r="EQ92" s="121">
        <f t="shared" si="8"/>
        <v>9.71</v>
      </c>
      <c r="ER92" s="115"/>
      <c r="ES92" s="10"/>
      <c r="ET92" s="47"/>
      <c r="EU92" s="47"/>
      <c r="EV92" s="10"/>
      <c r="EW92" s="47"/>
      <c r="EX92" s="47"/>
      <c r="EY92" s="47"/>
      <c r="EZ92" s="47"/>
      <c r="FA92" s="47"/>
      <c r="FB92" s="47"/>
      <c r="FC92" s="47"/>
    </row>
    <row r="93" ht="35.25" customHeight="1">
      <c r="A93" s="114"/>
      <c r="B93" s="115" t="s">
        <v>31</v>
      </c>
      <c r="C93" s="115" t="s">
        <v>249</v>
      </c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5">
        <v>7.0</v>
      </c>
      <c r="AB93" s="114"/>
      <c r="AC93" s="118">
        <v>16.0</v>
      </c>
      <c r="AD93" s="115">
        <v>10.0</v>
      </c>
      <c r="AE93" s="118">
        <v>20.0</v>
      </c>
      <c r="AF93" s="115">
        <v>8.0</v>
      </c>
      <c r="AG93" s="115">
        <v>11.0</v>
      </c>
      <c r="AH93" s="115">
        <v>6.0</v>
      </c>
      <c r="AI93" s="115">
        <v>6.0</v>
      </c>
      <c r="AJ93" s="115">
        <v>5.0</v>
      </c>
      <c r="AK93" s="115">
        <v>11.0</v>
      </c>
      <c r="AL93" s="115">
        <v>10.0</v>
      </c>
      <c r="AM93" s="115">
        <v>5.0</v>
      </c>
      <c r="AN93" s="115">
        <v>8.0</v>
      </c>
      <c r="AO93" s="115">
        <v>15.0</v>
      </c>
      <c r="AP93" s="115">
        <v>12.0</v>
      </c>
      <c r="AQ93" s="115">
        <v>9.0</v>
      </c>
      <c r="AR93" s="115">
        <v>9.0</v>
      </c>
      <c r="AS93" s="118">
        <v>27.0</v>
      </c>
      <c r="AT93" s="115">
        <v>6.0</v>
      </c>
      <c r="AU93" s="115">
        <v>9.0</v>
      </c>
      <c r="AV93" s="126">
        <v>25.0</v>
      </c>
      <c r="AW93" s="115">
        <v>7.0</v>
      </c>
      <c r="AX93" s="115">
        <v>11.0</v>
      </c>
      <c r="AY93" s="115">
        <v>13.0</v>
      </c>
      <c r="AZ93" s="115">
        <v>5.0</v>
      </c>
      <c r="BA93" s="118">
        <v>17.0</v>
      </c>
      <c r="BB93" s="115">
        <v>8.0</v>
      </c>
      <c r="BC93" s="115">
        <v>5.0</v>
      </c>
      <c r="BD93" s="115">
        <v>12.0</v>
      </c>
      <c r="BE93" s="115">
        <v>15.0</v>
      </c>
      <c r="BF93" s="115">
        <v>9.0</v>
      </c>
      <c r="BG93" s="115">
        <v>9.0</v>
      </c>
      <c r="BH93" s="115">
        <v>7.0</v>
      </c>
      <c r="BI93" s="118">
        <v>16.0</v>
      </c>
      <c r="BJ93" s="115">
        <v>6.0</v>
      </c>
      <c r="BK93" s="115">
        <v>2.0</v>
      </c>
      <c r="BL93" s="115">
        <v>10.0</v>
      </c>
      <c r="BM93" s="115">
        <v>10.0</v>
      </c>
      <c r="BN93" s="115">
        <v>9.0</v>
      </c>
      <c r="BO93" s="115">
        <v>6.0</v>
      </c>
      <c r="BP93" s="115">
        <v>8.0</v>
      </c>
      <c r="BQ93" s="115">
        <v>4.0</v>
      </c>
      <c r="BR93" s="115">
        <v>3.0</v>
      </c>
      <c r="BS93" s="114"/>
      <c r="BT93" s="115">
        <v>9.0</v>
      </c>
      <c r="BU93" s="115">
        <v>7.0</v>
      </c>
      <c r="BV93" s="115">
        <v>7.0</v>
      </c>
      <c r="BW93" s="115">
        <v>6.0</v>
      </c>
      <c r="BX93" s="115">
        <v>11.0</v>
      </c>
      <c r="BY93" s="115">
        <v>8.0</v>
      </c>
      <c r="BZ93" s="115">
        <v>7.0</v>
      </c>
      <c r="CA93" s="115">
        <v>9.0</v>
      </c>
      <c r="CB93" s="115">
        <v>11.0</v>
      </c>
      <c r="CC93" s="115">
        <v>4.0</v>
      </c>
      <c r="CD93" s="115">
        <v>7.0</v>
      </c>
      <c r="CE93" s="115">
        <v>6.0</v>
      </c>
      <c r="CF93" s="115">
        <v>5.0</v>
      </c>
      <c r="CG93" s="114"/>
      <c r="CH93" s="114"/>
      <c r="CI93" s="114"/>
      <c r="CJ93" s="114"/>
      <c r="CK93" s="114"/>
      <c r="CL93" s="114"/>
      <c r="CM93" s="114"/>
      <c r="CN93" s="114"/>
      <c r="CO93" s="114"/>
      <c r="CP93" s="114"/>
      <c r="CQ93" s="114"/>
      <c r="CR93" s="114"/>
      <c r="CS93" s="114"/>
      <c r="CT93" s="114"/>
      <c r="CU93" s="114"/>
      <c r="CV93" s="114"/>
      <c r="CW93" s="114"/>
      <c r="CX93" s="114"/>
      <c r="CY93" s="114"/>
      <c r="CZ93" s="114"/>
      <c r="DA93" s="114"/>
      <c r="DB93" s="114"/>
      <c r="DC93" s="114"/>
      <c r="DD93" s="114"/>
      <c r="DE93" s="114"/>
      <c r="DF93" s="114"/>
      <c r="DG93" s="114"/>
      <c r="DH93" s="114"/>
      <c r="DI93" s="114"/>
      <c r="DJ93" s="114"/>
      <c r="DK93" s="114"/>
      <c r="DL93" s="114"/>
      <c r="DM93" s="114"/>
      <c r="DN93" s="114"/>
      <c r="DO93" s="114"/>
      <c r="DP93" s="114"/>
      <c r="DQ93" s="114"/>
      <c r="DR93" s="114"/>
      <c r="DS93" s="114"/>
      <c r="DT93" s="114"/>
      <c r="DU93" s="114"/>
      <c r="DV93" s="114"/>
      <c r="DW93" s="114"/>
      <c r="DX93" s="114"/>
      <c r="DY93" s="114"/>
      <c r="DZ93" s="114"/>
      <c r="EA93" s="114"/>
      <c r="EB93" s="114"/>
      <c r="EC93" s="114"/>
      <c r="ED93" s="114"/>
      <c r="EE93" s="114"/>
      <c r="EF93" s="114"/>
      <c r="EG93" s="114"/>
      <c r="EH93" s="114"/>
      <c r="EI93" s="114"/>
      <c r="EJ93" s="114"/>
      <c r="EK93" s="114"/>
      <c r="EL93" s="114"/>
      <c r="EM93" s="114"/>
      <c r="EN93" s="120">
        <f t="shared" si="11"/>
        <v>56</v>
      </c>
      <c r="EO93" s="115">
        <f t="shared" si="12"/>
        <v>524</v>
      </c>
      <c r="EP93" s="115">
        <f t="shared" si="7"/>
        <v>9.357142857</v>
      </c>
      <c r="EQ93" s="121">
        <f t="shared" si="8"/>
        <v>9.36</v>
      </c>
      <c r="ER93" s="115"/>
      <c r="ES93" s="10"/>
      <c r="ET93" s="47"/>
      <c r="EU93" s="47"/>
      <c r="EV93" s="10"/>
      <c r="EW93" s="47"/>
      <c r="EX93" s="47"/>
      <c r="EY93" s="47"/>
      <c r="EZ93" s="47"/>
      <c r="FA93" s="47"/>
      <c r="FB93" s="47"/>
      <c r="FC93" s="47"/>
    </row>
    <row r="94" ht="35.25" customHeight="1">
      <c r="A94" s="114"/>
      <c r="B94" s="115" t="s">
        <v>44</v>
      </c>
      <c r="C94" s="115" t="s">
        <v>250</v>
      </c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5"/>
      <c r="W94" s="114"/>
      <c r="X94" s="114"/>
      <c r="Y94" s="115"/>
      <c r="Z94" s="115"/>
      <c r="AA94" s="114"/>
      <c r="AB94" s="114"/>
      <c r="AC94" s="115"/>
      <c r="AD94" s="114"/>
      <c r="AE94" s="114"/>
      <c r="AF94" s="114"/>
      <c r="AG94" s="115"/>
      <c r="AH94" s="114"/>
      <c r="AI94" s="115"/>
      <c r="AJ94" s="115"/>
      <c r="AK94" s="115"/>
      <c r="AL94" s="115"/>
      <c r="AM94" s="115"/>
      <c r="AN94" s="115"/>
      <c r="AO94" s="115"/>
      <c r="AP94" s="115" t="s">
        <v>212</v>
      </c>
      <c r="AQ94" s="115"/>
      <c r="AR94" s="115"/>
      <c r="AS94" s="115"/>
      <c r="AT94" s="115">
        <v>8.0</v>
      </c>
      <c r="AU94" s="115">
        <v>8.0</v>
      </c>
      <c r="AV94" s="115">
        <v>13.0</v>
      </c>
      <c r="AW94" s="115">
        <v>16.0</v>
      </c>
      <c r="AX94" s="115">
        <v>19.0</v>
      </c>
      <c r="AY94" s="115">
        <v>13.0</v>
      </c>
      <c r="AZ94" s="115">
        <v>12.0</v>
      </c>
      <c r="BA94" s="115">
        <v>18.0</v>
      </c>
      <c r="BB94" s="115">
        <v>8.0</v>
      </c>
      <c r="BC94" s="118">
        <v>20.0</v>
      </c>
      <c r="BD94" s="115">
        <v>5.0</v>
      </c>
      <c r="BE94" s="115">
        <v>11.0</v>
      </c>
      <c r="BF94" s="115">
        <v>19.0</v>
      </c>
      <c r="BG94" s="115">
        <v>8.0</v>
      </c>
      <c r="BH94" s="115">
        <v>10.0</v>
      </c>
      <c r="BI94" s="115">
        <v>15.0</v>
      </c>
      <c r="BJ94" s="115">
        <v>16.0</v>
      </c>
      <c r="BK94" s="115">
        <v>3.0</v>
      </c>
      <c r="BL94" s="115">
        <v>8.0</v>
      </c>
      <c r="BM94" s="115">
        <v>13.0</v>
      </c>
      <c r="BN94" s="115">
        <v>4.0</v>
      </c>
      <c r="BO94" s="115">
        <v>6.0</v>
      </c>
      <c r="BP94" s="115">
        <v>7.0</v>
      </c>
      <c r="BQ94" s="115">
        <v>9.0</v>
      </c>
      <c r="BR94" s="115">
        <v>9.0</v>
      </c>
      <c r="BS94" s="118">
        <v>20.0</v>
      </c>
      <c r="BT94" s="115">
        <v>6.0</v>
      </c>
      <c r="BU94" s="115">
        <v>5.0</v>
      </c>
      <c r="BV94" s="115">
        <v>8.0</v>
      </c>
      <c r="BW94" s="115">
        <v>9.0</v>
      </c>
      <c r="BX94" s="115">
        <v>9.0</v>
      </c>
      <c r="BY94" s="115">
        <v>5.0</v>
      </c>
      <c r="BZ94" s="115">
        <v>8.0</v>
      </c>
      <c r="CA94" s="115">
        <v>5.0</v>
      </c>
      <c r="CB94" s="115">
        <v>8.0</v>
      </c>
      <c r="CC94" s="115">
        <v>8.0</v>
      </c>
      <c r="CD94" s="115">
        <v>5.0</v>
      </c>
      <c r="CE94" s="115">
        <v>10.0</v>
      </c>
      <c r="CF94" s="115">
        <v>3.0</v>
      </c>
      <c r="CG94" s="115">
        <v>8.0</v>
      </c>
      <c r="CH94" s="115">
        <v>8.0</v>
      </c>
      <c r="CI94" s="115">
        <v>4.0</v>
      </c>
      <c r="CJ94" s="115">
        <v>3.0</v>
      </c>
      <c r="CK94" s="115"/>
      <c r="CL94" s="115"/>
      <c r="CM94" s="115">
        <v>9.0</v>
      </c>
      <c r="CN94" s="115">
        <v>1.0</v>
      </c>
      <c r="CO94" s="115"/>
      <c r="CP94" s="115"/>
      <c r="CQ94" s="115"/>
      <c r="CR94" s="115"/>
      <c r="CS94" s="115"/>
      <c r="CT94" s="115"/>
      <c r="CU94" s="115"/>
      <c r="CV94" s="115"/>
      <c r="CW94" s="115"/>
      <c r="CX94" s="115"/>
      <c r="CY94" s="115"/>
      <c r="CZ94" s="115"/>
      <c r="DA94" s="115"/>
      <c r="DB94" s="115"/>
      <c r="DC94" s="115"/>
      <c r="DD94" s="115"/>
      <c r="DE94" s="115"/>
      <c r="DF94" s="115"/>
      <c r="DG94" s="115"/>
      <c r="DH94" s="115"/>
      <c r="DI94" s="115"/>
      <c r="DJ94" s="115"/>
      <c r="DK94" s="115"/>
      <c r="DL94" s="115"/>
      <c r="DM94" s="115"/>
      <c r="DN94" s="114"/>
      <c r="DO94" s="114"/>
      <c r="DP94" s="115"/>
      <c r="DQ94" s="115"/>
      <c r="DR94" s="114"/>
      <c r="DS94" s="114"/>
      <c r="DT94" s="114"/>
      <c r="DU94" s="114"/>
      <c r="DV94" s="114"/>
      <c r="DW94" s="114"/>
      <c r="DX94" s="114"/>
      <c r="DY94" s="114"/>
      <c r="DZ94" s="115"/>
      <c r="EA94" s="114"/>
      <c r="EB94" s="114"/>
      <c r="EC94" s="115"/>
      <c r="ED94" s="114"/>
      <c r="EE94" s="114"/>
      <c r="EF94" s="114"/>
      <c r="EG94" s="129"/>
      <c r="EH94" s="129"/>
      <c r="EI94" s="115"/>
      <c r="EJ94" s="115"/>
      <c r="EK94" s="115"/>
      <c r="EL94" s="115"/>
      <c r="EM94" s="115"/>
      <c r="EN94" s="120">
        <f t="shared" si="11"/>
        <v>45</v>
      </c>
      <c r="EO94" s="115">
        <f t="shared" si="12"/>
        <v>420</v>
      </c>
      <c r="EP94" s="115">
        <f t="shared" si="7"/>
        <v>9.333333333</v>
      </c>
      <c r="EQ94" s="121">
        <f t="shared" si="8"/>
        <v>9.33</v>
      </c>
      <c r="ER94" s="115"/>
      <c r="ES94" s="10"/>
      <c r="ET94" s="47"/>
      <c r="EU94" s="47"/>
      <c r="EV94" s="10"/>
      <c r="EW94" s="47"/>
      <c r="EX94" s="47"/>
      <c r="EY94" s="47"/>
      <c r="EZ94" s="47"/>
      <c r="FA94" s="47"/>
      <c r="FB94" s="47"/>
      <c r="FC94" s="47"/>
    </row>
    <row r="95" ht="35.25" customHeight="1">
      <c r="A95" s="114"/>
      <c r="B95" s="115" t="s">
        <v>22</v>
      </c>
      <c r="C95" s="115" t="s">
        <v>251</v>
      </c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5" t="s">
        <v>212</v>
      </c>
      <c r="AW95" s="114"/>
      <c r="AX95" s="115">
        <v>9.0</v>
      </c>
      <c r="AY95" s="118">
        <v>16.0</v>
      </c>
      <c r="AZ95" s="115">
        <v>12.0</v>
      </c>
      <c r="BA95" s="115">
        <v>5.0</v>
      </c>
      <c r="BB95" s="115">
        <v>16.0</v>
      </c>
      <c r="BC95" s="117">
        <v>24.0</v>
      </c>
      <c r="BD95" s="118">
        <v>20.0</v>
      </c>
      <c r="BE95" s="141">
        <v>24.0</v>
      </c>
      <c r="BF95" s="115">
        <v>10.0</v>
      </c>
      <c r="BG95" s="115">
        <v>9.0</v>
      </c>
      <c r="BH95" s="115">
        <v>8.0</v>
      </c>
      <c r="BI95" s="115">
        <v>8.0</v>
      </c>
      <c r="BJ95" s="115">
        <v>10.0</v>
      </c>
      <c r="BK95" s="115">
        <v>10.0</v>
      </c>
      <c r="BL95" s="115">
        <v>9.0</v>
      </c>
      <c r="BM95" s="115">
        <v>8.0</v>
      </c>
      <c r="BN95" s="115">
        <v>10.0</v>
      </c>
      <c r="BO95" s="115">
        <v>10.0</v>
      </c>
      <c r="BP95" s="115">
        <v>8.0</v>
      </c>
      <c r="BQ95" s="115">
        <v>2.0</v>
      </c>
      <c r="BR95" s="115">
        <v>9.0</v>
      </c>
      <c r="BS95" s="115">
        <v>2.0</v>
      </c>
      <c r="BT95" s="119">
        <v>21.0</v>
      </c>
      <c r="BU95" s="115">
        <v>9.0</v>
      </c>
      <c r="BV95" s="115">
        <v>8.0</v>
      </c>
      <c r="BW95" s="115">
        <v>8.0</v>
      </c>
      <c r="BX95" s="115">
        <v>10.0</v>
      </c>
      <c r="BY95" s="115">
        <v>11.0</v>
      </c>
      <c r="BZ95" s="115">
        <v>10.0</v>
      </c>
      <c r="CA95" s="115">
        <v>14.0</v>
      </c>
      <c r="CB95" s="115">
        <v>9.0</v>
      </c>
      <c r="CC95" s="115">
        <v>11.0</v>
      </c>
      <c r="CD95" s="115">
        <v>9.0</v>
      </c>
      <c r="CE95" s="115">
        <v>10.0</v>
      </c>
      <c r="CF95" s="115">
        <v>9.0</v>
      </c>
      <c r="CG95" s="115">
        <v>10.0</v>
      </c>
      <c r="CH95" s="115">
        <v>10.0</v>
      </c>
      <c r="CI95" s="115">
        <v>8.0</v>
      </c>
      <c r="CJ95" s="115">
        <v>10.0</v>
      </c>
      <c r="CK95" s="115">
        <v>3.0</v>
      </c>
      <c r="CL95" s="115">
        <v>9.0</v>
      </c>
      <c r="CM95" s="115">
        <v>1.0</v>
      </c>
      <c r="CN95" s="115">
        <v>9.0</v>
      </c>
      <c r="CO95" s="115">
        <v>11.0</v>
      </c>
      <c r="CP95" s="115">
        <v>8.0</v>
      </c>
      <c r="CQ95" s="115">
        <v>8.0</v>
      </c>
      <c r="CR95" s="115">
        <v>9.0</v>
      </c>
      <c r="CS95" s="115">
        <v>2.0</v>
      </c>
      <c r="CT95" s="115">
        <v>10.0</v>
      </c>
      <c r="CU95" s="115">
        <v>11.0</v>
      </c>
      <c r="CV95" s="115">
        <v>1.0</v>
      </c>
      <c r="CW95" s="115">
        <v>8.0</v>
      </c>
      <c r="CX95" s="115">
        <v>9.0</v>
      </c>
      <c r="CY95" s="115">
        <v>4.0</v>
      </c>
      <c r="CZ95" s="115">
        <v>1.0</v>
      </c>
      <c r="DA95" s="115">
        <v>9.0</v>
      </c>
      <c r="DB95" s="115">
        <v>1.0</v>
      </c>
      <c r="DC95" s="114"/>
      <c r="DD95" s="114"/>
      <c r="DE95" s="114"/>
      <c r="DF95" s="114"/>
      <c r="DG95" s="114"/>
      <c r="DH95" s="114"/>
      <c r="DI95" s="114"/>
      <c r="DJ95" s="114"/>
      <c r="DK95" s="114"/>
      <c r="DL95" s="114"/>
      <c r="DM95" s="114"/>
      <c r="DN95" s="114"/>
      <c r="DO95" s="114"/>
      <c r="DP95" s="114"/>
      <c r="DQ95" s="114"/>
      <c r="DR95" s="114"/>
      <c r="DS95" s="114"/>
      <c r="DT95" s="114"/>
      <c r="DU95" s="114"/>
      <c r="DV95" s="114"/>
      <c r="DW95" s="114"/>
      <c r="DX95" s="114"/>
      <c r="DY95" s="114"/>
      <c r="DZ95" s="114"/>
      <c r="EA95" s="114"/>
      <c r="EB95" s="114"/>
      <c r="EC95" s="114"/>
      <c r="ED95" s="114"/>
      <c r="EE95" s="114"/>
      <c r="EF95" s="114"/>
      <c r="EG95" s="114"/>
      <c r="EH95" s="114"/>
      <c r="EI95" s="114"/>
      <c r="EJ95" s="114"/>
      <c r="EK95" s="114"/>
      <c r="EL95" s="114"/>
      <c r="EM95" s="114"/>
      <c r="EN95" s="120">
        <f t="shared" si="11"/>
        <v>57</v>
      </c>
      <c r="EO95" s="115">
        <f t="shared" si="12"/>
        <v>530</v>
      </c>
      <c r="EP95" s="115">
        <f t="shared" si="7"/>
        <v>9.298245614</v>
      </c>
      <c r="EQ95" s="121">
        <f t="shared" si="8"/>
        <v>9.3</v>
      </c>
      <c r="ER95" s="115"/>
      <c r="ES95" s="10"/>
      <c r="ET95" s="47"/>
      <c r="EU95" s="47"/>
      <c r="EV95" s="10"/>
      <c r="EW95" s="47"/>
      <c r="EX95" s="47"/>
      <c r="EY95" s="47"/>
      <c r="EZ95" s="47"/>
      <c r="FA95" s="47"/>
      <c r="FB95" s="47"/>
      <c r="FC95" s="47"/>
    </row>
    <row r="96" ht="35.25" customHeight="1">
      <c r="A96" s="115"/>
      <c r="B96" s="115">
        <v>1.0</v>
      </c>
      <c r="C96" s="115" t="s">
        <v>252</v>
      </c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  <c r="CI96" s="115"/>
      <c r="CJ96" s="115"/>
      <c r="CK96" s="115"/>
      <c r="CL96" s="115"/>
      <c r="CM96" s="115"/>
      <c r="CN96" s="115"/>
      <c r="CO96" s="115"/>
      <c r="CP96" s="115"/>
      <c r="CQ96" s="115"/>
      <c r="CR96" s="115"/>
      <c r="CS96" s="115"/>
      <c r="CT96" s="115"/>
      <c r="CU96" s="115"/>
      <c r="CV96" s="115"/>
      <c r="CW96" s="115"/>
      <c r="CX96" s="115" t="s">
        <v>212</v>
      </c>
      <c r="CY96" s="115"/>
      <c r="CZ96" s="115">
        <v>7.0</v>
      </c>
      <c r="DA96" s="115">
        <v>9.0</v>
      </c>
      <c r="DB96" s="115">
        <v>8.0</v>
      </c>
      <c r="DC96" s="115">
        <v>10.0</v>
      </c>
      <c r="DD96" s="115">
        <v>17.0</v>
      </c>
      <c r="DE96" s="115">
        <v>10.0</v>
      </c>
      <c r="DF96" s="115">
        <v>5.0</v>
      </c>
      <c r="DG96" s="115">
        <v>8.0</v>
      </c>
      <c r="DH96" s="115">
        <v>11.0</v>
      </c>
      <c r="DI96" s="115">
        <v>9.0</v>
      </c>
      <c r="DJ96" s="115">
        <v>11.0</v>
      </c>
      <c r="DK96" s="115">
        <v>14.0</v>
      </c>
      <c r="DL96" s="115">
        <v>12.0</v>
      </c>
      <c r="DM96" s="115"/>
      <c r="DN96" s="115"/>
      <c r="DO96" s="115">
        <v>9.0</v>
      </c>
      <c r="DP96" s="115">
        <v>0.0</v>
      </c>
      <c r="DQ96" s="115"/>
      <c r="DR96" s="115"/>
      <c r="DS96" s="115">
        <v>4.0</v>
      </c>
      <c r="DT96" s="115"/>
      <c r="DU96" s="115"/>
      <c r="DV96" s="115"/>
      <c r="DW96" s="115"/>
      <c r="DX96" s="115"/>
      <c r="DY96" s="115"/>
      <c r="DZ96" s="115"/>
      <c r="EA96" s="115"/>
      <c r="EB96" s="129"/>
      <c r="EC96" s="115"/>
      <c r="ED96" s="115"/>
      <c r="EE96" s="115"/>
      <c r="EF96" s="115"/>
      <c r="EG96" s="115"/>
      <c r="EH96" s="115"/>
      <c r="EI96" s="115"/>
      <c r="EJ96" s="115"/>
      <c r="EK96" s="115"/>
      <c r="EL96" s="115"/>
      <c r="EM96" s="115"/>
      <c r="EN96" s="120">
        <f t="shared" si="11"/>
        <v>16</v>
      </c>
      <c r="EO96" s="115">
        <f t="shared" si="12"/>
        <v>144</v>
      </c>
      <c r="EP96" s="115">
        <f t="shared" si="7"/>
        <v>9</v>
      </c>
      <c r="EQ96" s="121">
        <f t="shared" si="8"/>
        <v>9</v>
      </c>
      <c r="ER96" s="115"/>
      <c r="ES96" s="10"/>
      <c r="ET96" s="47"/>
      <c r="EU96" s="47"/>
      <c r="EV96" s="10"/>
      <c r="EW96" s="47"/>
      <c r="EX96" s="47"/>
      <c r="EY96" s="47"/>
      <c r="EZ96" s="47"/>
      <c r="FA96" s="47"/>
      <c r="FB96" s="47"/>
      <c r="FC96" s="47"/>
    </row>
    <row r="97" ht="35.25" customHeight="1">
      <c r="A97" s="10"/>
      <c r="B97" s="10" t="s">
        <v>31</v>
      </c>
      <c r="C97" s="10" t="s">
        <v>253</v>
      </c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10">
        <v>9.0</v>
      </c>
      <c r="V97" s="132">
        <v>16.0</v>
      </c>
      <c r="W97" s="10">
        <v>5.0</v>
      </c>
      <c r="X97" s="10">
        <v>8.0</v>
      </c>
      <c r="Y97" s="10">
        <v>13.0</v>
      </c>
      <c r="Z97" s="10">
        <v>5.0</v>
      </c>
      <c r="AA97" s="10">
        <v>11.0</v>
      </c>
      <c r="AB97" s="10">
        <v>5.0</v>
      </c>
      <c r="AC97" s="10">
        <v>15.0</v>
      </c>
      <c r="AD97" s="10">
        <v>12.0</v>
      </c>
      <c r="AE97" s="10">
        <v>12.0</v>
      </c>
      <c r="AF97" s="10">
        <v>16.0</v>
      </c>
      <c r="AG97" s="10">
        <v>6.0</v>
      </c>
      <c r="AH97" s="10">
        <v>3.0</v>
      </c>
      <c r="AI97" s="132">
        <v>16.0</v>
      </c>
      <c r="AJ97" s="10">
        <v>10.0</v>
      </c>
      <c r="AK97" s="10">
        <v>11.0</v>
      </c>
      <c r="AL97" s="10">
        <v>8.0</v>
      </c>
      <c r="AM97" s="132">
        <v>27.0</v>
      </c>
      <c r="AN97" s="10">
        <v>9.0</v>
      </c>
      <c r="AO97" s="47"/>
      <c r="AP97" s="10">
        <v>0.0</v>
      </c>
      <c r="AQ97" s="47"/>
      <c r="AR97" s="47"/>
      <c r="AS97" s="10">
        <v>7.0</v>
      </c>
      <c r="AT97" s="10">
        <v>4.0</v>
      </c>
      <c r="AU97" s="47"/>
      <c r="AV97" s="10">
        <v>8.0</v>
      </c>
      <c r="AW97" s="10">
        <v>8.0</v>
      </c>
      <c r="AX97" s="10">
        <v>8.0</v>
      </c>
      <c r="AY97" s="10">
        <v>8.0</v>
      </c>
      <c r="AZ97" s="10">
        <v>6.0</v>
      </c>
      <c r="BA97" s="10">
        <v>7.0</v>
      </c>
      <c r="BB97" s="10">
        <v>5.0</v>
      </c>
      <c r="BC97" s="10">
        <v>8.0</v>
      </c>
      <c r="BD97" s="10">
        <v>9.0</v>
      </c>
      <c r="BE97" s="10">
        <v>1.0</v>
      </c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120">
        <f t="shared" si="11"/>
        <v>33</v>
      </c>
      <c r="EO97" s="115">
        <f t="shared" si="12"/>
        <v>296</v>
      </c>
      <c r="EP97" s="115">
        <f t="shared" si="7"/>
        <v>8.96969697</v>
      </c>
      <c r="EQ97" s="114">
        <f t="shared" si="8"/>
        <v>8.97</v>
      </c>
      <c r="ER97" s="115"/>
    </row>
    <row r="98" ht="35.25" customHeight="1">
      <c r="A98" s="115"/>
      <c r="B98" s="115" t="s">
        <v>44</v>
      </c>
      <c r="C98" s="116" t="s">
        <v>254</v>
      </c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 t="s">
        <v>212</v>
      </c>
      <c r="AV98" s="115"/>
      <c r="AW98" s="115">
        <v>6.0</v>
      </c>
      <c r="AX98" s="115"/>
      <c r="AY98" s="115">
        <v>7.0</v>
      </c>
      <c r="AZ98" s="115">
        <v>6.0</v>
      </c>
      <c r="BA98" s="115"/>
      <c r="BB98" s="115">
        <v>8.0</v>
      </c>
      <c r="BC98" s="115">
        <v>9.0</v>
      </c>
      <c r="BD98" s="115">
        <v>7.0</v>
      </c>
      <c r="BE98" s="126">
        <v>15.0</v>
      </c>
      <c r="BF98" s="115">
        <v>6.0</v>
      </c>
      <c r="BG98" s="115">
        <v>8.0</v>
      </c>
      <c r="BH98" s="115">
        <v>8.0</v>
      </c>
      <c r="BI98" s="115">
        <v>10.0</v>
      </c>
      <c r="BJ98" s="115">
        <v>13.0</v>
      </c>
      <c r="BK98" s="115">
        <v>16.0</v>
      </c>
      <c r="BL98" s="115">
        <v>17.0</v>
      </c>
      <c r="BM98" s="115">
        <v>15.0</v>
      </c>
      <c r="BN98" s="115">
        <v>13.0</v>
      </c>
      <c r="BO98" s="115">
        <v>10.0</v>
      </c>
      <c r="BP98" s="115">
        <v>9.0</v>
      </c>
      <c r="BQ98" s="115">
        <v>24.0</v>
      </c>
      <c r="BR98" s="115">
        <v>17.0</v>
      </c>
      <c r="BS98" s="115">
        <v>18.0</v>
      </c>
      <c r="BT98" s="115">
        <v>11.0</v>
      </c>
      <c r="BU98" s="115">
        <v>7.0</v>
      </c>
      <c r="BV98" s="115">
        <v>6.0</v>
      </c>
      <c r="BW98" s="115">
        <v>7.0</v>
      </c>
      <c r="BX98" s="115">
        <v>9.0</v>
      </c>
      <c r="BY98" s="115">
        <v>8.0</v>
      </c>
      <c r="BZ98" s="115">
        <v>7.0</v>
      </c>
      <c r="CA98" s="115">
        <v>9.0</v>
      </c>
      <c r="CB98" s="115">
        <v>11.0</v>
      </c>
      <c r="CC98" s="115">
        <v>10.0</v>
      </c>
      <c r="CD98" s="115">
        <v>5.0</v>
      </c>
      <c r="CE98" s="115">
        <v>10.0</v>
      </c>
      <c r="CF98" s="115">
        <v>9.0</v>
      </c>
      <c r="CG98" s="115">
        <v>16.0</v>
      </c>
      <c r="CH98" s="115">
        <v>4.0</v>
      </c>
      <c r="CI98" s="115">
        <v>8.0</v>
      </c>
      <c r="CJ98" s="115">
        <v>6.0</v>
      </c>
      <c r="CK98" s="115">
        <v>8.0</v>
      </c>
      <c r="CL98" s="115">
        <v>8.0</v>
      </c>
      <c r="CM98" s="115">
        <v>6.0</v>
      </c>
      <c r="CN98" s="115">
        <v>6.0</v>
      </c>
      <c r="CO98" s="115">
        <v>11.0</v>
      </c>
      <c r="CP98" s="115">
        <v>6.0</v>
      </c>
      <c r="CQ98" s="115">
        <v>7.0</v>
      </c>
      <c r="CR98" s="115">
        <v>9.0</v>
      </c>
      <c r="CS98" s="115">
        <v>7.0</v>
      </c>
      <c r="CT98" s="115">
        <v>7.0</v>
      </c>
      <c r="CU98" s="115">
        <v>10.0</v>
      </c>
      <c r="CV98" s="115">
        <v>5.0</v>
      </c>
      <c r="CW98" s="115">
        <v>10.0</v>
      </c>
      <c r="CX98" s="115">
        <v>5.0</v>
      </c>
      <c r="CY98" s="115">
        <v>5.0</v>
      </c>
      <c r="CZ98" s="115">
        <v>6.0</v>
      </c>
      <c r="DA98" s="115">
        <v>4.0</v>
      </c>
      <c r="DB98" s="136"/>
      <c r="DC98" s="115">
        <v>7.0</v>
      </c>
      <c r="DD98" s="115">
        <v>7.0</v>
      </c>
      <c r="DE98" s="115">
        <v>6.0</v>
      </c>
      <c r="DF98" s="136"/>
      <c r="DG98" s="115">
        <v>9.0</v>
      </c>
      <c r="DH98" s="115">
        <v>3.0</v>
      </c>
      <c r="DI98" s="136"/>
      <c r="DJ98" s="115">
        <v>6.0</v>
      </c>
      <c r="DK98" s="115">
        <v>7.0</v>
      </c>
      <c r="DL98" s="115"/>
      <c r="DM98" s="136"/>
      <c r="DN98" s="136"/>
      <c r="DO98" s="136"/>
      <c r="DP98" s="136"/>
      <c r="DQ98" s="136"/>
      <c r="DR98" s="136"/>
      <c r="DS98" s="136"/>
      <c r="DT98" s="136"/>
      <c r="DU98" s="136"/>
      <c r="DV98" s="136"/>
      <c r="DW98" s="115"/>
      <c r="DX98" s="136"/>
      <c r="DY98" s="136"/>
      <c r="DZ98" s="136"/>
      <c r="EA98" s="136"/>
      <c r="EB98" s="136"/>
      <c r="EC98" s="136"/>
      <c r="ED98" s="136"/>
      <c r="EE98" s="114"/>
      <c r="EF98" s="136"/>
      <c r="EG98" s="136"/>
      <c r="EH98" s="115"/>
      <c r="EI98" s="115"/>
      <c r="EJ98" s="115"/>
      <c r="EK98" s="115"/>
      <c r="EL98" s="115"/>
      <c r="EM98" s="115"/>
      <c r="EN98" s="120">
        <f t="shared" si="11"/>
        <v>62</v>
      </c>
      <c r="EO98" s="115">
        <f t="shared" si="12"/>
        <v>550</v>
      </c>
      <c r="EP98" s="115">
        <f t="shared" si="7"/>
        <v>8.870967742</v>
      </c>
      <c r="EQ98" s="121">
        <f t="shared" si="8"/>
        <v>8.87</v>
      </c>
      <c r="ER98" s="115"/>
      <c r="ES98" s="10"/>
      <c r="ET98" s="47"/>
      <c r="EV98" s="10"/>
      <c r="EW98" s="47"/>
      <c r="EX98" s="10"/>
      <c r="EY98" s="10"/>
      <c r="EZ98" s="10"/>
      <c r="FA98" s="48"/>
    </row>
    <row r="99" ht="35.25" customHeight="1">
      <c r="A99" s="47"/>
      <c r="B99" s="10" t="s">
        <v>44</v>
      </c>
      <c r="C99" s="10" t="s">
        <v>255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132">
        <v>15.0</v>
      </c>
      <c r="AN99" s="10">
        <v>9.0</v>
      </c>
      <c r="AO99" s="10">
        <v>6.0</v>
      </c>
      <c r="AP99" s="10">
        <v>7.0</v>
      </c>
      <c r="AQ99" s="10">
        <v>8.0</v>
      </c>
      <c r="AR99" s="142">
        <v>20.0</v>
      </c>
      <c r="AS99" s="10">
        <v>7.0</v>
      </c>
      <c r="AT99" s="10">
        <v>11.0</v>
      </c>
      <c r="AU99" s="10">
        <v>11.0</v>
      </c>
      <c r="AV99" s="10">
        <v>10.0</v>
      </c>
      <c r="AW99" s="10">
        <v>15.0</v>
      </c>
      <c r="AX99" s="10">
        <v>15.0</v>
      </c>
      <c r="AY99" s="10">
        <v>18.0</v>
      </c>
      <c r="AZ99" s="10">
        <v>16.0</v>
      </c>
      <c r="BA99" s="10">
        <v>5.0</v>
      </c>
      <c r="BB99" s="10">
        <v>8.0</v>
      </c>
      <c r="BC99" s="10">
        <v>9.0</v>
      </c>
      <c r="BD99" s="10">
        <v>9.0</v>
      </c>
      <c r="BE99" s="10">
        <v>7.0</v>
      </c>
      <c r="BF99" s="10">
        <v>11.0</v>
      </c>
      <c r="BG99" s="10">
        <v>6.0</v>
      </c>
      <c r="BH99" s="10">
        <v>7.0</v>
      </c>
      <c r="BI99" s="10">
        <v>9.0</v>
      </c>
      <c r="BJ99" s="10">
        <v>10.0</v>
      </c>
      <c r="BK99" s="10">
        <v>2.0</v>
      </c>
      <c r="BL99" s="10">
        <v>7.0</v>
      </c>
      <c r="BM99" s="10">
        <v>5.0</v>
      </c>
      <c r="BN99" s="10">
        <v>6.0</v>
      </c>
      <c r="BO99" s="47"/>
      <c r="BP99" s="10">
        <v>4.0</v>
      </c>
      <c r="BQ99" s="47"/>
      <c r="BR99" s="10">
        <v>9.0</v>
      </c>
      <c r="BS99" s="10">
        <v>7.0</v>
      </c>
      <c r="BT99" s="10">
        <v>8.0</v>
      </c>
      <c r="BU99" s="10">
        <v>8.0</v>
      </c>
      <c r="BV99" s="10">
        <v>1.0</v>
      </c>
      <c r="BW99" s="47"/>
      <c r="BX99" s="10">
        <v>8.0</v>
      </c>
      <c r="BY99" s="10">
        <v>8.0</v>
      </c>
      <c r="BZ99" s="10">
        <v>9.0</v>
      </c>
      <c r="CA99" s="10">
        <v>10.0</v>
      </c>
      <c r="CB99" s="10">
        <v>8.0</v>
      </c>
      <c r="CC99" s="10">
        <v>2.0</v>
      </c>
      <c r="CD99" s="10">
        <v>9.0</v>
      </c>
      <c r="CE99" s="10">
        <v>8.0</v>
      </c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/>
      <c r="EG99" s="47"/>
      <c r="EH99" s="47"/>
      <c r="EI99" s="47"/>
      <c r="EJ99" s="47"/>
      <c r="EK99" s="47"/>
      <c r="EL99" s="47"/>
      <c r="EM99" s="47"/>
      <c r="EN99" s="120">
        <f t="shared" si="11"/>
        <v>42</v>
      </c>
      <c r="EO99" s="115">
        <f t="shared" si="12"/>
        <v>368</v>
      </c>
      <c r="EP99" s="115">
        <f t="shared" si="7"/>
        <v>8.761904762</v>
      </c>
      <c r="EQ99" s="114">
        <f t="shared" si="8"/>
        <v>8.76</v>
      </c>
      <c r="ER99" s="115"/>
    </row>
    <row r="100" ht="35.25" customHeight="1">
      <c r="A100" s="115"/>
      <c r="B100" s="115" t="s">
        <v>31</v>
      </c>
      <c r="C100" s="115" t="s">
        <v>256</v>
      </c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 t="s">
        <v>212</v>
      </c>
      <c r="AL100" s="115"/>
      <c r="AM100" s="115"/>
      <c r="AN100" s="115"/>
      <c r="AO100" s="115">
        <v>6.0</v>
      </c>
      <c r="AP100" s="115">
        <v>8.0</v>
      </c>
      <c r="AQ100" s="115">
        <v>12.0</v>
      </c>
      <c r="AR100" s="115">
        <v>13.0</v>
      </c>
      <c r="AS100" s="115">
        <v>4.0</v>
      </c>
      <c r="AT100" s="115">
        <v>7.0</v>
      </c>
      <c r="AU100" s="143">
        <v>26.0</v>
      </c>
      <c r="AV100" s="115">
        <v>6.0</v>
      </c>
      <c r="AW100" s="115">
        <v>11.0</v>
      </c>
      <c r="AX100" s="115">
        <v>9.0</v>
      </c>
      <c r="AY100" s="115">
        <v>7.0</v>
      </c>
      <c r="AZ100" s="115">
        <v>8.0</v>
      </c>
      <c r="BA100" s="115">
        <v>8.0</v>
      </c>
      <c r="BB100" s="115">
        <v>8.0</v>
      </c>
      <c r="BC100" s="115">
        <v>6.0</v>
      </c>
      <c r="BD100" s="115">
        <v>6.0</v>
      </c>
      <c r="BE100" s="115">
        <v>9.0</v>
      </c>
      <c r="BF100" s="115">
        <v>5.0</v>
      </c>
      <c r="BG100" s="115">
        <v>10.0</v>
      </c>
      <c r="BH100" s="118">
        <v>30.0</v>
      </c>
      <c r="BI100" s="115">
        <v>3.0</v>
      </c>
      <c r="BJ100" s="115">
        <v>7.0</v>
      </c>
      <c r="BK100" s="115">
        <v>10.0</v>
      </c>
      <c r="BL100" s="115">
        <v>10.0</v>
      </c>
      <c r="BM100" s="115">
        <v>6.0</v>
      </c>
      <c r="BN100" s="126">
        <v>17.0</v>
      </c>
      <c r="BO100" s="115">
        <v>14.0</v>
      </c>
      <c r="BP100" s="115">
        <v>11.0</v>
      </c>
      <c r="BQ100" s="115">
        <v>3.0</v>
      </c>
      <c r="BR100" s="115">
        <v>12.0</v>
      </c>
      <c r="BS100" s="115">
        <v>15.0</v>
      </c>
      <c r="BT100" s="115">
        <v>11.0</v>
      </c>
      <c r="BU100" s="115">
        <v>14.0</v>
      </c>
      <c r="BV100" s="115">
        <v>8.0</v>
      </c>
      <c r="BW100" s="115">
        <v>5.0</v>
      </c>
      <c r="BX100" s="115">
        <v>6.0</v>
      </c>
      <c r="BY100" s="115">
        <v>9.0</v>
      </c>
      <c r="BZ100" s="115">
        <v>5.0</v>
      </c>
      <c r="CA100" s="115">
        <v>9.0</v>
      </c>
      <c r="CB100" s="115">
        <v>6.0</v>
      </c>
      <c r="CC100" s="115">
        <v>8.0</v>
      </c>
      <c r="CD100" s="115">
        <v>6.0</v>
      </c>
      <c r="CE100" s="115">
        <v>10.0</v>
      </c>
      <c r="CF100" s="115">
        <v>14.0</v>
      </c>
      <c r="CG100" s="115">
        <v>6.0</v>
      </c>
      <c r="CH100" s="115">
        <v>9.0</v>
      </c>
      <c r="CI100" s="115">
        <v>8.0</v>
      </c>
      <c r="CJ100" s="115">
        <v>6.0</v>
      </c>
      <c r="CK100" s="115">
        <v>7.0</v>
      </c>
      <c r="CL100" s="115">
        <v>6.0</v>
      </c>
      <c r="CM100" s="115">
        <v>7.0</v>
      </c>
      <c r="CN100" s="115">
        <v>6.0</v>
      </c>
      <c r="CO100" s="115">
        <v>9.0</v>
      </c>
      <c r="CP100" s="115">
        <v>5.0</v>
      </c>
      <c r="CQ100" s="115">
        <v>6.0</v>
      </c>
      <c r="CR100" s="136"/>
      <c r="CS100" s="115">
        <v>8.0</v>
      </c>
      <c r="CT100" s="115">
        <v>0.0</v>
      </c>
      <c r="CU100" s="136"/>
      <c r="CV100" s="136"/>
      <c r="CW100" s="136"/>
      <c r="CX100" s="136"/>
      <c r="CY100" s="136"/>
      <c r="CZ100" s="136"/>
      <c r="DA100" s="136"/>
      <c r="DB100" s="136"/>
      <c r="DC100" s="136"/>
      <c r="DD100" s="136"/>
      <c r="DE100" s="136"/>
      <c r="DF100" s="136"/>
      <c r="DG100" s="136"/>
      <c r="DH100" s="136"/>
      <c r="DI100" s="136"/>
      <c r="DJ100" s="136"/>
      <c r="DK100" s="115">
        <v>7.0</v>
      </c>
      <c r="DL100" s="115">
        <v>3.0</v>
      </c>
      <c r="DM100" s="136"/>
      <c r="DN100" s="136"/>
      <c r="DO100" s="136"/>
      <c r="DP100" s="136"/>
      <c r="DQ100" s="136"/>
      <c r="DR100" s="136"/>
      <c r="DS100" s="136"/>
      <c r="DT100" s="136"/>
      <c r="DU100" s="136"/>
      <c r="DV100" s="136"/>
      <c r="DW100" s="115"/>
      <c r="DX100" s="136"/>
      <c r="DY100" s="136"/>
      <c r="DZ100" s="136"/>
      <c r="EA100" s="136"/>
      <c r="EB100" s="136"/>
      <c r="EC100" s="136"/>
      <c r="ED100" s="136"/>
      <c r="EE100" s="114"/>
      <c r="EF100" s="136"/>
      <c r="EG100" s="136"/>
      <c r="EH100" s="115"/>
      <c r="EI100" s="115"/>
      <c r="EJ100" s="115"/>
      <c r="EK100" s="115"/>
      <c r="EL100" s="115"/>
      <c r="EM100" s="115"/>
      <c r="EN100" s="120">
        <f t="shared" si="11"/>
        <v>59</v>
      </c>
      <c r="EO100" s="115">
        <f t="shared" si="12"/>
        <v>511</v>
      </c>
      <c r="EP100" s="115">
        <f t="shared" si="7"/>
        <v>8.661016949</v>
      </c>
      <c r="EQ100" s="114">
        <f t="shared" si="8"/>
        <v>8.66</v>
      </c>
      <c r="ER100" s="115"/>
    </row>
    <row r="101" ht="35.25" customHeight="1">
      <c r="A101" s="144"/>
      <c r="B101" s="10" t="s">
        <v>44</v>
      </c>
      <c r="C101" s="10" t="s">
        <v>257</v>
      </c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132">
        <v>15.0</v>
      </c>
      <c r="Q101" s="132">
        <v>15.0</v>
      </c>
      <c r="R101" s="133">
        <v>25.0</v>
      </c>
      <c r="S101" s="10">
        <v>3.0</v>
      </c>
      <c r="T101" s="10">
        <v>6.0</v>
      </c>
      <c r="U101" s="10">
        <v>7.0</v>
      </c>
      <c r="V101" s="10">
        <v>9.0</v>
      </c>
      <c r="W101" s="10">
        <v>6.0</v>
      </c>
      <c r="X101" s="10">
        <v>6.0</v>
      </c>
      <c r="Y101" s="10">
        <v>10.0</v>
      </c>
      <c r="Z101" s="10">
        <v>10.0</v>
      </c>
      <c r="AA101" s="10">
        <v>10.0</v>
      </c>
      <c r="AB101" s="10">
        <v>8.0</v>
      </c>
      <c r="AC101" s="10">
        <v>15.0</v>
      </c>
      <c r="AD101" s="10">
        <v>7.0</v>
      </c>
      <c r="AE101" s="10">
        <v>6.0</v>
      </c>
      <c r="AF101" s="10">
        <v>8.0</v>
      </c>
      <c r="AG101" s="10">
        <v>8.0</v>
      </c>
      <c r="AH101" s="10">
        <v>3.0</v>
      </c>
      <c r="AI101" s="47"/>
      <c r="AJ101" s="10">
        <v>5.0</v>
      </c>
      <c r="AK101" s="10">
        <v>5.0</v>
      </c>
      <c r="AL101" s="47"/>
      <c r="AM101" s="47"/>
      <c r="AN101" s="47"/>
      <c r="AO101" s="47"/>
      <c r="AP101" s="47"/>
      <c r="AQ101" s="47"/>
      <c r="AR101" s="47"/>
      <c r="AS101" s="47"/>
      <c r="AT101" s="47"/>
      <c r="AU101" s="10">
        <v>3.0</v>
      </c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120">
        <f t="shared" si="11"/>
        <v>22</v>
      </c>
      <c r="EO101" s="115">
        <f t="shared" si="12"/>
        <v>190</v>
      </c>
      <c r="EP101" s="115">
        <f t="shared" si="7"/>
        <v>8.636363636</v>
      </c>
      <c r="EQ101" s="114">
        <f t="shared" si="8"/>
        <v>8.64</v>
      </c>
      <c r="ER101" s="115"/>
    </row>
    <row r="102" ht="35.25" customHeight="1">
      <c r="A102" s="47"/>
      <c r="B102" s="10" t="s">
        <v>44</v>
      </c>
      <c r="C102" s="10" t="s">
        <v>258</v>
      </c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132">
        <v>15.0</v>
      </c>
      <c r="Z102" s="10">
        <v>1.0</v>
      </c>
      <c r="AA102" s="47"/>
      <c r="AB102" s="47"/>
      <c r="AC102" s="47"/>
      <c r="AD102" s="47"/>
      <c r="AE102" s="47"/>
      <c r="AF102" s="47"/>
      <c r="AG102" s="47"/>
      <c r="AH102" s="47"/>
      <c r="AI102" s="10">
        <v>9.0</v>
      </c>
      <c r="AJ102" s="10">
        <v>8.0</v>
      </c>
      <c r="AK102" s="142">
        <v>18.0</v>
      </c>
      <c r="AL102" s="10">
        <v>5.0</v>
      </c>
      <c r="AM102" s="10">
        <v>7.0</v>
      </c>
      <c r="AN102" s="10">
        <v>11.0</v>
      </c>
      <c r="AO102" s="142">
        <v>20.0</v>
      </c>
      <c r="AP102" s="10">
        <v>15.0</v>
      </c>
      <c r="AQ102" s="133">
        <v>30.0</v>
      </c>
      <c r="AR102" s="132">
        <v>23.0</v>
      </c>
      <c r="AS102" s="10">
        <v>6.0</v>
      </c>
      <c r="AT102" s="10">
        <v>10.0</v>
      </c>
      <c r="AU102" s="10">
        <v>8.0</v>
      </c>
      <c r="AV102" s="10">
        <v>10.0</v>
      </c>
      <c r="AW102" s="10">
        <v>8.0</v>
      </c>
      <c r="AX102" s="10">
        <v>7.0</v>
      </c>
      <c r="AY102" s="10">
        <v>8.0</v>
      </c>
      <c r="AZ102" s="10">
        <v>7.0</v>
      </c>
      <c r="BA102" s="10">
        <v>9.0</v>
      </c>
      <c r="BB102" s="10">
        <v>5.0</v>
      </c>
      <c r="BC102" s="10">
        <v>10.0</v>
      </c>
      <c r="BD102" s="10">
        <v>8.0</v>
      </c>
      <c r="BE102" s="10">
        <v>7.0</v>
      </c>
      <c r="BF102" s="10">
        <v>7.0</v>
      </c>
      <c r="BG102" s="10">
        <v>7.0</v>
      </c>
      <c r="BH102" s="10">
        <v>8.0</v>
      </c>
      <c r="BI102" s="10">
        <v>7.0</v>
      </c>
      <c r="BJ102" s="10">
        <v>7.0</v>
      </c>
      <c r="BK102" s="10">
        <v>10.0</v>
      </c>
      <c r="BL102" s="10">
        <v>7.0</v>
      </c>
      <c r="BM102" s="10">
        <v>7.0</v>
      </c>
      <c r="BN102" s="10">
        <v>9.0</v>
      </c>
      <c r="BO102" s="10">
        <v>6.0</v>
      </c>
      <c r="BP102" s="10">
        <v>8.0</v>
      </c>
      <c r="BQ102" s="10">
        <v>5.0</v>
      </c>
      <c r="BR102" s="10">
        <v>8.0</v>
      </c>
      <c r="BS102" s="10">
        <v>10.0</v>
      </c>
      <c r="BT102" s="10">
        <v>7.0</v>
      </c>
      <c r="BU102" s="10">
        <v>6.0</v>
      </c>
      <c r="BV102" s="10">
        <v>6.0</v>
      </c>
      <c r="BW102" s="10">
        <v>10.0</v>
      </c>
      <c r="BX102" s="10">
        <v>6.0</v>
      </c>
      <c r="BY102" s="10">
        <v>6.0</v>
      </c>
      <c r="BZ102" s="10">
        <v>9.0</v>
      </c>
      <c r="CA102" s="10">
        <v>6.0</v>
      </c>
      <c r="CB102" s="10">
        <v>6.0</v>
      </c>
      <c r="CC102" s="10">
        <v>8.0</v>
      </c>
      <c r="CD102" s="10">
        <v>7.0</v>
      </c>
      <c r="CE102" s="10">
        <v>7.0</v>
      </c>
      <c r="CF102" s="10">
        <v>8.0</v>
      </c>
      <c r="CG102" s="10">
        <v>9.0</v>
      </c>
      <c r="CH102" s="10">
        <v>4.0</v>
      </c>
      <c r="CI102" s="10">
        <v>8.0</v>
      </c>
      <c r="CJ102" s="10">
        <v>6.0</v>
      </c>
      <c r="CK102" s="10">
        <v>7.0</v>
      </c>
      <c r="CL102" s="10">
        <v>3.0</v>
      </c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  <c r="DS102" s="47"/>
      <c r="DT102" s="47"/>
      <c r="DU102" s="47"/>
      <c r="DV102" s="47"/>
      <c r="DW102" s="47"/>
      <c r="DX102" s="47"/>
      <c r="DY102" s="47"/>
      <c r="DZ102" s="47"/>
      <c r="EA102" s="47"/>
      <c r="EB102" s="47"/>
      <c r="EC102" s="47"/>
      <c r="ED102" s="47"/>
      <c r="EE102" s="47"/>
      <c r="EF102" s="47"/>
      <c r="EG102" s="47"/>
      <c r="EH102" s="47"/>
      <c r="EI102" s="47"/>
      <c r="EJ102" s="47"/>
      <c r="EK102" s="47"/>
      <c r="EL102" s="47"/>
      <c r="EM102" s="47"/>
      <c r="EN102" s="120">
        <f t="shared" si="11"/>
        <v>58</v>
      </c>
      <c r="EO102" s="115">
        <f t="shared" si="12"/>
        <v>500</v>
      </c>
      <c r="EP102" s="115">
        <f t="shared" si="7"/>
        <v>8.620689655</v>
      </c>
      <c r="EQ102" s="114">
        <f t="shared" si="8"/>
        <v>8.62</v>
      </c>
      <c r="ER102" s="115"/>
    </row>
    <row r="103" ht="35.25" customHeight="1">
      <c r="A103" s="10"/>
      <c r="B103" s="10" t="s">
        <v>44</v>
      </c>
      <c r="C103" s="10" t="s">
        <v>259</v>
      </c>
      <c r="D103" s="47"/>
      <c r="E103" s="47"/>
      <c r="F103" s="47"/>
      <c r="G103" s="47"/>
      <c r="H103" s="47"/>
      <c r="I103" s="47"/>
      <c r="J103" s="47"/>
      <c r="K103" s="47"/>
      <c r="L103" s="10">
        <v>7.0</v>
      </c>
      <c r="M103" s="47"/>
      <c r="N103" s="10">
        <v>10.0</v>
      </c>
      <c r="O103" s="10">
        <v>10.0</v>
      </c>
      <c r="P103" s="10">
        <v>9.0</v>
      </c>
      <c r="Q103" s="10">
        <v>6.0</v>
      </c>
      <c r="R103" s="10">
        <v>9.0</v>
      </c>
      <c r="S103" s="10">
        <v>11.0</v>
      </c>
      <c r="T103" s="10">
        <v>9.0</v>
      </c>
      <c r="U103" s="10">
        <v>12.0</v>
      </c>
      <c r="V103" s="10">
        <v>7.0</v>
      </c>
      <c r="W103" s="10">
        <v>7.0</v>
      </c>
      <c r="X103" s="10">
        <v>9.0</v>
      </c>
      <c r="Y103" s="10">
        <v>15.0</v>
      </c>
      <c r="Z103" s="10">
        <v>7.0</v>
      </c>
      <c r="AA103" s="10">
        <v>6.0</v>
      </c>
      <c r="AB103" s="47"/>
      <c r="AC103" s="47"/>
      <c r="AD103" s="10">
        <v>12.0</v>
      </c>
      <c r="AE103" s="10">
        <v>14.0</v>
      </c>
      <c r="AF103" s="10">
        <v>7.0</v>
      </c>
      <c r="AG103" s="10">
        <v>10.0</v>
      </c>
      <c r="AH103" s="10">
        <v>9.0</v>
      </c>
      <c r="AI103" s="10">
        <v>9.0</v>
      </c>
      <c r="AJ103" s="10">
        <v>5.0</v>
      </c>
      <c r="AK103" s="10">
        <v>8.0</v>
      </c>
      <c r="AL103" s="10">
        <v>5.0</v>
      </c>
      <c r="AM103" s="10">
        <v>9.0</v>
      </c>
      <c r="AN103" s="10">
        <v>4.0</v>
      </c>
      <c r="AO103" s="10">
        <v>5.0</v>
      </c>
      <c r="AP103" s="10">
        <v>11.0</v>
      </c>
      <c r="AQ103" s="10">
        <v>17.0</v>
      </c>
      <c r="AR103" s="10">
        <v>9.0</v>
      </c>
      <c r="AS103" s="10">
        <v>17.0</v>
      </c>
      <c r="AT103" s="10">
        <v>4.0</v>
      </c>
      <c r="AU103" s="10">
        <v>8.0</v>
      </c>
      <c r="AV103" s="10">
        <v>4.0</v>
      </c>
      <c r="AW103" s="10">
        <v>6.0</v>
      </c>
      <c r="AX103" s="47"/>
      <c r="AY103" s="10">
        <v>2.0</v>
      </c>
      <c r="AZ103" s="47"/>
      <c r="BA103" s="47"/>
      <c r="BB103" s="10">
        <v>6.0</v>
      </c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/>
      <c r="EG103" s="47"/>
      <c r="EH103" s="47"/>
      <c r="EI103" s="47"/>
      <c r="EJ103" s="47"/>
      <c r="EK103" s="47"/>
      <c r="EL103" s="47"/>
      <c r="EM103" s="47"/>
      <c r="EN103" s="120">
        <f t="shared" si="11"/>
        <v>37</v>
      </c>
      <c r="EO103" s="115">
        <f t="shared" si="12"/>
        <v>315</v>
      </c>
      <c r="EP103" s="115">
        <f t="shared" si="7"/>
        <v>8.513513514</v>
      </c>
      <c r="EQ103" s="114">
        <f t="shared" si="8"/>
        <v>8.51</v>
      </c>
      <c r="ER103" s="115"/>
    </row>
    <row r="104" ht="35.25" customHeight="1">
      <c r="A104" s="10"/>
      <c r="B104" s="10" t="s">
        <v>31</v>
      </c>
      <c r="C104" s="11" t="s">
        <v>260</v>
      </c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10">
        <v>7.0</v>
      </c>
      <c r="X104" s="10">
        <v>9.0</v>
      </c>
      <c r="Y104" s="10">
        <v>15.0</v>
      </c>
      <c r="Z104" s="142">
        <v>24.0</v>
      </c>
      <c r="AA104" s="10">
        <v>6.0</v>
      </c>
      <c r="AB104" s="47"/>
      <c r="AC104" s="10">
        <v>9.0</v>
      </c>
      <c r="AD104" s="10">
        <v>12.0</v>
      </c>
      <c r="AE104" s="10">
        <v>7.0</v>
      </c>
      <c r="AF104" s="10">
        <v>6.0</v>
      </c>
      <c r="AG104" s="10">
        <v>8.0</v>
      </c>
      <c r="AH104" s="47"/>
      <c r="AI104" s="10">
        <v>0.0</v>
      </c>
      <c r="AJ104" s="47"/>
      <c r="AK104" s="10">
        <v>6.0</v>
      </c>
      <c r="AL104" s="47"/>
      <c r="AM104" s="47"/>
      <c r="AN104" s="47"/>
      <c r="AO104" s="47"/>
      <c r="AP104" s="47"/>
      <c r="AQ104" s="47"/>
      <c r="AR104" s="47"/>
      <c r="AS104" s="47"/>
      <c r="AT104" s="10">
        <v>7.0</v>
      </c>
      <c r="AU104" s="47"/>
      <c r="AV104" s="10">
        <v>8.0</v>
      </c>
      <c r="AW104" s="10">
        <v>7.0</v>
      </c>
      <c r="AX104" s="10">
        <v>8.0</v>
      </c>
      <c r="AY104" s="10">
        <v>9.0</v>
      </c>
      <c r="AZ104" s="10">
        <v>8.0</v>
      </c>
      <c r="BA104" s="47"/>
      <c r="BB104" s="10">
        <v>3.0</v>
      </c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  <c r="DS104" s="47"/>
      <c r="DT104" s="47"/>
      <c r="DU104" s="47"/>
      <c r="DV104" s="47"/>
      <c r="DW104" s="47"/>
      <c r="DX104" s="47"/>
      <c r="DY104" s="47"/>
      <c r="DZ104" s="47"/>
      <c r="EA104" s="47"/>
      <c r="EB104" s="47"/>
      <c r="EC104" s="47"/>
      <c r="ED104" s="47"/>
      <c r="EE104" s="47"/>
      <c r="EF104" s="47"/>
      <c r="EG104" s="47"/>
      <c r="EH104" s="47"/>
      <c r="EI104" s="47"/>
      <c r="EJ104" s="47"/>
      <c r="EK104" s="47"/>
      <c r="EL104" s="145"/>
      <c r="EM104" s="47"/>
      <c r="EN104" s="115">
        <f t="shared" si="11"/>
        <v>19</v>
      </c>
      <c r="EO104" s="115">
        <f t="shared" si="12"/>
        <v>159</v>
      </c>
      <c r="EP104" s="115">
        <f t="shared" si="7"/>
        <v>8.368421053</v>
      </c>
      <c r="EQ104" s="121">
        <f t="shared" si="8"/>
        <v>8.37</v>
      </c>
      <c r="ER104" s="115"/>
      <c r="ES104" s="10"/>
      <c r="ET104" s="47"/>
      <c r="EV104" s="10"/>
      <c r="EW104" s="47"/>
      <c r="EX104" s="15"/>
      <c r="EY104" s="10"/>
      <c r="EZ104" s="47"/>
      <c r="FA104" s="47"/>
    </row>
    <row r="105" ht="35.25" customHeight="1">
      <c r="A105" s="115" t="str">
        <f>image("http://sumo.or.jp/img/sumo_data/rikishi/60x60/20020068.jpg")</f>
        <v/>
      </c>
      <c r="B105" s="115" t="s">
        <v>31</v>
      </c>
      <c r="C105" s="115" t="s">
        <v>261</v>
      </c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>
        <v>1.0</v>
      </c>
      <c r="AP105" s="114"/>
      <c r="AQ105" s="114"/>
      <c r="AR105" s="114"/>
      <c r="AS105" s="115">
        <v>9.0</v>
      </c>
      <c r="AT105" s="115">
        <v>4.0</v>
      </c>
      <c r="AU105" s="115">
        <v>9.0</v>
      </c>
      <c r="AV105" s="115">
        <v>9.0</v>
      </c>
      <c r="AW105" s="115">
        <v>8.0</v>
      </c>
      <c r="AX105" s="115">
        <v>8.0</v>
      </c>
      <c r="AY105" s="115">
        <v>6.0</v>
      </c>
      <c r="AZ105" s="114"/>
      <c r="BA105" s="114"/>
      <c r="BB105" s="115">
        <v>9.0</v>
      </c>
      <c r="BC105" s="115">
        <v>8.0</v>
      </c>
      <c r="BD105" s="115">
        <v>7.0</v>
      </c>
      <c r="BE105" s="115">
        <v>9.0</v>
      </c>
      <c r="BF105" s="115">
        <v>11.0</v>
      </c>
      <c r="BG105" s="115">
        <v>9.0</v>
      </c>
      <c r="BH105" s="115">
        <v>2.0</v>
      </c>
      <c r="BI105" s="115">
        <v>9.0</v>
      </c>
      <c r="BJ105" s="115">
        <v>10.0</v>
      </c>
      <c r="BK105" s="115">
        <v>7.0</v>
      </c>
      <c r="BL105" s="115">
        <v>8.0</v>
      </c>
      <c r="BM105" s="115">
        <v>9.0</v>
      </c>
      <c r="BN105" s="115">
        <v>12.0</v>
      </c>
      <c r="BO105" s="115">
        <v>8.0</v>
      </c>
      <c r="BP105" s="115">
        <v>9.0</v>
      </c>
      <c r="BQ105" s="115">
        <v>8.0</v>
      </c>
      <c r="BR105" s="115">
        <v>21.0</v>
      </c>
      <c r="BS105" s="115">
        <v>5.0</v>
      </c>
      <c r="BT105" s="115">
        <v>6.0</v>
      </c>
      <c r="BU105" s="115">
        <v>7.0</v>
      </c>
      <c r="BV105" s="115">
        <v>9.0</v>
      </c>
      <c r="BW105" s="115">
        <v>9.0</v>
      </c>
      <c r="BX105" s="115">
        <v>10.0</v>
      </c>
      <c r="BY105" s="115">
        <v>11.0</v>
      </c>
      <c r="BZ105" s="115">
        <v>6.0</v>
      </c>
      <c r="CA105" s="115">
        <v>8.0</v>
      </c>
      <c r="CB105" s="115">
        <v>9.0</v>
      </c>
      <c r="CC105" s="115">
        <v>17.0</v>
      </c>
      <c r="CD105" s="115">
        <v>13.0</v>
      </c>
      <c r="CE105" s="115">
        <v>5.0</v>
      </c>
      <c r="CF105" s="115">
        <v>8.0</v>
      </c>
      <c r="CG105" s="115">
        <v>6.0</v>
      </c>
      <c r="CH105" s="115">
        <v>17.0</v>
      </c>
      <c r="CI105" s="115">
        <v>7.0</v>
      </c>
      <c r="CJ105" s="115">
        <v>8.0</v>
      </c>
      <c r="CK105" s="115">
        <v>13.0</v>
      </c>
      <c r="CL105" s="115">
        <v>9.0</v>
      </c>
      <c r="CM105" s="115">
        <v>8.0</v>
      </c>
      <c r="CN105" s="115">
        <v>10.0</v>
      </c>
      <c r="CO105" s="115">
        <v>10.0</v>
      </c>
      <c r="CP105" s="115">
        <v>9.0</v>
      </c>
      <c r="CQ105" s="115">
        <v>10.0</v>
      </c>
      <c r="CR105" s="115">
        <v>7.0</v>
      </c>
      <c r="CS105" s="115">
        <v>8.0</v>
      </c>
      <c r="CT105" s="115">
        <v>4.0</v>
      </c>
      <c r="CU105" s="115">
        <v>6.0</v>
      </c>
      <c r="CV105" s="115">
        <v>9.0</v>
      </c>
      <c r="CW105" s="115">
        <v>9.0</v>
      </c>
      <c r="CX105" s="115">
        <v>1.0</v>
      </c>
      <c r="CY105" s="115">
        <v>9.0</v>
      </c>
      <c r="CZ105" s="115">
        <v>10.0</v>
      </c>
      <c r="DA105" s="115">
        <v>7.0</v>
      </c>
      <c r="DB105" s="115">
        <v>10.0</v>
      </c>
      <c r="DC105" s="115">
        <v>11.0</v>
      </c>
      <c r="DD105" s="115">
        <v>16.0</v>
      </c>
      <c r="DE105" s="115">
        <v>8.0</v>
      </c>
      <c r="DF105" s="115">
        <v>4.0</v>
      </c>
      <c r="DG105" s="115">
        <v>9.0</v>
      </c>
      <c r="DH105" s="115">
        <v>8.0</v>
      </c>
      <c r="DI105" s="115">
        <v>8.0</v>
      </c>
      <c r="DJ105" s="115">
        <v>5.0</v>
      </c>
      <c r="DK105" s="115">
        <v>5.0</v>
      </c>
      <c r="DL105" s="115">
        <v>7.0</v>
      </c>
      <c r="DM105" s="115">
        <v>10.0</v>
      </c>
      <c r="DN105" s="115">
        <v>5.0</v>
      </c>
      <c r="DO105" s="115">
        <v>8.0</v>
      </c>
      <c r="DP105" s="115">
        <v>6.0</v>
      </c>
      <c r="DQ105" s="115">
        <v>8.0</v>
      </c>
      <c r="DR105" s="115">
        <v>9.0</v>
      </c>
      <c r="DS105" s="115">
        <v>15.0</v>
      </c>
      <c r="DT105" s="115">
        <v>10.0</v>
      </c>
      <c r="DU105" s="115">
        <v>4.0</v>
      </c>
      <c r="DV105" s="115">
        <v>8.0</v>
      </c>
      <c r="DW105" s="115">
        <v>6.0</v>
      </c>
      <c r="DX105" s="115">
        <v>7.0</v>
      </c>
      <c r="DY105" s="115">
        <v>5.0</v>
      </c>
      <c r="DZ105" s="114"/>
      <c r="EA105" s="115">
        <v>6.0</v>
      </c>
      <c r="EB105" s="114"/>
      <c r="EC105" s="114"/>
      <c r="ED105" s="114"/>
      <c r="EE105" s="114"/>
      <c r="EF105" s="114"/>
      <c r="EG105" s="114"/>
      <c r="EH105" s="114"/>
      <c r="EI105" s="114"/>
      <c r="EJ105" s="114"/>
      <c r="EK105" s="114"/>
      <c r="EL105" s="114"/>
      <c r="EM105" s="114"/>
      <c r="EN105" s="115">
        <f t="shared" si="11"/>
        <v>85</v>
      </c>
      <c r="EO105" s="115">
        <f t="shared" si="12"/>
        <v>708</v>
      </c>
      <c r="EP105" s="115">
        <f t="shared" si="7"/>
        <v>8.329411765</v>
      </c>
      <c r="EQ105" s="114">
        <f t="shared" si="8"/>
        <v>8.33</v>
      </c>
      <c r="ER105" s="115"/>
    </row>
    <row r="106" ht="35.25" customHeight="1">
      <c r="A106" s="115" t="str">
        <f>image("http://sumo.or.jp/img/sumo_data/rikishi/60x60/20080099.jpg")</f>
        <v/>
      </c>
      <c r="B106" s="115">
        <v>2.0</v>
      </c>
      <c r="C106" s="115" t="s">
        <v>262</v>
      </c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14"/>
      <c r="BP106" s="114"/>
      <c r="BQ106" s="114"/>
      <c r="BR106" s="114"/>
      <c r="BS106" s="114"/>
      <c r="BT106" s="114"/>
      <c r="BU106" s="114"/>
      <c r="BV106" s="114"/>
      <c r="BW106" s="114"/>
      <c r="BX106" s="114"/>
      <c r="BY106" s="114"/>
      <c r="BZ106" s="114"/>
      <c r="CA106" s="114"/>
      <c r="CB106" s="114"/>
      <c r="CC106" s="114"/>
      <c r="CD106" s="114"/>
      <c r="CE106" s="114"/>
      <c r="CF106" s="114"/>
      <c r="CG106" s="114"/>
      <c r="CH106" s="114"/>
      <c r="CI106" s="114"/>
      <c r="CJ106" s="114"/>
      <c r="CK106" s="114"/>
      <c r="CL106" s="114"/>
      <c r="CM106" s="114"/>
      <c r="CN106" s="114"/>
      <c r="CO106" s="114"/>
      <c r="CP106" s="114"/>
      <c r="CQ106" s="114"/>
      <c r="CR106" s="114"/>
      <c r="CS106" s="114"/>
      <c r="CT106" s="114"/>
      <c r="CU106" s="114"/>
      <c r="CV106" s="114"/>
      <c r="CW106" s="114"/>
      <c r="CX106" s="114"/>
      <c r="CY106" s="114"/>
      <c r="CZ106" s="114"/>
      <c r="DA106" s="115">
        <v>7.0</v>
      </c>
      <c r="DB106" s="115">
        <v>10.0</v>
      </c>
      <c r="DC106" s="115">
        <v>3.0</v>
      </c>
      <c r="DD106" s="114"/>
      <c r="DE106" s="115">
        <v>7.0</v>
      </c>
      <c r="DF106" s="115">
        <v>3.0</v>
      </c>
      <c r="DG106" s="114"/>
      <c r="DH106" s="114"/>
      <c r="DI106" s="115">
        <v>7.0</v>
      </c>
      <c r="DJ106" s="115">
        <v>6.0</v>
      </c>
      <c r="DK106" s="114"/>
      <c r="DL106" s="114"/>
      <c r="DM106" s="115">
        <v>9.0</v>
      </c>
      <c r="DN106" s="115">
        <v>8.0</v>
      </c>
      <c r="DO106" s="115">
        <v>5.0</v>
      </c>
      <c r="DP106" s="118">
        <v>17.0</v>
      </c>
      <c r="DQ106" s="115">
        <v>13.0</v>
      </c>
      <c r="DR106" s="115">
        <v>6.0</v>
      </c>
      <c r="DS106" s="117">
        <v>20.0</v>
      </c>
      <c r="DT106" s="115">
        <v>10.0</v>
      </c>
      <c r="DU106" s="115">
        <v>5.0</v>
      </c>
      <c r="DV106" s="115">
        <v>6.0</v>
      </c>
      <c r="DW106" s="115">
        <v>8.0</v>
      </c>
      <c r="DX106" s="114"/>
      <c r="DY106" s="114"/>
      <c r="DZ106" s="115"/>
      <c r="EA106" s="114"/>
      <c r="EB106" s="114"/>
      <c r="EC106" s="129">
        <v>10.0</v>
      </c>
      <c r="ED106" s="129">
        <v>6.0</v>
      </c>
      <c r="EE106" s="129"/>
      <c r="EF106" s="129"/>
      <c r="EG106" s="129"/>
      <c r="EH106" s="129"/>
      <c r="EI106" s="129"/>
      <c r="EJ106" s="129"/>
      <c r="EK106" s="129"/>
      <c r="EL106" s="129"/>
      <c r="EM106" s="129"/>
      <c r="EN106" s="115">
        <f t="shared" si="11"/>
        <v>20</v>
      </c>
      <c r="EO106" s="115">
        <f t="shared" si="12"/>
        <v>166</v>
      </c>
      <c r="EP106" s="115">
        <f t="shared" si="7"/>
        <v>8.3</v>
      </c>
      <c r="EQ106" s="114">
        <f t="shared" si="8"/>
        <v>8.3</v>
      </c>
      <c r="ER106" s="115"/>
    </row>
    <row r="107" ht="35.25" customHeight="1">
      <c r="A107" s="47"/>
      <c r="B107" s="10" t="s">
        <v>31</v>
      </c>
      <c r="C107" s="10" t="s">
        <v>263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132">
        <v>16.0</v>
      </c>
      <c r="AK107" s="10">
        <v>8.0</v>
      </c>
      <c r="AL107" s="10">
        <v>9.0</v>
      </c>
      <c r="AM107" s="10">
        <v>10.0</v>
      </c>
      <c r="AN107" s="10">
        <v>4.0</v>
      </c>
      <c r="AO107" s="10">
        <v>10.0</v>
      </c>
      <c r="AP107" s="10">
        <v>7.0</v>
      </c>
      <c r="AQ107" s="10">
        <v>13.0</v>
      </c>
      <c r="AR107" s="10">
        <v>10.0</v>
      </c>
      <c r="AS107" s="10">
        <v>10.0</v>
      </c>
      <c r="AT107" s="10">
        <v>10.0</v>
      </c>
      <c r="AU107" s="10">
        <v>9.0</v>
      </c>
      <c r="AV107" s="146">
        <v>38.0</v>
      </c>
      <c r="AW107" s="10">
        <v>3.0</v>
      </c>
      <c r="AX107" s="10">
        <v>5.0</v>
      </c>
      <c r="AY107" s="10">
        <v>8.0</v>
      </c>
      <c r="AZ107" s="10">
        <v>8.0</v>
      </c>
      <c r="BA107" s="10">
        <v>8.0</v>
      </c>
      <c r="BB107" s="10">
        <v>8.0</v>
      </c>
      <c r="BC107" s="10">
        <v>7.0</v>
      </c>
      <c r="BD107" s="10">
        <v>8.0</v>
      </c>
      <c r="BE107" s="10">
        <v>2.0</v>
      </c>
      <c r="BF107" s="132">
        <v>17.0</v>
      </c>
      <c r="BG107" s="10">
        <v>1.0</v>
      </c>
      <c r="BH107" s="10">
        <v>10.0</v>
      </c>
      <c r="BI107" s="10">
        <v>4.0</v>
      </c>
      <c r="BJ107" s="10">
        <v>10.0</v>
      </c>
      <c r="BK107" s="10">
        <v>0.0</v>
      </c>
      <c r="BL107" s="47"/>
      <c r="BM107" s="47"/>
      <c r="BN107" s="10">
        <v>9.0</v>
      </c>
      <c r="BO107" s="10">
        <v>10.0</v>
      </c>
      <c r="BP107" s="10">
        <v>6.0</v>
      </c>
      <c r="BQ107" s="10">
        <v>8.0</v>
      </c>
      <c r="BR107" s="10">
        <v>7.0</v>
      </c>
      <c r="BS107" s="10">
        <v>8.0</v>
      </c>
      <c r="BT107" s="10">
        <v>10.0</v>
      </c>
      <c r="BU107" s="10">
        <v>4.0</v>
      </c>
      <c r="BV107" s="10">
        <v>8.0</v>
      </c>
      <c r="BW107" s="10">
        <v>8.0</v>
      </c>
      <c r="BX107" s="10">
        <v>9.0</v>
      </c>
      <c r="BY107" s="10">
        <v>2.0</v>
      </c>
      <c r="BZ107" s="10">
        <v>4.0</v>
      </c>
      <c r="CA107" s="47"/>
      <c r="CB107" s="10">
        <v>11.0</v>
      </c>
      <c r="CC107" s="10">
        <v>8.0</v>
      </c>
      <c r="CD107" s="10">
        <v>8.0</v>
      </c>
      <c r="CE107" s="10">
        <v>6.0</v>
      </c>
      <c r="CF107" s="10">
        <v>7.0</v>
      </c>
      <c r="CG107" s="10">
        <v>8.0</v>
      </c>
      <c r="CH107" s="10">
        <v>4.0</v>
      </c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147">
        <f t="shared" si="11"/>
        <v>48</v>
      </c>
      <c r="EO107" s="115">
        <f t="shared" si="12"/>
        <v>398</v>
      </c>
      <c r="EP107" s="115">
        <f t="shared" si="7"/>
        <v>8.291666667</v>
      </c>
      <c r="EQ107" s="114">
        <f t="shared" si="8"/>
        <v>8.29</v>
      </c>
      <c r="ER107" s="115"/>
    </row>
    <row r="108" ht="35.25" customHeight="1">
      <c r="A108" s="114"/>
      <c r="B108" s="115" t="s">
        <v>31</v>
      </c>
      <c r="C108" s="115" t="s">
        <v>264</v>
      </c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114"/>
      <c r="BK108" s="114"/>
      <c r="BL108" s="114"/>
      <c r="BM108" s="114"/>
      <c r="BN108" s="114"/>
      <c r="BO108" s="114"/>
      <c r="BP108" s="114"/>
      <c r="BQ108" s="114"/>
      <c r="BR108" s="114"/>
      <c r="BS108" s="114"/>
      <c r="BT108" s="114"/>
      <c r="BU108" s="115" t="s">
        <v>212</v>
      </c>
      <c r="BV108" s="114"/>
      <c r="BW108" s="115">
        <v>8.0</v>
      </c>
      <c r="BX108" s="115">
        <v>5.0</v>
      </c>
      <c r="BY108" s="115">
        <v>10.0</v>
      </c>
      <c r="BZ108" s="115">
        <v>9.0</v>
      </c>
      <c r="CA108" s="115">
        <v>8.0</v>
      </c>
      <c r="CB108" s="115">
        <v>7.0</v>
      </c>
      <c r="CC108" s="115">
        <v>7.0</v>
      </c>
      <c r="CD108" s="115">
        <v>10.0</v>
      </c>
      <c r="CE108" s="115">
        <v>1.0</v>
      </c>
      <c r="CF108" s="118">
        <v>17.0</v>
      </c>
      <c r="CG108" s="118">
        <v>27.0</v>
      </c>
      <c r="CH108" s="115">
        <v>8.0</v>
      </c>
      <c r="CI108" s="115">
        <v>4.0</v>
      </c>
      <c r="CJ108" s="115">
        <v>11.0</v>
      </c>
      <c r="CK108" s="115">
        <v>9.0</v>
      </c>
      <c r="CL108" s="115">
        <v>10.0</v>
      </c>
      <c r="CM108" s="115">
        <v>5.0</v>
      </c>
      <c r="CN108" s="115">
        <v>4.0</v>
      </c>
      <c r="CO108" s="115">
        <v>8.0</v>
      </c>
      <c r="CP108" s="115">
        <v>13.0</v>
      </c>
      <c r="CQ108" s="115">
        <v>6.0</v>
      </c>
      <c r="CR108" s="115">
        <v>9.0</v>
      </c>
      <c r="CS108" s="115">
        <v>4.0</v>
      </c>
      <c r="CT108" s="115">
        <v>8.0</v>
      </c>
      <c r="CU108" s="115">
        <v>7.0</v>
      </c>
      <c r="CV108" s="115">
        <v>9.0</v>
      </c>
      <c r="CW108" s="115">
        <v>4.0</v>
      </c>
      <c r="CX108" s="115">
        <v>8.0</v>
      </c>
      <c r="CY108" s="115">
        <v>3.0</v>
      </c>
      <c r="CZ108" s="115"/>
      <c r="DA108" s="115"/>
      <c r="DB108" s="115"/>
      <c r="DC108" s="115"/>
      <c r="DD108" s="115"/>
      <c r="DE108" s="115"/>
      <c r="DF108" s="115"/>
      <c r="DG108" s="115"/>
      <c r="DH108" s="115"/>
      <c r="DI108" s="115"/>
      <c r="DJ108" s="115"/>
      <c r="DK108" s="115"/>
      <c r="DL108" s="115"/>
      <c r="DM108" s="115"/>
      <c r="DN108" s="114"/>
      <c r="DO108" s="114"/>
      <c r="DP108" s="115"/>
      <c r="DQ108" s="115"/>
      <c r="DR108" s="114"/>
      <c r="DS108" s="114"/>
      <c r="DT108" s="114"/>
      <c r="DU108" s="114"/>
      <c r="DV108" s="114"/>
      <c r="DW108" s="114"/>
      <c r="DX108" s="114"/>
      <c r="DY108" s="114"/>
      <c r="DZ108" s="115"/>
      <c r="EA108" s="114"/>
      <c r="EB108" s="114"/>
      <c r="EC108" s="115"/>
      <c r="ED108" s="114"/>
      <c r="EE108" s="114"/>
      <c r="EF108" s="114"/>
      <c r="EG108" s="129"/>
      <c r="EH108" s="129"/>
      <c r="EI108" s="115"/>
      <c r="EJ108" s="115"/>
      <c r="EK108" s="115"/>
      <c r="EL108" s="115"/>
      <c r="EM108" s="115"/>
      <c r="EN108" s="115">
        <f t="shared" si="11"/>
        <v>29</v>
      </c>
      <c r="EO108" s="115">
        <f t="shared" si="12"/>
        <v>239</v>
      </c>
      <c r="EP108" s="115">
        <f t="shared" si="7"/>
        <v>8.24137931</v>
      </c>
      <c r="EQ108" s="114">
        <f t="shared" si="8"/>
        <v>8.24</v>
      </c>
      <c r="ER108" s="115"/>
    </row>
    <row r="109" ht="35.25" customHeight="1">
      <c r="A109" s="47"/>
      <c r="B109" s="10" t="s">
        <v>44</v>
      </c>
      <c r="C109" s="10" t="s">
        <v>265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10">
        <v>7.0</v>
      </c>
      <c r="AV109" s="10">
        <v>7.0</v>
      </c>
      <c r="AW109" s="10">
        <v>10.0</v>
      </c>
      <c r="AX109" s="10">
        <v>4.0</v>
      </c>
      <c r="AY109" s="10">
        <v>7.0</v>
      </c>
      <c r="AZ109" s="47"/>
      <c r="BA109" s="10">
        <v>8.0</v>
      </c>
      <c r="BB109" s="132">
        <v>16.0</v>
      </c>
      <c r="BC109" s="142">
        <v>25.0</v>
      </c>
      <c r="BD109" s="10">
        <v>8.0</v>
      </c>
      <c r="BE109" s="10">
        <v>3.0</v>
      </c>
      <c r="BF109" s="10">
        <v>9.0</v>
      </c>
      <c r="BG109" s="10">
        <v>7.0</v>
      </c>
      <c r="BH109" s="10">
        <v>9.0</v>
      </c>
      <c r="BI109" s="10">
        <v>6.0</v>
      </c>
      <c r="BJ109" s="10">
        <v>9.0</v>
      </c>
      <c r="BK109" s="10">
        <v>15.0</v>
      </c>
      <c r="BL109" s="10">
        <v>8.0</v>
      </c>
      <c r="BM109" s="10">
        <v>3.0</v>
      </c>
      <c r="BN109" s="10">
        <v>10.0</v>
      </c>
      <c r="BO109" s="10">
        <v>5.0</v>
      </c>
      <c r="BP109" s="10">
        <v>8.0</v>
      </c>
      <c r="BQ109" s="10">
        <v>6.0</v>
      </c>
      <c r="BR109" s="10">
        <v>8.0</v>
      </c>
      <c r="BS109" s="10">
        <v>10.0</v>
      </c>
      <c r="BT109" s="10">
        <v>9.0</v>
      </c>
      <c r="BU109" s="10">
        <v>7.0</v>
      </c>
      <c r="BV109" s="10">
        <v>11.0</v>
      </c>
      <c r="BW109" s="10">
        <v>6.0</v>
      </c>
      <c r="BX109" s="10">
        <v>5.0</v>
      </c>
      <c r="BY109" s="10">
        <v>7.0</v>
      </c>
      <c r="BZ109" s="10">
        <v>6.0</v>
      </c>
      <c r="CA109" s="10">
        <v>6.0</v>
      </c>
      <c r="CB109" s="10">
        <v>5.0</v>
      </c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115">
        <f t="shared" si="11"/>
        <v>33</v>
      </c>
      <c r="EO109" s="115">
        <f t="shared" si="12"/>
        <v>270</v>
      </c>
      <c r="EP109" s="115">
        <f t="shared" si="7"/>
        <v>8.181818182</v>
      </c>
      <c r="EQ109" s="114">
        <f t="shared" si="8"/>
        <v>8.18</v>
      </c>
      <c r="ER109" s="115"/>
    </row>
    <row r="110" ht="35.25" customHeight="1">
      <c r="A110" s="114"/>
      <c r="B110" s="115" t="s">
        <v>44</v>
      </c>
      <c r="C110" s="115" t="s">
        <v>266</v>
      </c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5"/>
      <c r="W110" s="114"/>
      <c r="X110" s="114"/>
      <c r="Y110" s="115"/>
      <c r="Z110" s="115"/>
      <c r="AA110" s="114"/>
      <c r="AB110" s="114"/>
      <c r="AC110" s="115"/>
      <c r="AD110" s="114"/>
      <c r="AE110" s="114"/>
      <c r="AF110" s="114"/>
      <c r="AG110" s="115"/>
      <c r="AH110" s="114"/>
      <c r="AI110" s="115"/>
      <c r="AJ110" s="115"/>
      <c r="AK110" s="115"/>
      <c r="AL110" s="115"/>
      <c r="AM110" s="115"/>
      <c r="AN110" s="115"/>
      <c r="AO110" s="115" t="s">
        <v>212</v>
      </c>
      <c r="AP110" s="115"/>
      <c r="AQ110" s="115"/>
      <c r="AR110" s="115">
        <v>8.0</v>
      </c>
      <c r="AS110" s="115">
        <v>8.0</v>
      </c>
      <c r="AT110" s="126">
        <v>19.0</v>
      </c>
      <c r="AU110" s="115">
        <v>8.0</v>
      </c>
      <c r="AV110" s="115">
        <v>14.0</v>
      </c>
      <c r="AW110" s="115">
        <v>7.0</v>
      </c>
      <c r="AX110" s="115">
        <v>13.0</v>
      </c>
      <c r="AY110" s="115">
        <v>8.0</v>
      </c>
      <c r="AZ110" s="115">
        <v>14.0</v>
      </c>
      <c r="BA110" s="115">
        <v>9.0</v>
      </c>
      <c r="BB110" s="115">
        <v>9.0</v>
      </c>
      <c r="BC110" s="115">
        <v>9.0</v>
      </c>
      <c r="BD110" s="115">
        <v>11.0</v>
      </c>
      <c r="BE110" s="115">
        <v>6.0</v>
      </c>
      <c r="BF110" s="115">
        <v>8.0</v>
      </c>
      <c r="BG110" s="115">
        <v>9.0</v>
      </c>
      <c r="BH110" s="115">
        <v>13.0</v>
      </c>
      <c r="BI110" s="115">
        <v>9.0</v>
      </c>
      <c r="BJ110" s="115">
        <v>9.0</v>
      </c>
      <c r="BK110" s="115">
        <v>6.0</v>
      </c>
      <c r="BL110" s="115">
        <v>8.0</v>
      </c>
      <c r="BM110" s="115">
        <v>8.0</v>
      </c>
      <c r="BN110" s="115">
        <v>0.0</v>
      </c>
      <c r="BO110" s="115">
        <v>6.0</v>
      </c>
      <c r="BP110" s="115">
        <v>9.0</v>
      </c>
      <c r="BQ110" s="115">
        <v>9.0</v>
      </c>
      <c r="BR110" s="115">
        <v>6.0</v>
      </c>
      <c r="BS110" s="115">
        <v>8.0</v>
      </c>
      <c r="BT110" s="115">
        <v>6.0</v>
      </c>
      <c r="BU110" s="115">
        <v>7.0</v>
      </c>
      <c r="BV110" s="115">
        <v>10.0</v>
      </c>
      <c r="BW110" s="115">
        <v>5.0</v>
      </c>
      <c r="BX110" s="115">
        <v>8.0</v>
      </c>
      <c r="BY110" s="115">
        <v>7.0</v>
      </c>
      <c r="BZ110" s="115">
        <v>8.0</v>
      </c>
      <c r="CA110" s="115">
        <v>6.0</v>
      </c>
      <c r="CB110" s="115">
        <v>9.0</v>
      </c>
      <c r="CC110" s="115">
        <v>8.0</v>
      </c>
      <c r="CD110" s="115">
        <v>6.0</v>
      </c>
      <c r="CE110" s="115">
        <v>7.0</v>
      </c>
      <c r="CF110" s="115">
        <v>7.0</v>
      </c>
      <c r="CG110" s="115">
        <v>3.0</v>
      </c>
      <c r="CH110" s="115">
        <v>3.0</v>
      </c>
      <c r="CI110" s="115"/>
      <c r="CJ110" s="115"/>
      <c r="CK110" s="115" t="s">
        <v>213</v>
      </c>
      <c r="CL110" s="115" t="s">
        <v>212</v>
      </c>
      <c r="CM110" s="115" t="s">
        <v>213</v>
      </c>
      <c r="CN110" s="115"/>
      <c r="CO110" s="115"/>
      <c r="CP110" s="115"/>
      <c r="CQ110" s="115"/>
      <c r="CR110" s="115"/>
      <c r="CS110" s="115"/>
      <c r="CT110" s="115"/>
      <c r="CU110" s="115"/>
      <c r="CV110" s="115"/>
      <c r="CW110" s="115"/>
      <c r="CX110" s="115"/>
      <c r="CY110" s="115"/>
      <c r="CZ110" s="115"/>
      <c r="DA110" s="115"/>
      <c r="DB110" s="115"/>
      <c r="DC110" s="115"/>
      <c r="DD110" s="115"/>
      <c r="DE110" s="115"/>
      <c r="DF110" s="115"/>
      <c r="DG110" s="115"/>
      <c r="DH110" s="115"/>
      <c r="DI110" s="115"/>
      <c r="DJ110" s="115"/>
      <c r="DK110" s="115"/>
      <c r="DL110" s="115"/>
      <c r="DM110" s="115"/>
      <c r="DN110" s="114"/>
      <c r="DO110" s="114"/>
      <c r="DP110" s="115"/>
      <c r="DQ110" s="115"/>
      <c r="DR110" s="114"/>
      <c r="DS110" s="114"/>
      <c r="DT110" s="114"/>
      <c r="DU110" s="114"/>
      <c r="DV110" s="114"/>
      <c r="DW110" s="114"/>
      <c r="DX110" s="114"/>
      <c r="DY110" s="114"/>
      <c r="DZ110" s="115"/>
      <c r="EA110" s="114"/>
      <c r="EB110" s="114"/>
      <c r="EC110" s="115"/>
      <c r="ED110" s="114"/>
      <c r="EE110" s="114"/>
      <c r="EF110" s="114"/>
      <c r="EG110" s="129"/>
      <c r="EH110" s="129"/>
      <c r="EI110" s="115"/>
      <c r="EJ110" s="115"/>
      <c r="EK110" s="115"/>
      <c r="EL110" s="115"/>
      <c r="EM110" s="115"/>
      <c r="EN110" s="115">
        <f t="shared" si="11"/>
        <v>43</v>
      </c>
      <c r="EO110" s="115">
        <f t="shared" si="12"/>
        <v>351</v>
      </c>
      <c r="EP110" s="115">
        <f t="shared" si="7"/>
        <v>8.162790698</v>
      </c>
      <c r="EQ110" s="114">
        <f t="shared" si="8"/>
        <v>8.16</v>
      </c>
      <c r="ER110" s="115"/>
    </row>
    <row r="111" ht="35.25" customHeight="1">
      <c r="A111" s="10"/>
      <c r="B111" s="10" t="s">
        <v>44</v>
      </c>
      <c r="C111" s="10" t="s">
        <v>267</v>
      </c>
      <c r="D111" s="47"/>
      <c r="E111" s="47"/>
      <c r="F111" s="47"/>
      <c r="G111" s="47"/>
      <c r="H111" s="47"/>
      <c r="I111" s="47"/>
      <c r="J111" s="47"/>
      <c r="K111" s="47"/>
      <c r="L111" s="10">
        <v>8.0</v>
      </c>
      <c r="M111" s="10">
        <v>8.0</v>
      </c>
      <c r="N111" s="10">
        <v>8.0</v>
      </c>
      <c r="O111" s="10">
        <v>6.0</v>
      </c>
      <c r="P111" s="10">
        <v>6.0</v>
      </c>
      <c r="Q111" s="10">
        <v>8.0</v>
      </c>
      <c r="R111" s="10">
        <v>8.0</v>
      </c>
      <c r="S111" s="10">
        <v>5.0</v>
      </c>
      <c r="T111" s="10">
        <v>7.0</v>
      </c>
      <c r="U111" s="10">
        <v>8.0</v>
      </c>
      <c r="V111" s="10">
        <v>6.0</v>
      </c>
      <c r="W111" s="10">
        <v>8.0</v>
      </c>
      <c r="X111" s="10">
        <v>7.0</v>
      </c>
      <c r="Y111" s="10">
        <v>7.0</v>
      </c>
      <c r="Z111" s="10">
        <v>7.0</v>
      </c>
      <c r="AA111" s="10">
        <v>8.0</v>
      </c>
      <c r="AB111" s="10">
        <v>9.0</v>
      </c>
      <c r="AC111" s="10">
        <v>8.0</v>
      </c>
      <c r="AD111" s="10">
        <v>6.0</v>
      </c>
      <c r="AE111" s="10">
        <v>9.0</v>
      </c>
      <c r="AF111" s="142">
        <v>29.0</v>
      </c>
      <c r="AG111" s="10">
        <v>8.0</v>
      </c>
      <c r="AH111" s="10">
        <v>8.0</v>
      </c>
      <c r="AI111" s="10">
        <v>7.0</v>
      </c>
      <c r="AJ111" s="10">
        <v>8.0</v>
      </c>
      <c r="AK111" s="10">
        <v>6.0</v>
      </c>
      <c r="AL111" s="47"/>
      <c r="AM111" s="10">
        <v>8.0</v>
      </c>
      <c r="AN111" s="10">
        <v>11.0</v>
      </c>
      <c r="AO111" s="10">
        <v>10.0</v>
      </c>
      <c r="AP111" s="10">
        <v>5.0</v>
      </c>
      <c r="AQ111" s="10">
        <v>6.0</v>
      </c>
      <c r="AR111" s="10">
        <v>5.0</v>
      </c>
      <c r="AS111" s="47"/>
      <c r="AT111" s="10">
        <v>7.0</v>
      </c>
      <c r="AU111" s="10">
        <v>9.0</v>
      </c>
      <c r="AV111" s="10">
        <v>9.0</v>
      </c>
      <c r="AW111" s="10">
        <v>7.0</v>
      </c>
      <c r="AX111" s="10">
        <v>6.0</v>
      </c>
      <c r="AY111" s="10">
        <v>10.0</v>
      </c>
      <c r="AZ111" s="10">
        <v>5.0</v>
      </c>
      <c r="BA111" s="142">
        <v>16.0</v>
      </c>
      <c r="BB111" s="10">
        <v>6.0</v>
      </c>
      <c r="BC111" s="10">
        <v>8.0</v>
      </c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10">
        <v>10.0</v>
      </c>
      <c r="BP111" s="10">
        <v>4.0</v>
      </c>
      <c r="BQ111" s="10">
        <v>6.0</v>
      </c>
      <c r="BR111" s="10">
        <v>8.0</v>
      </c>
      <c r="BS111" s="10">
        <v>4.0</v>
      </c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/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/>
      <c r="EM111" s="47"/>
      <c r="EN111" s="115">
        <f t="shared" si="11"/>
        <v>47</v>
      </c>
      <c r="EO111" s="115">
        <f t="shared" si="12"/>
        <v>373</v>
      </c>
      <c r="EP111" s="115">
        <f t="shared" si="7"/>
        <v>7.936170213</v>
      </c>
      <c r="EQ111" s="114">
        <f t="shared" si="8"/>
        <v>7.94</v>
      </c>
      <c r="ER111" s="115"/>
    </row>
    <row r="112" ht="35.25" customHeight="1">
      <c r="A112" s="10"/>
      <c r="B112" s="10">
        <v>3.0</v>
      </c>
      <c r="C112" s="10" t="s">
        <v>268</v>
      </c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10">
        <v>8.0</v>
      </c>
      <c r="O112" s="10">
        <v>9.0</v>
      </c>
      <c r="P112" s="10">
        <v>4.0</v>
      </c>
      <c r="Q112" s="10">
        <v>9.0</v>
      </c>
      <c r="R112" s="10">
        <v>4.0</v>
      </c>
      <c r="S112" s="10">
        <v>8.0</v>
      </c>
      <c r="T112" s="10">
        <v>7.0</v>
      </c>
      <c r="U112" s="10">
        <v>8.0</v>
      </c>
      <c r="V112" s="10">
        <v>9.0</v>
      </c>
      <c r="W112" s="10">
        <v>7.0</v>
      </c>
      <c r="X112" s="10">
        <v>5.0</v>
      </c>
      <c r="Y112" s="10">
        <v>9.0</v>
      </c>
      <c r="Z112" s="10">
        <v>7.0</v>
      </c>
      <c r="AA112" s="10">
        <v>8.0</v>
      </c>
      <c r="AB112" s="10">
        <v>8.0</v>
      </c>
      <c r="AC112" s="10">
        <v>10.0</v>
      </c>
      <c r="AD112" s="10">
        <v>4.0</v>
      </c>
      <c r="AE112" s="142">
        <v>16.0</v>
      </c>
      <c r="AF112" s="10">
        <v>11.0</v>
      </c>
      <c r="AG112" s="10">
        <v>5.0</v>
      </c>
      <c r="AH112" s="142">
        <v>16.0</v>
      </c>
      <c r="AI112" s="10">
        <v>2.0</v>
      </c>
      <c r="AJ112" s="47"/>
      <c r="AK112" s="10">
        <v>8.0</v>
      </c>
      <c r="AL112" s="10">
        <v>7.0</v>
      </c>
      <c r="AM112" s="10">
        <v>8.0</v>
      </c>
      <c r="AN112" s="10">
        <v>10.0</v>
      </c>
      <c r="AO112" s="10">
        <v>8.0</v>
      </c>
      <c r="AP112" s="47"/>
      <c r="AQ112" s="142">
        <v>17.0</v>
      </c>
      <c r="AR112" s="10">
        <v>5.0</v>
      </c>
      <c r="AS112" s="10">
        <v>8.0</v>
      </c>
      <c r="AT112" s="10">
        <v>12.0</v>
      </c>
      <c r="AU112" s="10">
        <v>9.0</v>
      </c>
      <c r="AV112" s="10">
        <v>15.0</v>
      </c>
      <c r="AW112" s="10">
        <v>8.0</v>
      </c>
      <c r="AX112" s="10">
        <v>5.0</v>
      </c>
      <c r="AY112" s="10">
        <v>8.0</v>
      </c>
      <c r="AZ112" s="10">
        <v>5.0</v>
      </c>
      <c r="BA112" s="10">
        <v>8.0</v>
      </c>
      <c r="BB112" s="10">
        <v>3.0</v>
      </c>
      <c r="BC112" s="47"/>
      <c r="BD112" s="10">
        <v>4.0</v>
      </c>
      <c r="BE112" s="47"/>
      <c r="BF112" s="142">
        <v>19.0</v>
      </c>
      <c r="BG112" s="10">
        <v>2.0</v>
      </c>
      <c r="BH112" s="10">
        <v>2.0</v>
      </c>
      <c r="BI112" s="47"/>
      <c r="BJ112" s="47"/>
      <c r="BK112" s="47"/>
      <c r="BL112" s="10">
        <v>8.0</v>
      </c>
      <c r="BM112" s="10">
        <v>8.0</v>
      </c>
      <c r="BN112" s="10">
        <v>3.0</v>
      </c>
      <c r="BO112" s="10">
        <v>8.0</v>
      </c>
      <c r="BP112" s="10">
        <v>5.0</v>
      </c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115">
        <f t="shared" si="11"/>
        <v>48</v>
      </c>
      <c r="EO112" s="115">
        <f t="shared" si="12"/>
        <v>377</v>
      </c>
      <c r="EP112" s="115">
        <f t="shared" si="7"/>
        <v>7.854166667</v>
      </c>
      <c r="EQ112" s="114">
        <f t="shared" si="8"/>
        <v>7.85</v>
      </c>
      <c r="ER112" s="115"/>
    </row>
    <row r="113" ht="35.25" customHeight="1">
      <c r="A113" s="47"/>
      <c r="B113" s="10" t="s">
        <v>44</v>
      </c>
      <c r="C113" s="10" t="s">
        <v>269</v>
      </c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10">
        <v>6.0</v>
      </c>
      <c r="AJ113" s="10">
        <v>10.0</v>
      </c>
      <c r="AK113" s="132">
        <v>18.0</v>
      </c>
      <c r="AL113" s="10">
        <v>6.0</v>
      </c>
      <c r="AM113" s="10">
        <v>7.0</v>
      </c>
      <c r="AN113" s="10">
        <v>9.0</v>
      </c>
      <c r="AO113" s="10">
        <v>5.0</v>
      </c>
      <c r="AP113" s="10">
        <v>4.0</v>
      </c>
      <c r="AQ113" s="47"/>
      <c r="AR113" s="10">
        <v>8.0</v>
      </c>
      <c r="AS113" s="10">
        <v>8.0</v>
      </c>
      <c r="AT113" s="10">
        <v>11.0</v>
      </c>
      <c r="AU113" s="10">
        <v>9.0</v>
      </c>
      <c r="AV113" s="10">
        <v>13.0</v>
      </c>
      <c r="AW113" s="10">
        <v>18.0</v>
      </c>
      <c r="AX113" s="10">
        <v>11.0</v>
      </c>
      <c r="AY113" s="10">
        <v>4.0</v>
      </c>
      <c r="AZ113" s="10">
        <v>8.0</v>
      </c>
      <c r="BA113" s="10">
        <v>2.0</v>
      </c>
      <c r="BB113" s="10">
        <v>5.0</v>
      </c>
      <c r="BC113" s="47"/>
      <c r="BD113" s="10">
        <v>8.0</v>
      </c>
      <c r="BE113" s="47"/>
      <c r="BF113" s="47"/>
      <c r="BG113" s="47"/>
      <c r="BH113" s="47"/>
      <c r="BI113" s="47"/>
      <c r="BJ113" s="10">
        <v>7.0</v>
      </c>
      <c r="BK113" s="47"/>
      <c r="BL113" s="10">
        <v>9.0</v>
      </c>
      <c r="BM113" s="47"/>
      <c r="BN113" s="47"/>
      <c r="BO113" s="47"/>
      <c r="BP113" s="47"/>
      <c r="BQ113" s="47"/>
      <c r="BR113" s="10">
        <v>1.0</v>
      </c>
      <c r="BS113" s="47"/>
      <c r="BT113" s="47"/>
      <c r="BU113" s="47"/>
      <c r="BV113" s="47"/>
      <c r="BW113" s="47"/>
      <c r="BX113" s="47"/>
      <c r="BY113" s="10">
        <v>8.0</v>
      </c>
      <c r="BZ113" s="10">
        <v>6.0</v>
      </c>
      <c r="CA113" s="10">
        <v>9.0</v>
      </c>
      <c r="CB113" s="10">
        <v>4.0</v>
      </c>
      <c r="CC113" s="10">
        <v>8.0</v>
      </c>
      <c r="CD113" s="10">
        <v>8.0</v>
      </c>
      <c r="CE113" s="10">
        <v>5.0</v>
      </c>
      <c r="CF113" s="10">
        <v>10.0</v>
      </c>
      <c r="CG113" s="10">
        <v>7.0</v>
      </c>
      <c r="CH113" s="10">
        <v>8.0</v>
      </c>
      <c r="CI113" s="10">
        <v>6.0</v>
      </c>
      <c r="CJ113" s="10">
        <v>2.0</v>
      </c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115">
        <f t="shared" si="11"/>
        <v>35</v>
      </c>
      <c r="EO113" s="115">
        <f t="shared" si="12"/>
        <v>268</v>
      </c>
      <c r="EP113" s="115">
        <f t="shared" si="7"/>
        <v>7.657142857</v>
      </c>
      <c r="EQ113" s="114">
        <f t="shared" si="8"/>
        <v>7.66</v>
      </c>
      <c r="ER113" s="115"/>
    </row>
    <row r="114" ht="35.25" customHeight="1">
      <c r="A114" s="115" t="str">
        <f>image("http://sumo.or.jp/img/sumo_data/rikishi/60x60/20030109.jpg")</f>
        <v/>
      </c>
      <c r="B114" s="115">
        <v>2.0</v>
      </c>
      <c r="C114" s="115" t="s">
        <v>270</v>
      </c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  <c r="BQ114" s="115"/>
      <c r="BR114" s="115"/>
      <c r="BS114" s="115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 t="s">
        <v>212</v>
      </c>
      <c r="CE114" s="115"/>
      <c r="CF114" s="115"/>
      <c r="CG114" s="115"/>
      <c r="CH114" s="115">
        <v>8.0</v>
      </c>
      <c r="CI114" s="115">
        <v>6.0</v>
      </c>
      <c r="CJ114" s="115">
        <v>8.0</v>
      </c>
      <c r="CK114" s="115" t="s">
        <v>227</v>
      </c>
      <c r="CL114" s="115" t="s">
        <v>227</v>
      </c>
      <c r="CM114" s="115" t="s">
        <v>227</v>
      </c>
      <c r="CN114" s="115" t="s">
        <v>227</v>
      </c>
      <c r="CO114" s="115" t="s">
        <v>227</v>
      </c>
      <c r="CP114" s="115" t="s">
        <v>227</v>
      </c>
      <c r="CQ114" s="115" t="s">
        <v>227</v>
      </c>
      <c r="CR114" s="115" t="s">
        <v>227</v>
      </c>
      <c r="CS114" s="115" t="s">
        <v>227</v>
      </c>
      <c r="CT114" s="115" t="s">
        <v>227</v>
      </c>
      <c r="CU114" s="115" t="s">
        <v>227</v>
      </c>
      <c r="CV114" s="115" t="s">
        <v>227</v>
      </c>
      <c r="CW114" s="115" t="s">
        <v>227</v>
      </c>
      <c r="CX114" s="115">
        <v>6.0</v>
      </c>
      <c r="CY114" s="115"/>
      <c r="CZ114" s="115"/>
      <c r="DA114" s="115"/>
      <c r="DB114" s="115"/>
      <c r="DC114" s="115">
        <v>8.0</v>
      </c>
      <c r="DD114" s="115">
        <v>7.0</v>
      </c>
      <c r="DE114" s="115">
        <v>7.0</v>
      </c>
      <c r="DF114" s="115">
        <v>9.0</v>
      </c>
      <c r="DG114" s="115">
        <v>6.0</v>
      </c>
      <c r="DH114" s="115">
        <v>9.0</v>
      </c>
      <c r="DI114" s="115">
        <v>1.0</v>
      </c>
      <c r="DJ114" s="115"/>
      <c r="DK114" s="115">
        <v>8.0</v>
      </c>
      <c r="DL114" s="115">
        <v>9.0</v>
      </c>
      <c r="DM114" s="115">
        <v>8.0</v>
      </c>
      <c r="DN114" s="115">
        <v>5.0</v>
      </c>
      <c r="DO114" s="115">
        <v>7.0</v>
      </c>
      <c r="DP114" s="115">
        <v>6.0</v>
      </c>
      <c r="DQ114" s="115">
        <v>5.0</v>
      </c>
      <c r="DR114" s="115">
        <v>9.0</v>
      </c>
      <c r="DS114" s="126">
        <v>18.0</v>
      </c>
      <c r="DT114" s="115">
        <v>10.0</v>
      </c>
      <c r="DU114" s="115">
        <v>5.0</v>
      </c>
      <c r="DV114" s="115">
        <v>6.0</v>
      </c>
      <c r="DW114" s="115"/>
      <c r="DX114" s="115"/>
      <c r="DY114" s="115">
        <v>6.0</v>
      </c>
      <c r="DZ114" s="115">
        <v>5.0</v>
      </c>
      <c r="EA114" s="114"/>
      <c r="EB114" s="114"/>
      <c r="EC114" s="115" t="s">
        <v>213</v>
      </c>
      <c r="ED114" s="115"/>
      <c r="EE114" s="115" t="s">
        <v>212</v>
      </c>
      <c r="EF114" s="115"/>
      <c r="EG114" s="115"/>
      <c r="EH114" s="115"/>
      <c r="EI114" s="115"/>
      <c r="EJ114" s="115"/>
      <c r="EK114" s="115"/>
      <c r="EL114" s="115"/>
      <c r="EM114" s="115"/>
      <c r="EN114" s="115">
        <f t="shared" si="11"/>
        <v>25</v>
      </c>
      <c r="EO114" s="115">
        <f t="shared" si="12"/>
        <v>182</v>
      </c>
      <c r="EP114" s="115">
        <f t="shared" si="7"/>
        <v>7.28</v>
      </c>
      <c r="EQ114" s="114">
        <f t="shared" si="8"/>
        <v>7.28</v>
      </c>
      <c r="ER114" s="115"/>
    </row>
    <row r="115" ht="35.25" customHeight="1">
      <c r="A115" s="115" t="str">
        <f>image("http://sumo.or.jp/img/sumo_data/rikishi/60x60/20020093.jpg")</f>
        <v/>
      </c>
      <c r="B115" s="115">
        <v>2.0</v>
      </c>
      <c r="C115" s="115" t="s">
        <v>271</v>
      </c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  <c r="BW115" s="115"/>
      <c r="BX115" s="115"/>
      <c r="BY115" s="115"/>
      <c r="BZ115" s="115"/>
      <c r="CA115" s="115"/>
      <c r="CB115" s="115"/>
      <c r="CC115" s="115"/>
      <c r="CD115" s="115"/>
      <c r="CE115" s="115"/>
      <c r="CF115" s="115"/>
      <c r="CG115" s="115"/>
      <c r="CH115" s="115"/>
      <c r="CI115" s="115"/>
      <c r="CJ115" s="115"/>
      <c r="CK115" s="115"/>
      <c r="CL115" s="115"/>
      <c r="CM115" s="115"/>
      <c r="CN115" s="115"/>
      <c r="CO115" s="115"/>
      <c r="CP115" s="115"/>
      <c r="CQ115" s="115"/>
      <c r="CR115" s="115"/>
      <c r="CS115" s="115"/>
      <c r="CT115" s="115"/>
      <c r="CU115" s="115"/>
      <c r="CV115" s="115"/>
      <c r="CW115" s="115"/>
      <c r="CX115" s="115"/>
      <c r="CY115" s="115"/>
      <c r="CZ115" s="115"/>
      <c r="DA115" s="115"/>
      <c r="DB115" s="115"/>
      <c r="DC115" s="115"/>
      <c r="DD115" s="115">
        <v>7.0</v>
      </c>
      <c r="DE115" s="115">
        <v>10.0</v>
      </c>
      <c r="DF115" s="115">
        <v>5.0</v>
      </c>
      <c r="DG115" s="115">
        <v>8.0</v>
      </c>
      <c r="DH115" s="115">
        <v>7.0</v>
      </c>
      <c r="DI115" s="115">
        <v>8.0</v>
      </c>
      <c r="DJ115" s="115">
        <v>2.0</v>
      </c>
      <c r="DK115" s="114"/>
      <c r="DL115" s="114"/>
      <c r="DM115" s="114"/>
      <c r="DN115" s="114"/>
      <c r="DO115" s="114"/>
      <c r="DP115" s="115">
        <v>9.0</v>
      </c>
      <c r="DQ115" s="115">
        <v>7.0</v>
      </c>
      <c r="DR115" s="115">
        <v>11.0</v>
      </c>
      <c r="DS115" s="115">
        <v>17.0</v>
      </c>
      <c r="DT115" s="115">
        <v>7.0</v>
      </c>
      <c r="DU115" s="115">
        <v>7.0</v>
      </c>
      <c r="DV115" s="115">
        <v>8.0</v>
      </c>
      <c r="DW115" s="115">
        <v>11.0</v>
      </c>
      <c r="DX115" s="115">
        <v>8.0</v>
      </c>
      <c r="DY115" s="115">
        <v>16.0</v>
      </c>
      <c r="DZ115" s="115">
        <v>3.0</v>
      </c>
      <c r="EA115" s="115">
        <v>7.0</v>
      </c>
      <c r="EB115" s="115">
        <v>5.0</v>
      </c>
      <c r="EC115" s="115">
        <v>1.0</v>
      </c>
      <c r="ED115" s="115">
        <v>8.0</v>
      </c>
      <c r="EE115" s="115">
        <v>3.0</v>
      </c>
      <c r="EF115" s="115">
        <v>7.0</v>
      </c>
      <c r="EG115" s="129">
        <v>5.0</v>
      </c>
      <c r="EH115" s="115"/>
      <c r="EI115" s="115">
        <v>1.0</v>
      </c>
      <c r="EJ115" s="115"/>
      <c r="EK115" s="115"/>
      <c r="EL115" s="115"/>
      <c r="EM115" s="115"/>
      <c r="EN115" s="115">
        <f t="shared" si="11"/>
        <v>26</v>
      </c>
      <c r="EO115" s="115">
        <f t="shared" si="12"/>
        <v>188</v>
      </c>
      <c r="EP115" s="115">
        <f t="shared" si="7"/>
        <v>7.230769231</v>
      </c>
      <c r="EQ115" s="114">
        <f t="shared" si="8"/>
        <v>7.23</v>
      </c>
      <c r="ER115" s="115"/>
    </row>
    <row r="116" ht="35.25" customHeight="1">
      <c r="A116" s="115"/>
      <c r="B116" s="115">
        <v>2.0</v>
      </c>
      <c r="C116" s="115" t="s">
        <v>272</v>
      </c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5"/>
      <c r="BQ116" s="115"/>
      <c r="BR116" s="115"/>
      <c r="BS116" s="115"/>
      <c r="BT116" s="115"/>
      <c r="BU116" s="115"/>
      <c r="BV116" s="115"/>
      <c r="BW116" s="115" t="s">
        <v>212</v>
      </c>
      <c r="BX116" s="115"/>
      <c r="BY116" s="115">
        <v>7.0</v>
      </c>
      <c r="BZ116" s="115">
        <v>8.0</v>
      </c>
      <c r="CA116" s="118">
        <v>16.0</v>
      </c>
      <c r="CB116" s="115">
        <v>6.0</v>
      </c>
      <c r="CC116" s="115">
        <v>9.0</v>
      </c>
      <c r="CD116" s="115">
        <v>3.0</v>
      </c>
      <c r="CE116" s="115"/>
      <c r="CF116" s="115"/>
      <c r="CG116" s="115">
        <v>5.0</v>
      </c>
      <c r="CH116" s="115"/>
      <c r="CI116" s="115">
        <v>9.0</v>
      </c>
      <c r="CJ116" s="115">
        <v>8.0</v>
      </c>
      <c r="CK116" s="115">
        <v>4.0</v>
      </c>
      <c r="CL116" s="115">
        <v>7.0</v>
      </c>
      <c r="CM116" s="115">
        <v>9.0</v>
      </c>
      <c r="CN116" s="115"/>
      <c r="CO116" s="115"/>
      <c r="CP116" s="115">
        <v>9.0</v>
      </c>
      <c r="CQ116" s="115">
        <v>9.0</v>
      </c>
      <c r="CR116" s="115">
        <v>7.0</v>
      </c>
      <c r="CS116" s="115">
        <v>6.0</v>
      </c>
      <c r="CT116" s="115">
        <v>5.0</v>
      </c>
      <c r="CU116" s="115">
        <v>8.0</v>
      </c>
      <c r="CV116" s="115">
        <v>8.0</v>
      </c>
      <c r="CW116" s="115">
        <v>5.0</v>
      </c>
      <c r="CX116" s="115">
        <v>9.0</v>
      </c>
      <c r="CY116" s="115">
        <v>5.0</v>
      </c>
      <c r="CZ116" s="115">
        <v>9.0</v>
      </c>
      <c r="DA116" s="115">
        <v>2.0</v>
      </c>
      <c r="DB116" s="115"/>
      <c r="DC116" s="115"/>
      <c r="DD116" s="115"/>
      <c r="DE116" s="115"/>
      <c r="DF116" s="115"/>
      <c r="DG116" s="115"/>
      <c r="DH116" s="115"/>
      <c r="DI116" s="115"/>
      <c r="DJ116" s="115"/>
      <c r="DK116" s="115"/>
      <c r="DL116" s="115" t="s">
        <v>213</v>
      </c>
      <c r="DM116" s="115"/>
      <c r="DN116" s="115" t="s">
        <v>212</v>
      </c>
      <c r="DO116" s="115" t="s">
        <v>213</v>
      </c>
      <c r="DP116" s="115"/>
      <c r="DQ116" s="115"/>
      <c r="DR116" s="115"/>
      <c r="DS116" s="115"/>
      <c r="DT116" s="115"/>
      <c r="DU116" s="115"/>
      <c r="DV116" s="115"/>
      <c r="DW116" s="115"/>
      <c r="DX116" s="115"/>
      <c r="DY116" s="115"/>
      <c r="DZ116" s="115"/>
      <c r="EA116" s="115"/>
      <c r="EB116" s="129"/>
      <c r="EC116" s="115"/>
      <c r="ED116" s="115"/>
      <c r="EE116" s="115"/>
      <c r="EF116" s="115"/>
      <c r="EG116" s="115"/>
      <c r="EH116" s="115"/>
      <c r="EI116" s="115"/>
      <c r="EJ116" s="115"/>
      <c r="EK116" s="115"/>
      <c r="EL116" s="115"/>
      <c r="EM116" s="115"/>
      <c r="EN116" s="115">
        <f t="shared" si="11"/>
        <v>24</v>
      </c>
      <c r="EO116" s="115">
        <f t="shared" si="12"/>
        <v>173</v>
      </c>
      <c r="EP116" s="115">
        <f t="shared" si="7"/>
        <v>7.208333333</v>
      </c>
      <c r="EQ116" s="114">
        <f t="shared" si="8"/>
        <v>7.21</v>
      </c>
      <c r="ER116" s="115"/>
    </row>
    <row r="117" ht="35.25" customHeight="1">
      <c r="A117" s="10"/>
      <c r="B117" s="10">
        <v>1.0</v>
      </c>
      <c r="C117" s="10" t="s">
        <v>273</v>
      </c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132">
        <v>15.0</v>
      </c>
      <c r="AH117" s="132">
        <v>18.0</v>
      </c>
      <c r="AI117" s="10">
        <v>0.0</v>
      </c>
      <c r="AJ117" s="10">
        <v>6.0</v>
      </c>
      <c r="AK117" s="10">
        <v>10.0</v>
      </c>
      <c r="AL117" s="10">
        <v>5.0</v>
      </c>
      <c r="AM117" s="10">
        <v>4.0</v>
      </c>
      <c r="AN117" s="47"/>
      <c r="AO117" s="10">
        <v>7.0</v>
      </c>
      <c r="AP117" s="10">
        <v>9.0</v>
      </c>
      <c r="AQ117" s="10">
        <v>7.0</v>
      </c>
      <c r="AR117" s="10">
        <v>7.0</v>
      </c>
      <c r="AS117" s="10">
        <v>4.0</v>
      </c>
      <c r="AT117" s="10">
        <v>10.0</v>
      </c>
      <c r="AU117" s="10">
        <v>8.0</v>
      </c>
      <c r="AV117" s="10">
        <v>4.0</v>
      </c>
      <c r="AW117" s="10">
        <v>8.0</v>
      </c>
      <c r="AX117" s="10">
        <v>8.0</v>
      </c>
      <c r="AY117" s="10">
        <v>5.0</v>
      </c>
      <c r="AZ117" s="10">
        <v>9.0</v>
      </c>
      <c r="BA117" s="10">
        <v>6.0</v>
      </c>
      <c r="BB117" s="10">
        <v>6.0</v>
      </c>
      <c r="BC117" s="10">
        <v>4.0</v>
      </c>
      <c r="BD117" s="47"/>
      <c r="BE117" s="47"/>
      <c r="BF117" s="47"/>
      <c r="BG117" s="10">
        <v>8.0</v>
      </c>
      <c r="BH117" s="10">
        <v>7.0</v>
      </c>
      <c r="BI117" s="10">
        <v>4.0</v>
      </c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147">
        <f t="shared" si="11"/>
        <v>25</v>
      </c>
      <c r="EO117" s="115">
        <f t="shared" si="12"/>
        <v>179</v>
      </c>
      <c r="EP117" s="115">
        <f t="shared" si="7"/>
        <v>7.16</v>
      </c>
      <c r="EQ117" s="114">
        <f t="shared" si="8"/>
        <v>7.16</v>
      </c>
      <c r="ER117" s="115"/>
    </row>
    <row r="118" ht="35.25" customHeight="1">
      <c r="A118" s="115"/>
      <c r="B118" s="115">
        <v>2.0</v>
      </c>
      <c r="C118" s="115" t="s">
        <v>274</v>
      </c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15"/>
      <c r="BB118" s="115"/>
      <c r="BC118" s="115"/>
      <c r="BD118" s="115"/>
      <c r="BE118" s="115"/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 t="s">
        <v>212</v>
      </c>
      <c r="BP118" s="115"/>
      <c r="BQ118" s="115"/>
      <c r="BR118" s="115"/>
      <c r="BS118" s="115"/>
      <c r="BT118" s="115"/>
      <c r="BU118" s="115"/>
      <c r="BV118" s="115">
        <v>7.0</v>
      </c>
      <c r="BW118" s="115">
        <v>2.0</v>
      </c>
      <c r="BX118" s="115"/>
      <c r="BY118" s="115"/>
      <c r="BZ118" s="115"/>
      <c r="CA118" s="115"/>
      <c r="CB118" s="115"/>
      <c r="CC118" s="115"/>
      <c r="CD118" s="115">
        <v>9.0</v>
      </c>
      <c r="CE118" s="115">
        <v>10.0</v>
      </c>
      <c r="CF118" s="115">
        <v>12.0</v>
      </c>
      <c r="CG118" s="115">
        <v>9.0</v>
      </c>
      <c r="CH118" s="115">
        <v>9.0</v>
      </c>
      <c r="CI118" s="115">
        <v>5.0</v>
      </c>
      <c r="CJ118" s="115">
        <v>9.0</v>
      </c>
      <c r="CK118" s="115">
        <v>6.0</v>
      </c>
      <c r="CL118" s="115">
        <v>7.0</v>
      </c>
      <c r="CM118" s="115">
        <v>10.0</v>
      </c>
      <c r="CN118" s="115">
        <v>9.0</v>
      </c>
      <c r="CO118" s="115">
        <v>5.0</v>
      </c>
      <c r="CP118" s="115">
        <v>9.0</v>
      </c>
      <c r="CQ118" s="115">
        <v>5.0</v>
      </c>
      <c r="CR118" s="115">
        <v>9.0</v>
      </c>
      <c r="CS118" s="115">
        <v>6.0</v>
      </c>
      <c r="CT118" s="115">
        <v>8.0</v>
      </c>
      <c r="CU118" s="115">
        <v>8.0</v>
      </c>
      <c r="CV118" s="115">
        <v>10.0</v>
      </c>
      <c r="CW118" s="115">
        <v>4.0</v>
      </c>
      <c r="CX118" s="115">
        <v>8.0</v>
      </c>
      <c r="CY118" s="115">
        <v>6.0</v>
      </c>
      <c r="CZ118" s="115">
        <v>8.0</v>
      </c>
      <c r="DA118" s="115">
        <v>7.0</v>
      </c>
      <c r="DB118" s="115">
        <v>6.0</v>
      </c>
      <c r="DC118" s="115">
        <v>9.0</v>
      </c>
      <c r="DD118" s="115">
        <v>6.0</v>
      </c>
      <c r="DE118" s="115">
        <v>7.0</v>
      </c>
      <c r="DF118" s="115">
        <v>3.0</v>
      </c>
      <c r="DG118" s="115"/>
      <c r="DH118" s="115">
        <v>9.0</v>
      </c>
      <c r="DI118" s="115">
        <v>4.0</v>
      </c>
      <c r="DJ118" s="115">
        <v>5.0</v>
      </c>
      <c r="DK118" s="115">
        <v>7.0</v>
      </c>
      <c r="DL118" s="115">
        <v>7.0</v>
      </c>
      <c r="DM118" s="115">
        <v>7.0</v>
      </c>
      <c r="DN118" s="115">
        <v>3.0</v>
      </c>
      <c r="DO118" s="115"/>
      <c r="DP118" s="115"/>
      <c r="DQ118" s="115"/>
      <c r="DR118" s="115"/>
      <c r="DS118" s="115"/>
      <c r="DT118" s="115"/>
      <c r="DU118" s="115"/>
      <c r="DV118" s="115"/>
      <c r="DW118" s="115" t="s">
        <v>213</v>
      </c>
      <c r="DX118" s="115"/>
      <c r="DY118" s="115"/>
      <c r="DZ118" s="115"/>
      <c r="EA118" s="114"/>
      <c r="EB118" s="114"/>
      <c r="EC118" s="115"/>
      <c r="ED118" s="115"/>
      <c r="EE118" s="115"/>
      <c r="EF118" s="115"/>
      <c r="EG118" s="115"/>
      <c r="EH118" s="115"/>
      <c r="EI118" s="115"/>
      <c r="EJ118" s="115"/>
      <c r="EK118" s="115"/>
      <c r="EL118" s="115"/>
      <c r="EM118" s="115"/>
      <c r="EN118" s="115">
        <f t="shared" si="11"/>
        <v>38</v>
      </c>
      <c r="EO118" s="115">
        <f t="shared" si="12"/>
        <v>270</v>
      </c>
      <c r="EP118" s="115">
        <f t="shared" si="7"/>
        <v>7.105263158</v>
      </c>
      <c r="EQ118" s="114">
        <f t="shared" si="8"/>
        <v>7.11</v>
      </c>
      <c r="ER118" s="115"/>
    </row>
    <row r="119" ht="35.25" customHeight="1">
      <c r="A119" s="47"/>
      <c r="B119" s="10">
        <v>2.0</v>
      </c>
      <c r="C119" s="10" t="s">
        <v>275</v>
      </c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10">
        <v>8.0</v>
      </c>
      <c r="BD119" s="10">
        <v>7.0</v>
      </c>
      <c r="BE119" s="10">
        <v>10.0</v>
      </c>
      <c r="BF119" s="10">
        <v>4.0</v>
      </c>
      <c r="BG119" s="10">
        <v>9.0</v>
      </c>
      <c r="BH119" s="10">
        <v>10.0</v>
      </c>
      <c r="BI119" s="10">
        <v>5.0</v>
      </c>
      <c r="BJ119" s="10">
        <v>5.0</v>
      </c>
      <c r="BK119" s="10">
        <v>7.0</v>
      </c>
      <c r="BL119" s="10">
        <v>8.0</v>
      </c>
      <c r="BM119" s="10">
        <v>5.0</v>
      </c>
      <c r="BN119" s="47"/>
      <c r="BO119" s="10">
        <v>6.0</v>
      </c>
      <c r="BP119" s="10">
        <v>9.0</v>
      </c>
      <c r="BQ119" s="10">
        <v>3.0</v>
      </c>
      <c r="BR119" s="47"/>
      <c r="BS119" s="47"/>
      <c r="BT119" s="10">
        <v>4.0</v>
      </c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/>
      <c r="EC119" s="47"/>
      <c r="ED119" s="47"/>
      <c r="EE119" s="47"/>
      <c r="EF119" s="47"/>
      <c r="EG119" s="47"/>
      <c r="EH119" s="47"/>
      <c r="EI119" s="47"/>
      <c r="EJ119" s="47"/>
      <c r="EK119" s="47"/>
      <c r="EL119" s="47"/>
      <c r="EM119" s="47"/>
      <c r="EN119" s="147">
        <f t="shared" si="11"/>
        <v>15</v>
      </c>
      <c r="EO119" s="115">
        <f t="shared" si="12"/>
        <v>100</v>
      </c>
      <c r="EP119" s="115">
        <f t="shared" si="7"/>
        <v>6.666666667</v>
      </c>
      <c r="EQ119" s="114">
        <f t="shared" si="8"/>
        <v>6.67</v>
      </c>
      <c r="ER119" s="115"/>
    </row>
    <row r="120" ht="35.25" customHeight="1">
      <c r="A120" s="47"/>
      <c r="B120" s="10">
        <v>3.0</v>
      </c>
      <c r="C120" s="10" t="s">
        <v>276</v>
      </c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132">
        <v>15.0</v>
      </c>
      <c r="AO120" s="10">
        <v>8.0</v>
      </c>
      <c r="AP120" s="10">
        <v>4.0</v>
      </c>
      <c r="AQ120" s="10">
        <v>4.0</v>
      </c>
      <c r="AR120" s="47"/>
      <c r="AS120" s="47"/>
      <c r="AT120" s="47"/>
      <c r="AU120" s="47"/>
      <c r="AV120" s="47"/>
      <c r="AW120" s="10">
        <v>4.0</v>
      </c>
      <c r="AX120" s="47"/>
      <c r="AY120" s="10">
        <v>8.0</v>
      </c>
      <c r="AZ120" s="10">
        <v>9.0</v>
      </c>
      <c r="BA120" s="10">
        <v>1.0</v>
      </c>
      <c r="BB120" s="47"/>
      <c r="BC120" s="47"/>
      <c r="BD120" s="10">
        <v>7.0</v>
      </c>
      <c r="BE120" s="10">
        <v>8.0</v>
      </c>
      <c r="BF120" s="10">
        <v>9.0</v>
      </c>
      <c r="BG120" s="10">
        <v>7.0</v>
      </c>
      <c r="BH120" s="10">
        <v>6.0</v>
      </c>
      <c r="BI120" s="10">
        <v>5.0</v>
      </c>
      <c r="BJ120" s="10">
        <v>8.0</v>
      </c>
      <c r="BK120" s="10">
        <v>8.0</v>
      </c>
      <c r="BL120" s="10">
        <v>8.0</v>
      </c>
      <c r="BM120" s="10">
        <v>10.0</v>
      </c>
      <c r="BN120" s="10">
        <v>6.0</v>
      </c>
      <c r="BO120" s="10">
        <v>7.0</v>
      </c>
      <c r="BP120" s="10">
        <v>13.0</v>
      </c>
      <c r="BQ120" s="10">
        <v>4.0</v>
      </c>
      <c r="BR120" s="10">
        <v>8.0</v>
      </c>
      <c r="BS120" s="10">
        <v>8.0</v>
      </c>
      <c r="BT120" s="10">
        <v>3.0</v>
      </c>
      <c r="BU120" s="47"/>
      <c r="BV120" s="10">
        <v>2.0</v>
      </c>
      <c r="BW120" s="47"/>
      <c r="BX120" s="47"/>
      <c r="BY120" s="47"/>
      <c r="BZ120" s="47"/>
      <c r="CA120" s="10">
        <v>8.0</v>
      </c>
      <c r="CB120" s="10">
        <v>6.0</v>
      </c>
      <c r="CC120" s="10">
        <v>3.0</v>
      </c>
      <c r="CD120" s="47"/>
      <c r="CE120" s="10">
        <v>5.0</v>
      </c>
      <c r="CF120" s="47"/>
      <c r="CG120" s="47"/>
      <c r="CH120" s="10">
        <v>6.0</v>
      </c>
      <c r="CI120" s="10">
        <v>5.0</v>
      </c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  <c r="DS120" s="47"/>
      <c r="DT120" s="47"/>
      <c r="DU120" s="47"/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/>
      <c r="EG120" s="47"/>
      <c r="EH120" s="47"/>
      <c r="EI120" s="47"/>
      <c r="EJ120" s="47"/>
      <c r="EK120" s="47"/>
      <c r="EL120" s="47"/>
      <c r="EM120" s="47"/>
      <c r="EN120" s="115">
        <f t="shared" si="11"/>
        <v>32</v>
      </c>
      <c r="EO120" s="115">
        <f t="shared" si="12"/>
        <v>213</v>
      </c>
      <c r="EP120" s="115">
        <f t="shared" si="7"/>
        <v>6.65625</v>
      </c>
      <c r="EQ120" s="114">
        <f t="shared" si="8"/>
        <v>6.66</v>
      </c>
      <c r="ER120" s="115"/>
    </row>
    <row r="121" ht="35.25" customHeight="1">
      <c r="A121" s="114"/>
      <c r="B121" s="115">
        <v>1.0</v>
      </c>
      <c r="C121" s="115" t="s">
        <v>277</v>
      </c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114"/>
      <c r="BK121" s="114"/>
      <c r="BL121" s="114"/>
      <c r="BM121" s="114"/>
      <c r="BN121" s="114"/>
      <c r="BO121" s="114"/>
      <c r="BP121" s="114"/>
      <c r="BQ121" s="114"/>
      <c r="BR121" s="114"/>
      <c r="BS121" s="114"/>
      <c r="BT121" s="114"/>
      <c r="BU121" s="114"/>
      <c r="BV121" s="114"/>
      <c r="BW121" s="114"/>
      <c r="BX121" s="114"/>
      <c r="BY121" s="114"/>
      <c r="BZ121" s="114"/>
      <c r="CA121" s="114"/>
      <c r="CB121" s="114"/>
      <c r="CC121" s="114"/>
      <c r="CD121" s="114"/>
      <c r="CE121" s="114"/>
      <c r="CF121" s="114"/>
      <c r="CG121" s="114"/>
      <c r="CH121" s="115" t="s">
        <v>212</v>
      </c>
      <c r="CI121" s="114"/>
      <c r="CJ121" s="114"/>
      <c r="CK121" s="115">
        <v>7.0</v>
      </c>
      <c r="CL121" s="115">
        <v>8.0</v>
      </c>
      <c r="CM121" s="115">
        <v>9.0</v>
      </c>
      <c r="CN121" s="115">
        <v>13.0</v>
      </c>
      <c r="CO121" s="115">
        <v>8.0</v>
      </c>
      <c r="CP121" s="115">
        <v>10.0</v>
      </c>
      <c r="CQ121" s="115">
        <v>2.0</v>
      </c>
      <c r="CR121" s="115">
        <v>5.0</v>
      </c>
      <c r="CS121" s="115"/>
      <c r="CT121" s="115"/>
      <c r="CU121" s="115">
        <v>8.0</v>
      </c>
      <c r="CV121" s="115">
        <v>0.0</v>
      </c>
      <c r="CW121" s="115"/>
      <c r="CX121" s="114"/>
      <c r="CY121" s="115">
        <v>9.0</v>
      </c>
      <c r="CZ121" s="115">
        <v>5.0</v>
      </c>
      <c r="DA121" s="115">
        <v>9.0</v>
      </c>
      <c r="DB121" s="115">
        <v>4.0</v>
      </c>
      <c r="DC121" s="115">
        <v>9.0</v>
      </c>
      <c r="DD121" s="115">
        <v>6.0</v>
      </c>
      <c r="DE121" s="115">
        <v>4.0</v>
      </c>
      <c r="DF121" s="115">
        <v>3.0</v>
      </c>
      <c r="DG121" s="115"/>
      <c r="DH121" s="115"/>
      <c r="DI121" s="115"/>
      <c r="DJ121" s="115"/>
      <c r="DK121" s="115"/>
      <c r="DL121" s="115"/>
      <c r="DM121" s="115"/>
      <c r="DN121" s="114"/>
      <c r="DO121" s="114"/>
      <c r="DP121" s="115"/>
      <c r="DQ121" s="115"/>
      <c r="DR121" s="114"/>
      <c r="DS121" s="114"/>
      <c r="DT121" s="114"/>
      <c r="DU121" s="114"/>
      <c r="DV121" s="114"/>
      <c r="DW121" s="114"/>
      <c r="DX121" s="114"/>
      <c r="DY121" s="114"/>
      <c r="DZ121" s="115"/>
      <c r="EA121" s="114"/>
      <c r="EB121" s="114"/>
      <c r="EC121" s="115"/>
      <c r="ED121" s="114"/>
      <c r="EE121" s="114"/>
      <c r="EF121" s="114"/>
      <c r="EG121" s="129"/>
      <c r="EH121" s="129"/>
      <c r="EI121" s="115"/>
      <c r="EJ121" s="115"/>
      <c r="EK121" s="115"/>
      <c r="EL121" s="115"/>
      <c r="EM121" s="115"/>
      <c r="EN121" s="115">
        <f t="shared" si="11"/>
        <v>18</v>
      </c>
      <c r="EO121" s="115">
        <f t="shared" si="12"/>
        <v>119</v>
      </c>
      <c r="EP121" s="115">
        <f t="shared" si="7"/>
        <v>6.611111111</v>
      </c>
      <c r="EQ121" s="114">
        <f t="shared" si="8"/>
        <v>6.61</v>
      </c>
      <c r="ER121" s="115"/>
    </row>
    <row r="122" ht="35.25" customHeight="1">
      <c r="A122" s="10"/>
      <c r="B122" s="10">
        <v>6.0</v>
      </c>
      <c r="C122" s="10" t="s">
        <v>278</v>
      </c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10">
        <v>6.0</v>
      </c>
      <c r="Y122" s="47"/>
      <c r="Z122" s="47"/>
      <c r="AA122" s="10">
        <v>5.0</v>
      </c>
      <c r="AB122" s="47"/>
      <c r="AC122" s="10">
        <v>9.0</v>
      </c>
      <c r="AD122" s="10">
        <v>7.0</v>
      </c>
      <c r="AE122" s="10">
        <v>4.0</v>
      </c>
      <c r="AF122" s="47"/>
      <c r="AG122" s="47"/>
      <c r="AH122" s="10">
        <v>6.0</v>
      </c>
      <c r="AI122" s="47"/>
      <c r="AJ122" s="10">
        <v>6.0</v>
      </c>
      <c r="AK122" s="10">
        <v>5.0</v>
      </c>
      <c r="AL122" s="47"/>
      <c r="AM122" s="10">
        <v>8.0</v>
      </c>
      <c r="AN122" s="10">
        <v>5.0</v>
      </c>
      <c r="AO122" s="10">
        <v>9.0</v>
      </c>
      <c r="AP122" s="10">
        <v>8.0</v>
      </c>
      <c r="AQ122" s="10">
        <v>6.0</v>
      </c>
      <c r="AR122" s="10">
        <v>7.0</v>
      </c>
      <c r="AS122" s="10">
        <v>8.0</v>
      </c>
      <c r="AT122" s="10">
        <v>8.0</v>
      </c>
      <c r="AU122" s="10">
        <v>4.0</v>
      </c>
      <c r="AV122" s="10">
        <v>8.0</v>
      </c>
      <c r="AW122" s="10">
        <v>8.0</v>
      </c>
      <c r="AX122" s="10">
        <v>9.0</v>
      </c>
      <c r="AY122" s="10">
        <v>5.0</v>
      </c>
      <c r="AZ122" s="10">
        <v>9.0</v>
      </c>
      <c r="BA122" s="10">
        <v>7.0</v>
      </c>
      <c r="BB122" s="10">
        <v>6.0</v>
      </c>
      <c r="BC122" s="10">
        <v>5.0</v>
      </c>
      <c r="BD122" s="10">
        <v>6.0</v>
      </c>
      <c r="BE122" s="10">
        <v>9.0</v>
      </c>
      <c r="BF122" s="10">
        <v>7.0</v>
      </c>
      <c r="BG122" s="10">
        <v>4.0</v>
      </c>
      <c r="BH122" s="10">
        <v>8.0</v>
      </c>
      <c r="BI122" s="10">
        <v>8.0</v>
      </c>
      <c r="BJ122" s="10">
        <v>4.0</v>
      </c>
      <c r="BK122" s="47"/>
      <c r="BL122" s="10">
        <v>4.0</v>
      </c>
      <c r="BM122" s="10">
        <v>4.0</v>
      </c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147">
        <f t="shared" si="11"/>
        <v>34</v>
      </c>
      <c r="EO122" s="115">
        <f t="shared" si="12"/>
        <v>222</v>
      </c>
      <c r="EP122" s="115">
        <f t="shared" si="7"/>
        <v>6.529411765</v>
      </c>
      <c r="EQ122" s="114">
        <f t="shared" si="8"/>
        <v>6.53</v>
      </c>
      <c r="ER122" s="115"/>
    </row>
    <row r="123" ht="35.25" customHeight="1">
      <c r="A123" s="10"/>
      <c r="B123" s="10">
        <v>1.0</v>
      </c>
      <c r="C123" s="10" t="s">
        <v>279</v>
      </c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10">
        <v>8.0</v>
      </c>
      <c r="AA123" s="10">
        <v>8.0</v>
      </c>
      <c r="AB123" s="10">
        <v>8.0</v>
      </c>
      <c r="AC123" s="10">
        <v>8.0</v>
      </c>
      <c r="AD123" s="10">
        <v>7.0</v>
      </c>
      <c r="AE123" s="10">
        <v>4.0</v>
      </c>
      <c r="AF123" s="47"/>
      <c r="AG123" s="10">
        <v>7.0</v>
      </c>
      <c r="AH123" s="10">
        <v>9.0</v>
      </c>
      <c r="AI123" s="10">
        <v>5.0</v>
      </c>
      <c r="AJ123" s="10">
        <v>8.0</v>
      </c>
      <c r="AK123" s="10">
        <v>9.0</v>
      </c>
      <c r="AL123" s="10">
        <v>2.0</v>
      </c>
      <c r="AM123" s="10">
        <v>0.0</v>
      </c>
      <c r="AN123" s="47"/>
      <c r="AO123" s="47"/>
      <c r="AP123" s="47"/>
      <c r="AQ123" s="10">
        <v>8.0</v>
      </c>
      <c r="AR123" s="10">
        <v>5.0</v>
      </c>
      <c r="AS123" s="10">
        <v>7.0</v>
      </c>
      <c r="AT123" s="10">
        <v>9.0</v>
      </c>
      <c r="AU123" s="10">
        <v>7.0</v>
      </c>
      <c r="AV123" s="10">
        <v>7.0</v>
      </c>
      <c r="AW123" s="10">
        <v>6.0</v>
      </c>
      <c r="AX123" s="10">
        <v>5.0</v>
      </c>
      <c r="AY123" s="47"/>
      <c r="AZ123" s="47"/>
      <c r="BA123" s="47"/>
      <c r="BB123" s="47"/>
      <c r="BC123" s="10">
        <v>7.0</v>
      </c>
      <c r="BD123" s="10">
        <v>5.0</v>
      </c>
      <c r="BE123" s="47"/>
      <c r="BF123" s="10">
        <v>4.0</v>
      </c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  <c r="DS123" s="47"/>
      <c r="DT123" s="47"/>
      <c r="DU123" s="47"/>
      <c r="DV123" s="47"/>
      <c r="DW123" s="47"/>
      <c r="DX123" s="47"/>
      <c r="DY123" s="47"/>
      <c r="DZ123" s="47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147">
        <f t="shared" si="11"/>
        <v>24</v>
      </c>
      <c r="EO123" s="115">
        <f t="shared" si="12"/>
        <v>153</v>
      </c>
      <c r="EP123" s="115">
        <f t="shared" si="7"/>
        <v>6.375</v>
      </c>
      <c r="EQ123" s="114">
        <f t="shared" si="8"/>
        <v>6.38</v>
      </c>
      <c r="ER123" s="115"/>
    </row>
    <row r="124" ht="35.25" customHeight="1">
      <c r="A124" s="47"/>
      <c r="B124" s="10">
        <v>7.0</v>
      </c>
      <c r="C124" s="10" t="s">
        <v>280</v>
      </c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10">
        <v>7.0</v>
      </c>
      <c r="BV124" s="10">
        <v>7.0</v>
      </c>
      <c r="BW124" s="10">
        <v>6.0</v>
      </c>
      <c r="BX124" s="47"/>
      <c r="BY124" s="10">
        <v>7.0</v>
      </c>
      <c r="BZ124" s="10">
        <v>5.0</v>
      </c>
      <c r="CA124" s="47"/>
      <c r="CB124" s="47"/>
      <c r="CC124" s="10">
        <v>4.0</v>
      </c>
      <c r="CD124" s="47"/>
      <c r="CE124" s="47"/>
      <c r="CF124" s="10">
        <v>7.0</v>
      </c>
      <c r="CG124" s="10">
        <v>8.0</v>
      </c>
      <c r="CH124" s="10">
        <v>8.0</v>
      </c>
      <c r="CI124" s="10">
        <v>5.0</v>
      </c>
      <c r="CJ124" s="10">
        <v>6.0</v>
      </c>
      <c r="CK124" s="10">
        <v>7.0</v>
      </c>
      <c r="CL124" s="10">
        <v>7.0</v>
      </c>
      <c r="CM124" s="10">
        <v>7.0</v>
      </c>
      <c r="CN124" s="10">
        <v>4.0</v>
      </c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  <c r="DS124" s="47"/>
      <c r="DT124" s="47"/>
      <c r="DU124" s="47"/>
      <c r="DV124" s="47"/>
      <c r="DW124" s="47"/>
      <c r="DX124" s="47"/>
      <c r="DY124" s="47"/>
      <c r="DZ124" s="47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147">
        <f t="shared" si="11"/>
        <v>15</v>
      </c>
      <c r="EO124" s="115">
        <f t="shared" si="12"/>
        <v>95</v>
      </c>
      <c r="EP124" s="115">
        <f t="shared" si="7"/>
        <v>6.333333333</v>
      </c>
      <c r="EQ124" s="114">
        <f t="shared" si="8"/>
        <v>6.33</v>
      </c>
      <c r="ER124" s="115"/>
    </row>
    <row r="125" ht="35.25" customHeight="1">
      <c r="A125" s="115"/>
      <c r="B125" s="115">
        <v>2.0</v>
      </c>
      <c r="C125" s="115" t="s">
        <v>281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 t="s">
        <v>212</v>
      </c>
      <c r="CI125" s="115"/>
      <c r="CJ125" s="115"/>
      <c r="CK125" s="115"/>
      <c r="CL125" s="115"/>
      <c r="CM125" s="115"/>
      <c r="CN125" s="115">
        <v>8.0</v>
      </c>
      <c r="CO125" s="115">
        <v>8.0</v>
      </c>
      <c r="CP125" s="115">
        <v>6.0</v>
      </c>
      <c r="CQ125" s="115">
        <v>7.0</v>
      </c>
      <c r="CR125" s="115">
        <v>5.0</v>
      </c>
      <c r="CS125" s="115">
        <v>5.0</v>
      </c>
      <c r="CT125" s="115"/>
      <c r="CU125" s="115">
        <v>7.0</v>
      </c>
      <c r="CV125" s="115">
        <v>9.0</v>
      </c>
      <c r="CW125" s="115">
        <v>8.0</v>
      </c>
      <c r="CX125" s="115">
        <v>5.0</v>
      </c>
      <c r="CY125" s="115">
        <v>8.0</v>
      </c>
      <c r="CZ125" s="115">
        <v>7.0</v>
      </c>
      <c r="DA125" s="115">
        <v>6.0</v>
      </c>
      <c r="DB125" s="115">
        <v>2.0</v>
      </c>
      <c r="DC125" s="115"/>
      <c r="DD125" s="115"/>
      <c r="DE125" s="115">
        <v>4.0</v>
      </c>
      <c r="DF125" s="115"/>
      <c r="DG125" s="115">
        <v>8.0</v>
      </c>
      <c r="DH125" s="115">
        <v>9.0</v>
      </c>
      <c r="DI125" s="115">
        <v>6.0</v>
      </c>
      <c r="DJ125" s="115">
        <v>10.0</v>
      </c>
      <c r="DK125" s="115">
        <v>2.0</v>
      </c>
      <c r="DL125" s="115">
        <v>4.0</v>
      </c>
      <c r="DM125" s="115"/>
      <c r="DN125" s="115"/>
      <c r="DO125" s="115"/>
      <c r="DP125" s="115">
        <v>4.0</v>
      </c>
      <c r="DQ125" s="115"/>
      <c r="DR125" s="115"/>
      <c r="DS125" s="115"/>
      <c r="DT125" s="115"/>
      <c r="DU125" s="115"/>
      <c r="DV125" s="115"/>
      <c r="DW125" s="115"/>
      <c r="DX125" s="115"/>
      <c r="DY125" s="115"/>
      <c r="DZ125" s="115"/>
      <c r="EA125" s="114"/>
      <c r="EB125" s="114"/>
      <c r="EC125" s="115"/>
      <c r="ED125" s="115"/>
      <c r="EE125" s="115"/>
      <c r="EF125" s="115"/>
      <c r="EG125" s="115"/>
      <c r="EH125" s="115"/>
      <c r="EI125" s="115"/>
      <c r="EJ125" s="115"/>
      <c r="EK125" s="115"/>
      <c r="EL125" s="115"/>
      <c r="EM125" s="115"/>
      <c r="EN125" s="147">
        <f t="shared" si="11"/>
        <v>22</v>
      </c>
      <c r="EO125" s="115">
        <f t="shared" si="12"/>
        <v>138</v>
      </c>
      <c r="EP125" s="115">
        <f t="shared" si="7"/>
        <v>6.272727273</v>
      </c>
      <c r="EQ125" s="114">
        <f t="shared" si="8"/>
        <v>6.27</v>
      </c>
      <c r="ER125" s="115"/>
    </row>
    <row r="126" ht="35.25" customHeight="1">
      <c r="A126" s="47"/>
      <c r="B126" s="10">
        <v>1.0</v>
      </c>
      <c r="C126" s="10" t="s">
        <v>282</v>
      </c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10">
        <v>8.0</v>
      </c>
      <c r="CB126" s="10">
        <v>6.0</v>
      </c>
      <c r="CC126" s="10">
        <v>8.0</v>
      </c>
      <c r="CD126" s="10">
        <v>10.0</v>
      </c>
      <c r="CE126" s="10">
        <v>6.0</v>
      </c>
      <c r="CF126" s="10">
        <v>7.0</v>
      </c>
      <c r="CG126" s="10">
        <v>8.0</v>
      </c>
      <c r="CH126" s="10">
        <v>6.0</v>
      </c>
      <c r="CI126" s="10">
        <v>9.0</v>
      </c>
      <c r="CJ126" s="10">
        <v>7.0</v>
      </c>
      <c r="CK126" s="10">
        <v>10.0</v>
      </c>
      <c r="CL126" s="10">
        <v>0.0</v>
      </c>
      <c r="CM126" s="10">
        <v>4.0</v>
      </c>
      <c r="CN126" s="47"/>
      <c r="CO126" s="10">
        <v>4.0</v>
      </c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10">
        <v>0.0</v>
      </c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  <c r="DS126" s="47"/>
      <c r="DT126" s="47"/>
      <c r="DU126" s="47"/>
      <c r="DV126" s="47"/>
      <c r="DW126" s="47"/>
      <c r="DX126" s="47"/>
      <c r="DY126" s="47"/>
      <c r="DZ126" s="47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147">
        <f t="shared" si="11"/>
        <v>15</v>
      </c>
      <c r="EO126" s="115">
        <f t="shared" si="12"/>
        <v>93</v>
      </c>
      <c r="EP126" s="115">
        <f t="shared" si="7"/>
        <v>6.2</v>
      </c>
      <c r="EQ126" s="114">
        <f t="shared" si="8"/>
        <v>6.2</v>
      </c>
      <c r="ER126" s="115"/>
    </row>
    <row r="127" ht="35.25" customHeight="1">
      <c r="A127" s="10"/>
      <c r="B127" s="10">
        <v>4.0</v>
      </c>
      <c r="C127" s="10" t="s">
        <v>283</v>
      </c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10">
        <v>8.0</v>
      </c>
      <c r="U127" s="10">
        <v>8.0</v>
      </c>
      <c r="V127" s="10">
        <v>5.0</v>
      </c>
      <c r="W127" s="47"/>
      <c r="X127" s="47"/>
      <c r="Y127" s="10">
        <v>8.0</v>
      </c>
      <c r="Z127" s="10">
        <v>6.0</v>
      </c>
      <c r="AA127" s="10">
        <v>5.0</v>
      </c>
      <c r="AB127" s="47"/>
      <c r="AC127" s="10">
        <v>8.0</v>
      </c>
      <c r="AD127" s="10">
        <v>8.0</v>
      </c>
      <c r="AE127" s="10">
        <v>4.0</v>
      </c>
      <c r="AF127" s="10">
        <v>7.0</v>
      </c>
      <c r="AG127" s="10">
        <v>8.0</v>
      </c>
      <c r="AH127" s="10">
        <v>8.0</v>
      </c>
      <c r="AI127" s="10">
        <v>6.0</v>
      </c>
      <c r="AJ127" s="10">
        <v>7.0</v>
      </c>
      <c r="AK127" s="10">
        <v>5.0</v>
      </c>
      <c r="AL127" s="10">
        <v>5.0</v>
      </c>
      <c r="AM127" s="47"/>
      <c r="AN127" s="10">
        <v>4.0</v>
      </c>
      <c r="AO127" s="47"/>
      <c r="AP127" s="10">
        <v>8.0</v>
      </c>
      <c r="AQ127" s="10">
        <v>5.0</v>
      </c>
      <c r="AR127" s="10">
        <v>8.0</v>
      </c>
      <c r="AS127" s="10">
        <v>5.0</v>
      </c>
      <c r="AT127" s="47"/>
      <c r="AU127" s="47"/>
      <c r="AV127" s="47"/>
      <c r="AW127" s="10">
        <v>8.0</v>
      </c>
      <c r="AX127" s="10">
        <v>3.0</v>
      </c>
      <c r="AY127" s="47"/>
      <c r="AZ127" s="47"/>
      <c r="BA127" s="10">
        <v>4.0</v>
      </c>
      <c r="BB127" s="47"/>
      <c r="BC127" s="47"/>
      <c r="BD127" s="47"/>
      <c r="BE127" s="47"/>
      <c r="BF127" s="47"/>
      <c r="BG127" s="10">
        <v>4.0</v>
      </c>
      <c r="BH127" s="47"/>
      <c r="BI127" s="47"/>
      <c r="BJ127" s="47"/>
      <c r="BK127" s="10">
        <v>7.0</v>
      </c>
      <c r="BL127" s="10">
        <v>7.0</v>
      </c>
      <c r="BM127" s="47"/>
      <c r="BN127" s="10">
        <v>4.0</v>
      </c>
      <c r="BO127" s="10">
        <v>6.0</v>
      </c>
      <c r="BP127" s="47"/>
      <c r="BQ127" s="47"/>
      <c r="BR127" s="47"/>
      <c r="BS127" s="10">
        <v>5.0</v>
      </c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  <c r="DS127" s="47"/>
      <c r="DT127" s="47"/>
      <c r="DU127" s="47"/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147">
        <f t="shared" si="11"/>
        <v>30</v>
      </c>
      <c r="EO127" s="115">
        <f t="shared" si="12"/>
        <v>184</v>
      </c>
      <c r="EP127" s="115">
        <f t="shared" si="7"/>
        <v>6.133333333</v>
      </c>
      <c r="EQ127" s="114">
        <f t="shared" si="8"/>
        <v>6.13</v>
      </c>
      <c r="ER127" s="115"/>
    </row>
    <row r="128" ht="35.25" customHeight="1">
      <c r="A128" s="10"/>
      <c r="B128" s="10">
        <v>5.0</v>
      </c>
      <c r="C128" s="10" t="s">
        <v>284</v>
      </c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10">
        <v>6.0</v>
      </c>
      <c r="AT128" s="47"/>
      <c r="AU128" s="10">
        <v>6.0</v>
      </c>
      <c r="AV128" s="47"/>
      <c r="AW128" s="132">
        <v>17.0</v>
      </c>
      <c r="AX128" s="10">
        <v>5.0</v>
      </c>
      <c r="AY128" s="10">
        <v>3.0</v>
      </c>
      <c r="AZ128" s="47"/>
      <c r="BA128" s="10">
        <v>8.0</v>
      </c>
      <c r="BB128" s="10">
        <v>4.0</v>
      </c>
      <c r="BC128" s="10">
        <v>9.0</v>
      </c>
      <c r="BD128" s="10">
        <v>4.0</v>
      </c>
      <c r="BE128" s="47"/>
      <c r="BF128" s="10">
        <v>7.0</v>
      </c>
      <c r="BG128" s="10">
        <v>4.0</v>
      </c>
      <c r="BH128" s="47"/>
      <c r="BI128" s="10">
        <v>5.0</v>
      </c>
      <c r="BJ128" s="47"/>
      <c r="BK128" s="10">
        <v>5.0</v>
      </c>
      <c r="BL128" s="10">
        <v>3.0</v>
      </c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10">
        <v>5.0</v>
      </c>
      <c r="BZ128" s="47"/>
      <c r="CA128" s="47"/>
      <c r="CB128" s="47"/>
      <c r="CC128" s="47"/>
      <c r="CD128" s="47"/>
      <c r="CE128" s="47"/>
      <c r="CF128" s="47"/>
      <c r="CG128" s="47"/>
      <c r="CH128" s="10">
        <v>6.0</v>
      </c>
      <c r="CI128" s="47"/>
      <c r="CJ128" s="10">
        <v>5.0</v>
      </c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147">
        <f t="shared" si="11"/>
        <v>17</v>
      </c>
      <c r="EO128" s="115">
        <f t="shared" si="12"/>
        <v>102</v>
      </c>
      <c r="EP128" s="115">
        <f t="shared" si="7"/>
        <v>6</v>
      </c>
      <c r="EQ128" s="114">
        <f t="shared" si="8"/>
        <v>6</v>
      </c>
      <c r="ER128" s="115"/>
    </row>
    <row r="129" ht="35.25" customHeight="1">
      <c r="A129" s="10"/>
      <c r="B129" s="10">
        <v>5.0</v>
      </c>
      <c r="C129" s="10" t="s">
        <v>285</v>
      </c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10">
        <v>5.0</v>
      </c>
      <c r="AM129" s="47"/>
      <c r="AN129" s="10">
        <v>7.0</v>
      </c>
      <c r="AO129" s="10">
        <v>6.0</v>
      </c>
      <c r="AP129" s="47"/>
      <c r="AQ129" s="10">
        <v>9.0</v>
      </c>
      <c r="AR129" s="10">
        <v>5.0</v>
      </c>
      <c r="AS129" s="10">
        <v>8.0</v>
      </c>
      <c r="AT129" s="10">
        <v>4.0</v>
      </c>
      <c r="AU129" s="10">
        <v>5.0</v>
      </c>
      <c r="AV129" s="47"/>
      <c r="AW129" s="47"/>
      <c r="AX129" s="47"/>
      <c r="AY129" s="47"/>
      <c r="AZ129" s="47"/>
      <c r="BA129" s="10">
        <v>1.0</v>
      </c>
      <c r="BB129" s="47"/>
      <c r="BC129" s="47"/>
      <c r="BD129" s="47"/>
      <c r="BE129" s="10">
        <v>9.0</v>
      </c>
      <c r="BF129" s="10">
        <v>4.0</v>
      </c>
      <c r="BG129" s="10">
        <v>5.0</v>
      </c>
      <c r="BH129" s="47"/>
      <c r="BI129" s="47"/>
      <c r="BJ129" s="10">
        <v>6.0</v>
      </c>
      <c r="BK129" s="47"/>
      <c r="BL129" s="10">
        <v>9.0</v>
      </c>
      <c r="BM129" s="10">
        <v>4.0</v>
      </c>
      <c r="BN129" s="10">
        <v>4.0</v>
      </c>
      <c r="BO129" s="47"/>
      <c r="BP129" s="10">
        <v>7.0</v>
      </c>
      <c r="BQ129" s="10">
        <v>7.0</v>
      </c>
      <c r="BR129" s="47"/>
      <c r="BS129" s="47"/>
      <c r="BT129" s="47"/>
      <c r="BU129" s="47"/>
      <c r="BV129" s="47"/>
      <c r="BW129" s="10">
        <v>2.0</v>
      </c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  <c r="DS129" s="47"/>
      <c r="DT129" s="47"/>
      <c r="DU129" s="47"/>
      <c r="DV129" s="47"/>
      <c r="DW129" s="47"/>
      <c r="DX129" s="47"/>
      <c r="DY129" s="47"/>
      <c r="DZ129" s="47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147">
        <f t="shared" si="11"/>
        <v>19</v>
      </c>
      <c r="EO129" s="115">
        <f t="shared" si="12"/>
        <v>107</v>
      </c>
      <c r="EP129" s="115">
        <f t="shared" si="7"/>
        <v>5.631578947</v>
      </c>
      <c r="EQ129" s="114">
        <f t="shared" si="8"/>
        <v>5.63</v>
      </c>
      <c r="ER129" s="115"/>
    </row>
    <row r="130" ht="35.25" customHeight="1">
      <c r="A130" s="115" t="s">
        <v>286</v>
      </c>
      <c r="B130" s="115" t="s">
        <v>22</v>
      </c>
      <c r="C130" s="115" t="s">
        <v>287</v>
      </c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114"/>
      <c r="BK130" s="114"/>
      <c r="BL130" s="114"/>
      <c r="BM130" s="114"/>
      <c r="BN130" s="114"/>
      <c r="BO130" s="114"/>
      <c r="BP130" s="114"/>
      <c r="BQ130" s="114"/>
      <c r="BR130" s="114"/>
      <c r="BS130" s="114"/>
      <c r="BT130" s="114"/>
      <c r="BU130" s="114"/>
      <c r="BV130" s="114"/>
      <c r="BW130" s="114"/>
      <c r="BX130" s="114"/>
      <c r="BY130" s="114"/>
      <c r="BZ130" s="114"/>
      <c r="CA130" s="114"/>
      <c r="CB130" s="114"/>
      <c r="CC130" s="114"/>
      <c r="CD130" s="114"/>
      <c r="CE130" s="114"/>
      <c r="CF130" s="114"/>
      <c r="CG130" s="114"/>
      <c r="CH130" s="114"/>
      <c r="CI130" s="114"/>
      <c r="CJ130" s="114"/>
      <c r="CK130" s="114"/>
      <c r="CL130" s="114"/>
      <c r="CM130" s="114"/>
      <c r="CN130" s="114"/>
      <c r="CO130" s="114"/>
      <c r="CP130" s="114"/>
      <c r="CQ130" s="114"/>
      <c r="CR130" s="114"/>
      <c r="CS130" s="114"/>
      <c r="CT130" s="114"/>
      <c r="CU130" s="114"/>
      <c r="CV130" s="114"/>
      <c r="CW130" s="114"/>
      <c r="CX130" s="114"/>
      <c r="CY130" s="114"/>
      <c r="CZ130" s="114"/>
      <c r="DA130" s="114"/>
      <c r="DB130" s="114"/>
      <c r="DC130" s="114"/>
      <c r="DD130" s="114"/>
      <c r="DE130" s="114"/>
      <c r="DF130" s="114"/>
      <c r="DG130" s="114"/>
      <c r="DH130" s="114"/>
      <c r="DI130" s="114"/>
      <c r="DJ130" s="114"/>
      <c r="DK130" s="114"/>
      <c r="DL130" s="114"/>
      <c r="DM130" s="114"/>
      <c r="DN130" s="114"/>
      <c r="DO130" s="114"/>
      <c r="DP130" s="114"/>
      <c r="DQ130" s="114"/>
      <c r="DR130" s="114"/>
      <c r="DS130" s="114"/>
      <c r="DT130" s="114"/>
      <c r="DU130" s="114"/>
      <c r="DV130" s="114"/>
      <c r="DW130" s="114"/>
      <c r="DX130" s="114"/>
      <c r="DY130" s="114"/>
      <c r="DZ130" s="114"/>
      <c r="EA130" s="114"/>
      <c r="EB130" s="114"/>
      <c r="EC130" s="114"/>
      <c r="ED130" s="114"/>
      <c r="EE130" s="114"/>
      <c r="EF130" s="114"/>
      <c r="EG130" s="114"/>
      <c r="EH130" s="114"/>
      <c r="EI130" s="114"/>
      <c r="EJ130" s="114"/>
      <c r="EK130" s="114"/>
      <c r="EL130" s="114"/>
      <c r="EM130" s="114"/>
      <c r="EN130" s="147">
        <f t="shared" si="11"/>
        <v>0</v>
      </c>
      <c r="EO130" s="114"/>
      <c r="EP130" s="114"/>
      <c r="EQ130" s="114"/>
      <c r="ER130" s="114"/>
    </row>
    <row r="131" ht="35.25" customHeight="1">
      <c r="A131" s="47"/>
      <c r="B131" s="10" t="s">
        <v>31</v>
      </c>
      <c r="C131" s="10" t="s">
        <v>288</v>
      </c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147">
        <f t="shared" si="11"/>
        <v>0</v>
      </c>
      <c r="EO131" s="115">
        <f>SUM(D131:EK131)</f>
        <v>0</v>
      </c>
      <c r="EP131" s="47"/>
      <c r="EQ131" s="47"/>
      <c r="ER131" s="47"/>
    </row>
    <row r="132" ht="35.25" customHeight="1">
      <c r="A132" s="47"/>
      <c r="B132" s="10" t="s">
        <v>31</v>
      </c>
      <c r="C132" s="10" t="s">
        <v>289</v>
      </c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148"/>
      <c r="EO132" s="47"/>
      <c r="EP132" s="47"/>
      <c r="EQ132" s="47"/>
      <c r="ER132" s="47"/>
    </row>
    <row r="133" ht="35.25" customHeight="1">
      <c r="A133" s="47"/>
      <c r="B133" s="10" t="s">
        <v>22</v>
      </c>
      <c r="C133" s="10" t="s">
        <v>290</v>
      </c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148"/>
      <c r="EO133" s="47"/>
      <c r="EP133" s="47"/>
      <c r="EQ133" s="47"/>
      <c r="ER133" s="47"/>
    </row>
    <row r="134" ht="35.25" customHeight="1">
      <c r="A134" s="10" t="s">
        <v>286</v>
      </c>
      <c r="B134" s="10" t="s">
        <v>44</v>
      </c>
      <c r="C134" s="10" t="s">
        <v>291</v>
      </c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148"/>
      <c r="EO134" s="47"/>
      <c r="EP134" s="47"/>
      <c r="EQ134" s="47"/>
      <c r="ER134" s="47"/>
    </row>
    <row r="135">
      <c r="C135" s="25"/>
      <c r="EN135" s="149"/>
    </row>
    <row r="136">
      <c r="C136" s="25"/>
      <c r="EN136" s="149"/>
    </row>
    <row r="137">
      <c r="C137" s="25"/>
      <c r="EN137" s="149"/>
    </row>
    <row r="138">
      <c r="C138" s="25"/>
      <c r="EN138" s="149"/>
    </row>
    <row r="139">
      <c r="C139" s="25"/>
      <c r="EN139" s="149"/>
    </row>
    <row r="140">
      <c r="C140" s="25"/>
      <c r="EN140" s="149"/>
    </row>
    <row r="141">
      <c r="C141" s="25"/>
      <c r="EN141" s="149"/>
    </row>
    <row r="142">
      <c r="C142" s="25"/>
      <c r="EN142" s="149"/>
    </row>
    <row r="143">
      <c r="C143" s="25"/>
      <c r="EN143" s="149"/>
    </row>
    <row r="144">
      <c r="C144" s="25"/>
      <c r="EN144" s="149"/>
    </row>
    <row r="145">
      <c r="C145" s="25"/>
      <c r="EN145" s="149"/>
    </row>
    <row r="146">
      <c r="C146" s="25"/>
      <c r="EN146" s="149"/>
    </row>
    <row r="147">
      <c r="C147" s="25"/>
      <c r="EN147" s="149"/>
    </row>
    <row r="148">
      <c r="C148" s="25"/>
      <c r="EN148" s="149"/>
    </row>
    <row r="149">
      <c r="C149" s="25"/>
      <c r="EN149" s="149"/>
    </row>
    <row r="150">
      <c r="C150" s="25"/>
      <c r="EN150" s="149"/>
    </row>
    <row r="151">
      <c r="C151" s="25"/>
      <c r="EN151" s="149"/>
    </row>
    <row r="152">
      <c r="C152" s="25"/>
      <c r="EN152" s="149"/>
    </row>
    <row r="153">
      <c r="C153" s="25"/>
      <c r="EN153" s="149"/>
    </row>
    <row r="154">
      <c r="C154" s="25"/>
      <c r="EN154" s="149"/>
    </row>
    <row r="155">
      <c r="C155" s="25"/>
      <c r="EN155" s="149"/>
    </row>
    <row r="156">
      <c r="C156" s="25"/>
      <c r="EN156" s="149"/>
    </row>
    <row r="157">
      <c r="C157" s="25"/>
      <c r="EN157" s="149"/>
    </row>
    <row r="158">
      <c r="C158" s="25"/>
      <c r="EN158" s="149"/>
    </row>
    <row r="159">
      <c r="C159" s="25"/>
      <c r="EN159" s="149"/>
    </row>
    <row r="160">
      <c r="C160" s="25"/>
      <c r="EN160" s="149"/>
    </row>
    <row r="161">
      <c r="C161" s="25"/>
      <c r="EN161" s="149"/>
    </row>
    <row r="162">
      <c r="C162" s="25"/>
      <c r="EN162" s="149"/>
    </row>
    <row r="163">
      <c r="C163" s="25"/>
      <c r="EN163" s="149"/>
    </row>
    <row r="164">
      <c r="C164" s="25"/>
      <c r="EN164" s="149"/>
    </row>
    <row r="165">
      <c r="C165" s="25"/>
      <c r="EN165" s="149"/>
    </row>
    <row r="166">
      <c r="C166" s="25"/>
      <c r="EN166" s="149"/>
    </row>
    <row r="167">
      <c r="C167" s="25"/>
      <c r="EN167" s="149"/>
    </row>
    <row r="168">
      <c r="C168" s="25"/>
      <c r="EN168" s="149"/>
    </row>
    <row r="169">
      <c r="C169" s="25"/>
      <c r="EN169" s="149"/>
    </row>
    <row r="170">
      <c r="C170" s="25"/>
      <c r="EN170" s="149"/>
    </row>
    <row r="171">
      <c r="C171" s="25"/>
      <c r="EN171" s="149"/>
    </row>
    <row r="172">
      <c r="C172" s="25"/>
      <c r="EN172" s="149"/>
    </row>
    <row r="173">
      <c r="C173" s="25"/>
      <c r="EN173" s="149"/>
    </row>
    <row r="174">
      <c r="C174" s="25"/>
      <c r="EN174" s="149"/>
    </row>
    <row r="175">
      <c r="C175" s="25"/>
      <c r="EN175" s="149"/>
    </row>
    <row r="176">
      <c r="C176" s="25"/>
      <c r="EN176" s="149"/>
    </row>
    <row r="177">
      <c r="C177" s="25"/>
      <c r="EN177" s="149"/>
    </row>
    <row r="178">
      <c r="C178" s="25"/>
      <c r="EN178" s="149"/>
    </row>
    <row r="179">
      <c r="C179" s="25"/>
      <c r="EN179" s="149"/>
    </row>
    <row r="180">
      <c r="C180" s="25"/>
      <c r="EN180" s="149"/>
    </row>
    <row r="181">
      <c r="C181" s="25"/>
      <c r="EN181" s="149"/>
    </row>
    <row r="182">
      <c r="C182" s="25"/>
      <c r="EN182" s="149"/>
    </row>
    <row r="183">
      <c r="C183" s="25"/>
      <c r="EN183" s="149"/>
    </row>
    <row r="184">
      <c r="C184" s="25"/>
      <c r="EN184" s="149"/>
    </row>
    <row r="185">
      <c r="C185" s="25"/>
      <c r="EN185" s="149"/>
    </row>
    <row r="186">
      <c r="C186" s="25"/>
      <c r="EN186" s="149"/>
    </row>
    <row r="187">
      <c r="C187" s="25"/>
      <c r="EN187" s="149"/>
    </row>
    <row r="188">
      <c r="C188" s="25"/>
      <c r="EN188" s="149"/>
    </row>
    <row r="189">
      <c r="C189" s="25"/>
      <c r="EN189" s="149"/>
    </row>
    <row r="190">
      <c r="C190" s="25"/>
      <c r="EN190" s="149"/>
    </row>
    <row r="191">
      <c r="C191" s="25"/>
      <c r="EN191" s="149"/>
    </row>
    <row r="192">
      <c r="C192" s="25"/>
      <c r="EN192" s="149"/>
    </row>
    <row r="193">
      <c r="C193" s="25"/>
      <c r="EN193" s="149"/>
    </row>
    <row r="194">
      <c r="C194" s="25"/>
      <c r="EN194" s="149"/>
    </row>
    <row r="195">
      <c r="C195" s="25"/>
      <c r="EN195" s="149"/>
    </row>
    <row r="196">
      <c r="C196" s="25"/>
      <c r="EN196" s="149"/>
    </row>
    <row r="197">
      <c r="C197" s="25"/>
      <c r="EN197" s="149"/>
    </row>
    <row r="198">
      <c r="C198" s="25"/>
      <c r="EN198" s="149"/>
    </row>
    <row r="199">
      <c r="C199" s="25"/>
      <c r="EN199" s="149"/>
    </row>
    <row r="200">
      <c r="C200" s="25"/>
      <c r="EN200" s="149"/>
    </row>
    <row r="201">
      <c r="C201" s="25"/>
      <c r="EN201" s="149"/>
    </row>
    <row r="202">
      <c r="C202" s="25"/>
      <c r="EN202" s="149"/>
    </row>
    <row r="203">
      <c r="C203" s="25"/>
      <c r="EN203" s="149"/>
    </row>
    <row r="204">
      <c r="C204" s="25"/>
      <c r="EN204" s="149"/>
    </row>
    <row r="205">
      <c r="C205" s="25"/>
      <c r="EN205" s="149"/>
    </row>
    <row r="206">
      <c r="C206" s="25"/>
      <c r="EN206" s="149"/>
    </row>
    <row r="207">
      <c r="C207" s="25"/>
      <c r="EN207" s="149"/>
    </row>
    <row r="208">
      <c r="C208" s="25"/>
      <c r="EN208" s="149"/>
    </row>
    <row r="209">
      <c r="C209" s="25"/>
      <c r="EN209" s="149"/>
    </row>
    <row r="210">
      <c r="C210" s="25"/>
      <c r="EN210" s="149"/>
    </row>
    <row r="211">
      <c r="C211" s="25"/>
      <c r="EN211" s="149"/>
    </row>
    <row r="212">
      <c r="C212" s="25"/>
      <c r="EN212" s="149"/>
    </row>
    <row r="213">
      <c r="C213" s="25"/>
      <c r="EN213" s="149"/>
    </row>
    <row r="214">
      <c r="C214" s="25"/>
      <c r="EN214" s="149"/>
    </row>
    <row r="215">
      <c r="C215" s="25"/>
      <c r="EN215" s="149"/>
    </row>
    <row r="216">
      <c r="C216" s="25"/>
      <c r="EN216" s="149"/>
    </row>
    <row r="217">
      <c r="C217" s="25"/>
      <c r="EN217" s="149"/>
    </row>
    <row r="218">
      <c r="C218" s="25"/>
      <c r="EN218" s="149"/>
    </row>
    <row r="219">
      <c r="C219" s="25"/>
      <c r="EN219" s="149"/>
    </row>
    <row r="220">
      <c r="C220" s="25"/>
      <c r="EN220" s="149"/>
    </row>
    <row r="221">
      <c r="C221" s="25"/>
      <c r="EN221" s="149"/>
    </row>
    <row r="222">
      <c r="C222" s="25"/>
      <c r="EN222" s="149"/>
    </row>
    <row r="223">
      <c r="C223" s="25"/>
      <c r="EN223" s="149"/>
    </row>
    <row r="224">
      <c r="C224" s="25"/>
      <c r="EN224" s="149"/>
    </row>
    <row r="225">
      <c r="C225" s="25"/>
      <c r="EN225" s="149"/>
    </row>
    <row r="226">
      <c r="C226" s="25"/>
      <c r="EN226" s="149"/>
    </row>
    <row r="227">
      <c r="C227" s="25"/>
      <c r="EN227" s="149"/>
    </row>
    <row r="228">
      <c r="C228" s="25"/>
      <c r="EN228" s="149"/>
    </row>
    <row r="229">
      <c r="C229" s="25"/>
      <c r="EN229" s="149"/>
    </row>
    <row r="230">
      <c r="C230" s="25"/>
      <c r="EN230" s="149"/>
    </row>
    <row r="231">
      <c r="C231" s="25"/>
      <c r="EN231" s="149"/>
    </row>
    <row r="232">
      <c r="C232" s="25"/>
      <c r="EN232" s="149"/>
    </row>
    <row r="233">
      <c r="C233" s="25"/>
      <c r="EN233" s="149"/>
    </row>
    <row r="234">
      <c r="C234" s="25"/>
      <c r="EN234" s="149"/>
    </row>
    <row r="235">
      <c r="C235" s="25"/>
      <c r="EN235" s="149"/>
    </row>
    <row r="236">
      <c r="C236" s="25"/>
      <c r="EN236" s="149"/>
    </row>
    <row r="237">
      <c r="C237" s="25"/>
      <c r="EN237" s="149"/>
    </row>
    <row r="238">
      <c r="C238" s="25"/>
      <c r="EN238" s="149"/>
    </row>
    <row r="239">
      <c r="C239" s="25"/>
      <c r="EN239" s="149"/>
    </row>
    <row r="240">
      <c r="C240" s="25"/>
      <c r="EN240" s="149"/>
    </row>
    <row r="241">
      <c r="C241" s="25"/>
      <c r="EN241" s="149"/>
    </row>
    <row r="242">
      <c r="C242" s="25"/>
      <c r="EN242" s="149"/>
    </row>
    <row r="243">
      <c r="C243" s="25"/>
      <c r="EN243" s="149"/>
    </row>
    <row r="244">
      <c r="C244" s="25"/>
      <c r="EN244" s="149"/>
    </row>
    <row r="245">
      <c r="C245" s="25"/>
      <c r="EN245" s="149"/>
    </row>
    <row r="246">
      <c r="C246" s="25"/>
      <c r="EN246" s="149"/>
    </row>
    <row r="247">
      <c r="C247" s="25"/>
      <c r="EN247" s="149"/>
    </row>
    <row r="248">
      <c r="C248" s="25"/>
      <c r="EN248" s="149"/>
    </row>
    <row r="249">
      <c r="C249" s="25"/>
      <c r="EN249" s="149"/>
    </row>
    <row r="250">
      <c r="C250" s="25"/>
      <c r="EN250" s="149"/>
    </row>
    <row r="251">
      <c r="C251" s="25"/>
      <c r="EN251" s="149"/>
    </row>
    <row r="252">
      <c r="C252" s="25"/>
      <c r="EN252" s="149"/>
    </row>
    <row r="253">
      <c r="C253" s="25"/>
      <c r="EN253" s="149"/>
    </row>
    <row r="254">
      <c r="C254" s="25"/>
      <c r="EN254" s="149"/>
    </row>
    <row r="255">
      <c r="C255" s="25"/>
      <c r="EN255" s="149"/>
    </row>
    <row r="256">
      <c r="C256" s="25"/>
      <c r="EN256" s="149"/>
    </row>
    <row r="257">
      <c r="C257" s="25"/>
      <c r="EN257" s="149"/>
    </row>
    <row r="258">
      <c r="C258" s="25"/>
      <c r="EN258" s="149"/>
    </row>
    <row r="259">
      <c r="C259" s="25"/>
      <c r="EN259" s="149"/>
    </row>
    <row r="260">
      <c r="C260" s="25"/>
      <c r="EN260" s="149"/>
    </row>
    <row r="261">
      <c r="C261" s="25"/>
      <c r="EN261" s="149"/>
    </row>
    <row r="262">
      <c r="C262" s="25"/>
      <c r="EN262" s="149"/>
    </row>
    <row r="263">
      <c r="C263" s="25"/>
      <c r="EN263" s="149"/>
    </row>
    <row r="264">
      <c r="C264" s="25"/>
      <c r="EN264" s="149"/>
    </row>
    <row r="265">
      <c r="C265" s="25"/>
      <c r="EN265" s="149"/>
    </row>
    <row r="266">
      <c r="C266" s="25"/>
      <c r="EN266" s="149"/>
    </row>
    <row r="267">
      <c r="C267" s="25"/>
      <c r="EN267" s="149"/>
    </row>
    <row r="268">
      <c r="C268" s="25"/>
      <c r="EN268" s="149"/>
    </row>
    <row r="269">
      <c r="C269" s="25"/>
      <c r="EN269" s="149"/>
    </row>
    <row r="270">
      <c r="C270" s="25"/>
      <c r="EN270" s="149"/>
    </row>
    <row r="271">
      <c r="C271" s="25"/>
      <c r="EN271" s="149"/>
    </row>
    <row r="272">
      <c r="C272" s="25"/>
      <c r="EN272" s="149"/>
    </row>
    <row r="273">
      <c r="C273" s="25"/>
      <c r="EN273" s="149"/>
    </row>
    <row r="274">
      <c r="C274" s="25"/>
      <c r="EN274" s="149"/>
    </row>
    <row r="275">
      <c r="C275" s="25"/>
      <c r="EN275" s="149"/>
    </row>
    <row r="276">
      <c r="C276" s="25"/>
      <c r="EN276" s="149"/>
    </row>
    <row r="277">
      <c r="C277" s="25"/>
      <c r="EN277" s="149"/>
    </row>
    <row r="278">
      <c r="C278" s="25"/>
      <c r="EN278" s="149"/>
    </row>
    <row r="279">
      <c r="C279" s="25"/>
      <c r="EN279" s="149"/>
    </row>
    <row r="280">
      <c r="C280" s="25"/>
      <c r="EN280" s="149"/>
    </row>
    <row r="281">
      <c r="C281" s="25"/>
      <c r="EN281" s="149"/>
    </row>
    <row r="282">
      <c r="C282" s="25"/>
      <c r="EN282" s="149"/>
    </row>
    <row r="283">
      <c r="C283" s="25"/>
      <c r="EN283" s="149"/>
    </row>
    <row r="284">
      <c r="C284" s="25"/>
      <c r="EN284" s="149"/>
    </row>
    <row r="285">
      <c r="C285" s="25"/>
      <c r="EN285" s="149"/>
    </row>
    <row r="286">
      <c r="C286" s="25"/>
      <c r="EN286" s="149"/>
    </row>
    <row r="287">
      <c r="C287" s="25"/>
      <c r="EN287" s="149"/>
    </row>
    <row r="288">
      <c r="C288" s="25"/>
      <c r="EN288" s="149"/>
    </row>
    <row r="289">
      <c r="C289" s="25"/>
      <c r="EN289" s="149"/>
    </row>
    <row r="290">
      <c r="C290" s="25"/>
      <c r="EN290" s="149"/>
    </row>
    <row r="291">
      <c r="C291" s="25"/>
      <c r="EN291" s="149"/>
    </row>
    <row r="292">
      <c r="C292" s="25"/>
      <c r="EN292" s="149"/>
    </row>
    <row r="293">
      <c r="C293" s="25"/>
      <c r="EN293" s="149"/>
    </row>
    <row r="294">
      <c r="C294" s="25"/>
      <c r="EN294" s="149"/>
    </row>
    <row r="295">
      <c r="C295" s="25"/>
      <c r="EN295" s="149"/>
    </row>
    <row r="296">
      <c r="C296" s="25"/>
      <c r="EN296" s="149"/>
    </row>
    <row r="297">
      <c r="C297" s="25"/>
      <c r="EN297" s="149"/>
    </row>
    <row r="298">
      <c r="C298" s="25"/>
      <c r="EN298" s="149"/>
    </row>
    <row r="299">
      <c r="C299" s="25"/>
      <c r="EN299" s="149"/>
    </row>
    <row r="300">
      <c r="C300" s="25"/>
      <c r="EN300" s="149"/>
    </row>
    <row r="301">
      <c r="C301" s="25"/>
      <c r="EN301" s="149"/>
    </row>
    <row r="302">
      <c r="C302" s="25"/>
      <c r="EN302" s="149"/>
    </row>
    <row r="303">
      <c r="C303" s="25"/>
      <c r="EN303" s="149"/>
    </row>
    <row r="304">
      <c r="C304" s="25"/>
      <c r="EN304" s="149"/>
    </row>
    <row r="305">
      <c r="C305" s="25"/>
      <c r="EN305" s="149"/>
    </row>
    <row r="306">
      <c r="C306" s="25"/>
      <c r="EN306" s="149"/>
    </row>
    <row r="307">
      <c r="C307" s="25"/>
      <c r="EN307" s="149"/>
    </row>
    <row r="308">
      <c r="C308" s="25"/>
      <c r="EN308" s="149"/>
    </row>
    <row r="309">
      <c r="C309" s="25"/>
      <c r="EN309" s="149"/>
    </row>
    <row r="310">
      <c r="C310" s="25"/>
      <c r="EN310" s="149"/>
    </row>
    <row r="311">
      <c r="C311" s="25"/>
      <c r="EN311" s="149"/>
    </row>
    <row r="312">
      <c r="C312" s="25"/>
      <c r="EN312" s="149"/>
    </row>
    <row r="313">
      <c r="C313" s="25"/>
      <c r="EN313" s="149"/>
    </row>
    <row r="314">
      <c r="C314" s="25"/>
      <c r="EN314" s="149"/>
    </row>
    <row r="315">
      <c r="C315" s="25"/>
      <c r="EN315" s="149"/>
    </row>
    <row r="316">
      <c r="C316" s="25"/>
      <c r="EN316" s="149"/>
    </row>
    <row r="317">
      <c r="C317" s="25"/>
      <c r="EN317" s="149"/>
    </row>
    <row r="318">
      <c r="C318" s="25"/>
      <c r="EN318" s="149"/>
    </row>
    <row r="319">
      <c r="C319" s="25"/>
      <c r="EN319" s="149"/>
    </row>
    <row r="320">
      <c r="C320" s="25"/>
      <c r="EN320" s="149"/>
    </row>
    <row r="321">
      <c r="C321" s="25"/>
      <c r="EN321" s="149"/>
    </row>
    <row r="322">
      <c r="C322" s="25"/>
      <c r="EN322" s="149"/>
    </row>
    <row r="323">
      <c r="C323" s="25"/>
      <c r="EN323" s="149"/>
    </row>
    <row r="324">
      <c r="C324" s="25"/>
      <c r="EN324" s="149"/>
    </row>
    <row r="325">
      <c r="C325" s="25"/>
      <c r="EN325" s="149"/>
    </row>
    <row r="326">
      <c r="C326" s="25"/>
      <c r="EN326" s="149"/>
    </row>
    <row r="327">
      <c r="C327" s="25"/>
      <c r="EN327" s="149"/>
    </row>
    <row r="328">
      <c r="C328" s="25"/>
      <c r="EN328" s="149"/>
    </row>
    <row r="329">
      <c r="C329" s="25"/>
      <c r="EN329" s="149"/>
    </row>
    <row r="330">
      <c r="C330" s="25"/>
      <c r="EN330" s="149"/>
    </row>
    <row r="331">
      <c r="C331" s="25"/>
      <c r="EN331" s="149"/>
    </row>
    <row r="332">
      <c r="C332" s="25"/>
      <c r="EN332" s="149"/>
    </row>
    <row r="333">
      <c r="C333" s="25"/>
      <c r="EN333" s="149"/>
    </row>
    <row r="334">
      <c r="C334" s="25"/>
      <c r="EN334" s="149"/>
    </row>
    <row r="335">
      <c r="C335" s="25"/>
      <c r="EN335" s="149"/>
    </row>
    <row r="336">
      <c r="C336" s="25"/>
      <c r="EN336" s="149"/>
    </row>
    <row r="337">
      <c r="C337" s="25"/>
      <c r="EN337" s="149"/>
    </row>
    <row r="338">
      <c r="C338" s="25"/>
      <c r="EN338" s="149"/>
    </row>
    <row r="339">
      <c r="C339" s="25"/>
      <c r="EN339" s="149"/>
    </row>
    <row r="340">
      <c r="C340" s="25"/>
      <c r="EN340" s="149"/>
    </row>
    <row r="341">
      <c r="C341" s="25"/>
      <c r="EN341" s="149"/>
    </row>
    <row r="342">
      <c r="C342" s="25"/>
      <c r="EN342" s="149"/>
    </row>
    <row r="343">
      <c r="C343" s="25"/>
      <c r="EN343" s="149"/>
    </row>
    <row r="344">
      <c r="C344" s="25"/>
      <c r="EN344" s="149"/>
    </row>
    <row r="345">
      <c r="C345" s="25"/>
      <c r="EN345" s="149"/>
    </row>
    <row r="346">
      <c r="C346" s="25"/>
      <c r="EN346" s="149"/>
    </row>
    <row r="347">
      <c r="C347" s="25"/>
      <c r="EN347" s="149"/>
    </row>
    <row r="348">
      <c r="C348" s="25"/>
      <c r="EN348" s="149"/>
    </row>
    <row r="349">
      <c r="C349" s="25"/>
      <c r="EN349" s="149"/>
    </row>
    <row r="350">
      <c r="C350" s="25"/>
      <c r="EN350" s="149"/>
    </row>
    <row r="351">
      <c r="C351" s="25"/>
      <c r="EN351" s="149"/>
    </row>
    <row r="352">
      <c r="C352" s="25"/>
      <c r="EN352" s="149"/>
    </row>
    <row r="353">
      <c r="C353" s="25"/>
      <c r="EN353" s="149"/>
    </row>
    <row r="354">
      <c r="C354" s="25"/>
      <c r="EN354" s="149"/>
    </row>
    <row r="355">
      <c r="C355" s="25"/>
      <c r="EN355" s="149"/>
    </row>
    <row r="356">
      <c r="C356" s="25"/>
      <c r="EN356" s="149"/>
    </row>
    <row r="357">
      <c r="C357" s="25"/>
      <c r="EN357" s="149"/>
    </row>
    <row r="358">
      <c r="C358" s="25"/>
      <c r="EN358" s="149"/>
    </row>
    <row r="359">
      <c r="C359" s="25"/>
      <c r="EN359" s="149"/>
    </row>
    <row r="360">
      <c r="C360" s="25"/>
      <c r="EN360" s="149"/>
    </row>
    <row r="361">
      <c r="C361" s="25"/>
      <c r="EN361" s="149"/>
    </row>
    <row r="362">
      <c r="C362" s="25"/>
      <c r="EN362" s="149"/>
    </row>
    <row r="363">
      <c r="C363" s="25"/>
      <c r="EN363" s="149"/>
    </row>
    <row r="364">
      <c r="C364" s="25"/>
      <c r="EN364" s="149"/>
    </row>
    <row r="365">
      <c r="C365" s="25"/>
      <c r="EN365" s="149"/>
    </row>
    <row r="366">
      <c r="C366" s="25"/>
      <c r="EN366" s="149"/>
    </row>
    <row r="367">
      <c r="C367" s="25"/>
      <c r="EN367" s="149"/>
    </row>
    <row r="368">
      <c r="C368" s="25"/>
      <c r="EN368" s="149"/>
    </row>
    <row r="369">
      <c r="C369" s="25"/>
      <c r="EN369" s="149"/>
    </row>
    <row r="370">
      <c r="C370" s="25"/>
      <c r="EN370" s="149"/>
    </row>
    <row r="371">
      <c r="C371" s="25"/>
      <c r="EN371" s="149"/>
    </row>
    <row r="372">
      <c r="C372" s="25"/>
      <c r="EN372" s="149"/>
    </row>
    <row r="373">
      <c r="C373" s="25"/>
      <c r="EN373" s="149"/>
    </row>
    <row r="374">
      <c r="C374" s="25"/>
      <c r="EN374" s="149"/>
    </row>
    <row r="375">
      <c r="C375" s="25"/>
      <c r="EN375" s="149"/>
    </row>
    <row r="376">
      <c r="C376" s="25"/>
      <c r="EN376" s="149"/>
    </row>
    <row r="377">
      <c r="C377" s="25"/>
      <c r="EN377" s="149"/>
    </row>
    <row r="378">
      <c r="C378" s="25"/>
      <c r="EN378" s="149"/>
    </row>
    <row r="379">
      <c r="C379" s="25"/>
      <c r="EN379" s="149"/>
    </row>
    <row r="380">
      <c r="C380" s="25"/>
      <c r="EN380" s="149"/>
    </row>
    <row r="381">
      <c r="C381" s="25"/>
      <c r="EN381" s="149"/>
    </row>
    <row r="382">
      <c r="C382" s="25"/>
      <c r="EN382" s="149"/>
    </row>
    <row r="383">
      <c r="C383" s="25"/>
      <c r="EN383" s="149"/>
    </row>
    <row r="384">
      <c r="C384" s="25"/>
      <c r="EN384" s="149"/>
    </row>
    <row r="385">
      <c r="C385" s="25"/>
      <c r="EN385" s="149"/>
    </row>
    <row r="386">
      <c r="C386" s="25"/>
      <c r="EN386" s="149"/>
    </row>
    <row r="387">
      <c r="C387" s="25"/>
      <c r="EN387" s="149"/>
    </row>
    <row r="388">
      <c r="C388" s="25"/>
      <c r="EN388" s="149"/>
    </row>
    <row r="389">
      <c r="C389" s="25"/>
      <c r="EN389" s="149"/>
    </row>
    <row r="390">
      <c r="C390" s="25"/>
      <c r="EN390" s="149"/>
    </row>
    <row r="391">
      <c r="C391" s="25"/>
      <c r="EN391" s="149"/>
    </row>
    <row r="392">
      <c r="C392" s="25"/>
      <c r="EN392" s="149"/>
    </row>
    <row r="393">
      <c r="C393" s="25"/>
      <c r="EN393" s="149"/>
    </row>
    <row r="394">
      <c r="C394" s="25"/>
      <c r="EN394" s="149"/>
    </row>
    <row r="395">
      <c r="C395" s="25"/>
      <c r="EN395" s="149"/>
    </row>
    <row r="396">
      <c r="C396" s="25"/>
      <c r="EN396" s="149"/>
    </row>
    <row r="397">
      <c r="C397" s="25"/>
      <c r="EN397" s="149"/>
    </row>
    <row r="398">
      <c r="C398" s="25"/>
      <c r="EN398" s="149"/>
    </row>
    <row r="399">
      <c r="C399" s="25"/>
      <c r="EN399" s="149"/>
    </row>
    <row r="400">
      <c r="C400" s="25"/>
      <c r="EN400" s="149"/>
    </row>
    <row r="401">
      <c r="C401" s="25"/>
      <c r="EN401" s="149"/>
    </row>
    <row r="402">
      <c r="C402" s="25"/>
      <c r="EN402" s="149"/>
    </row>
    <row r="403">
      <c r="C403" s="25"/>
      <c r="EN403" s="149"/>
    </row>
    <row r="404">
      <c r="C404" s="25"/>
      <c r="EN404" s="149"/>
    </row>
    <row r="405">
      <c r="C405" s="25"/>
      <c r="EN405" s="149"/>
    </row>
    <row r="406">
      <c r="C406" s="25"/>
      <c r="EN406" s="149"/>
    </row>
    <row r="407">
      <c r="C407" s="25"/>
      <c r="EN407" s="149"/>
    </row>
    <row r="408">
      <c r="C408" s="25"/>
      <c r="EN408" s="149"/>
    </row>
    <row r="409">
      <c r="C409" s="25"/>
      <c r="EN409" s="149"/>
    </row>
    <row r="410">
      <c r="C410" s="25"/>
      <c r="EN410" s="149"/>
    </row>
    <row r="411">
      <c r="C411" s="25"/>
      <c r="EN411" s="149"/>
    </row>
    <row r="412">
      <c r="C412" s="25"/>
      <c r="EN412" s="149"/>
    </row>
    <row r="413">
      <c r="C413" s="25"/>
      <c r="EN413" s="149"/>
    </row>
    <row r="414">
      <c r="C414" s="25"/>
      <c r="EN414" s="149"/>
    </row>
    <row r="415">
      <c r="C415" s="25"/>
      <c r="EN415" s="149"/>
    </row>
    <row r="416">
      <c r="C416" s="25"/>
      <c r="EN416" s="149"/>
    </row>
    <row r="417">
      <c r="C417" s="25"/>
      <c r="EN417" s="149"/>
    </row>
    <row r="418">
      <c r="C418" s="25"/>
      <c r="EN418" s="149"/>
    </row>
    <row r="419">
      <c r="C419" s="25"/>
      <c r="EN419" s="149"/>
    </row>
    <row r="420">
      <c r="C420" s="25"/>
      <c r="EN420" s="149"/>
    </row>
    <row r="421">
      <c r="C421" s="25"/>
      <c r="EN421" s="149"/>
    </row>
    <row r="422">
      <c r="C422" s="25"/>
      <c r="EN422" s="149"/>
    </row>
    <row r="423">
      <c r="C423" s="25"/>
      <c r="EN423" s="149"/>
    </row>
    <row r="424">
      <c r="C424" s="25"/>
      <c r="EN424" s="149"/>
    </row>
    <row r="425">
      <c r="C425" s="25"/>
      <c r="EN425" s="149"/>
    </row>
    <row r="426">
      <c r="C426" s="25"/>
      <c r="EN426" s="149"/>
    </row>
    <row r="427">
      <c r="C427" s="25"/>
      <c r="EN427" s="149"/>
    </row>
    <row r="428">
      <c r="C428" s="25"/>
      <c r="EN428" s="149"/>
    </row>
    <row r="429">
      <c r="C429" s="25"/>
      <c r="EN429" s="149"/>
    </row>
    <row r="430">
      <c r="C430" s="25"/>
      <c r="EN430" s="149"/>
    </row>
    <row r="431">
      <c r="C431" s="25"/>
      <c r="EN431" s="149"/>
    </row>
    <row r="432">
      <c r="C432" s="25"/>
      <c r="EN432" s="149"/>
    </row>
    <row r="433">
      <c r="C433" s="25"/>
      <c r="EN433" s="149"/>
    </row>
    <row r="434">
      <c r="C434" s="25"/>
      <c r="EN434" s="149"/>
    </row>
    <row r="435">
      <c r="C435" s="25"/>
      <c r="EN435" s="149"/>
    </row>
    <row r="436">
      <c r="C436" s="25"/>
      <c r="EN436" s="149"/>
    </row>
    <row r="437">
      <c r="C437" s="25"/>
      <c r="EN437" s="149"/>
    </row>
    <row r="438">
      <c r="C438" s="25"/>
      <c r="EN438" s="149"/>
    </row>
    <row r="439">
      <c r="C439" s="25"/>
      <c r="EN439" s="149"/>
    </row>
    <row r="440">
      <c r="C440" s="25"/>
      <c r="EN440" s="149"/>
    </row>
    <row r="441">
      <c r="C441" s="25"/>
      <c r="EN441" s="149"/>
    </row>
    <row r="442">
      <c r="C442" s="25"/>
      <c r="EN442" s="149"/>
    </row>
    <row r="443">
      <c r="C443" s="25"/>
      <c r="EN443" s="149"/>
    </row>
    <row r="444">
      <c r="C444" s="25"/>
      <c r="EN444" s="149"/>
    </row>
    <row r="445">
      <c r="C445" s="25"/>
      <c r="EN445" s="149"/>
    </row>
    <row r="446">
      <c r="C446" s="25"/>
      <c r="EN446" s="149"/>
    </row>
    <row r="447">
      <c r="C447" s="25"/>
      <c r="EN447" s="149"/>
    </row>
    <row r="448">
      <c r="C448" s="25"/>
      <c r="EN448" s="149"/>
    </row>
    <row r="449">
      <c r="C449" s="25"/>
      <c r="EN449" s="149"/>
    </row>
    <row r="450">
      <c r="C450" s="25"/>
      <c r="EN450" s="149"/>
    </row>
    <row r="451">
      <c r="C451" s="25"/>
      <c r="EN451" s="149"/>
    </row>
    <row r="452">
      <c r="C452" s="25"/>
      <c r="EN452" s="149"/>
    </row>
    <row r="453">
      <c r="C453" s="25"/>
      <c r="EN453" s="149"/>
    </row>
    <row r="454">
      <c r="C454" s="25"/>
      <c r="EN454" s="149"/>
    </row>
    <row r="455">
      <c r="C455" s="25"/>
      <c r="EN455" s="149"/>
    </row>
    <row r="456">
      <c r="C456" s="25"/>
      <c r="EN456" s="149"/>
    </row>
    <row r="457">
      <c r="C457" s="25"/>
      <c r="EN457" s="149"/>
    </row>
    <row r="458">
      <c r="C458" s="25"/>
      <c r="EN458" s="149"/>
    </row>
    <row r="459">
      <c r="C459" s="25"/>
      <c r="EN459" s="149"/>
    </row>
    <row r="460">
      <c r="C460" s="25"/>
      <c r="EN460" s="149"/>
    </row>
    <row r="461">
      <c r="C461" s="25"/>
      <c r="EN461" s="149"/>
    </row>
    <row r="462">
      <c r="C462" s="25"/>
      <c r="EN462" s="149"/>
    </row>
    <row r="463">
      <c r="C463" s="25"/>
      <c r="EN463" s="149"/>
    </row>
    <row r="464">
      <c r="C464" s="25"/>
      <c r="EN464" s="149"/>
    </row>
    <row r="465">
      <c r="C465" s="25"/>
      <c r="EN465" s="149"/>
    </row>
    <row r="466">
      <c r="C466" s="25"/>
      <c r="EN466" s="149"/>
    </row>
    <row r="467">
      <c r="C467" s="25"/>
      <c r="EN467" s="149"/>
    </row>
    <row r="468">
      <c r="C468" s="25"/>
      <c r="EN468" s="149"/>
    </row>
    <row r="469">
      <c r="C469" s="25"/>
      <c r="EN469" s="149"/>
    </row>
    <row r="470">
      <c r="C470" s="25"/>
      <c r="EN470" s="149"/>
    </row>
    <row r="471">
      <c r="C471" s="25"/>
      <c r="EN471" s="149"/>
    </row>
    <row r="472">
      <c r="C472" s="25"/>
      <c r="EN472" s="149"/>
    </row>
    <row r="473">
      <c r="C473" s="25"/>
      <c r="EN473" s="149"/>
    </row>
    <row r="474">
      <c r="C474" s="25"/>
      <c r="EN474" s="149"/>
    </row>
    <row r="475">
      <c r="C475" s="25"/>
      <c r="EN475" s="149"/>
    </row>
    <row r="476">
      <c r="C476" s="25"/>
      <c r="EN476" s="149"/>
    </row>
    <row r="477">
      <c r="C477" s="25"/>
      <c r="EN477" s="149"/>
    </row>
    <row r="478">
      <c r="C478" s="25"/>
      <c r="EN478" s="149"/>
    </row>
    <row r="479">
      <c r="C479" s="25"/>
      <c r="EN479" s="149"/>
    </row>
    <row r="480">
      <c r="C480" s="25"/>
      <c r="EN480" s="149"/>
    </row>
    <row r="481">
      <c r="C481" s="25"/>
      <c r="EN481" s="149"/>
    </row>
    <row r="482">
      <c r="C482" s="25"/>
      <c r="EN482" s="149"/>
    </row>
    <row r="483">
      <c r="C483" s="25"/>
      <c r="EN483" s="149"/>
    </row>
    <row r="484">
      <c r="C484" s="25"/>
      <c r="EN484" s="149"/>
    </row>
    <row r="485">
      <c r="C485" s="25"/>
      <c r="EN485" s="149"/>
    </row>
    <row r="486">
      <c r="C486" s="25"/>
      <c r="EN486" s="149"/>
    </row>
    <row r="487">
      <c r="C487" s="25"/>
      <c r="EN487" s="149"/>
    </row>
    <row r="488">
      <c r="C488" s="25"/>
      <c r="EN488" s="149"/>
    </row>
    <row r="489">
      <c r="C489" s="25"/>
      <c r="EN489" s="149"/>
    </row>
    <row r="490">
      <c r="C490" s="25"/>
      <c r="EN490" s="149"/>
    </row>
    <row r="491">
      <c r="C491" s="25"/>
      <c r="EN491" s="149"/>
    </row>
    <row r="492">
      <c r="C492" s="25"/>
      <c r="EN492" s="149"/>
    </row>
    <row r="493">
      <c r="C493" s="25"/>
      <c r="EN493" s="149"/>
    </row>
    <row r="494">
      <c r="C494" s="25"/>
      <c r="EN494" s="149"/>
    </row>
    <row r="495">
      <c r="C495" s="25"/>
      <c r="EN495" s="149"/>
    </row>
    <row r="496">
      <c r="C496" s="25"/>
      <c r="EN496" s="149"/>
    </row>
    <row r="497">
      <c r="C497" s="25"/>
      <c r="EN497" s="149"/>
    </row>
    <row r="498">
      <c r="C498" s="25"/>
      <c r="EN498" s="149"/>
    </row>
    <row r="499">
      <c r="C499" s="25"/>
      <c r="EN499" s="149"/>
    </row>
    <row r="500">
      <c r="C500" s="25"/>
      <c r="EN500" s="149"/>
    </row>
    <row r="501">
      <c r="C501" s="25"/>
      <c r="EN501" s="149"/>
    </row>
    <row r="502">
      <c r="C502" s="25"/>
      <c r="EN502" s="149"/>
    </row>
    <row r="503">
      <c r="C503" s="25"/>
      <c r="EN503" s="149"/>
    </row>
    <row r="504">
      <c r="C504" s="25"/>
      <c r="EN504" s="149"/>
    </row>
    <row r="505">
      <c r="C505" s="25"/>
      <c r="EN505" s="149"/>
    </row>
    <row r="506">
      <c r="C506" s="25"/>
      <c r="EN506" s="149"/>
    </row>
    <row r="507">
      <c r="C507" s="25"/>
      <c r="EN507" s="149"/>
    </row>
    <row r="508">
      <c r="C508" s="25"/>
      <c r="EN508" s="149"/>
    </row>
    <row r="509">
      <c r="C509" s="25"/>
      <c r="EN509" s="149"/>
    </row>
    <row r="510">
      <c r="C510" s="25"/>
      <c r="EN510" s="149"/>
    </row>
    <row r="511">
      <c r="C511" s="25"/>
      <c r="EN511" s="149"/>
    </row>
    <row r="512">
      <c r="C512" s="25"/>
      <c r="EN512" s="149"/>
    </row>
    <row r="513">
      <c r="C513" s="25"/>
      <c r="EN513" s="149"/>
    </row>
    <row r="514">
      <c r="C514" s="25"/>
      <c r="EN514" s="149"/>
    </row>
    <row r="515">
      <c r="C515" s="25"/>
      <c r="EN515" s="149"/>
    </row>
    <row r="516">
      <c r="C516" s="25"/>
      <c r="EN516" s="149"/>
    </row>
    <row r="517">
      <c r="C517" s="25"/>
      <c r="EN517" s="149"/>
    </row>
    <row r="518">
      <c r="C518" s="25"/>
      <c r="EN518" s="149"/>
    </row>
    <row r="519">
      <c r="C519" s="25"/>
      <c r="EN519" s="149"/>
    </row>
    <row r="520">
      <c r="C520" s="25"/>
      <c r="EN520" s="149"/>
    </row>
    <row r="521">
      <c r="C521" s="25"/>
      <c r="EN521" s="149"/>
    </row>
    <row r="522">
      <c r="C522" s="25"/>
      <c r="EN522" s="149"/>
    </row>
    <row r="523">
      <c r="C523" s="25"/>
      <c r="EN523" s="149"/>
    </row>
    <row r="524">
      <c r="C524" s="25"/>
      <c r="EN524" s="149"/>
    </row>
    <row r="525">
      <c r="C525" s="25"/>
      <c r="EN525" s="149"/>
    </row>
    <row r="526">
      <c r="C526" s="25"/>
      <c r="EN526" s="149"/>
    </row>
    <row r="527">
      <c r="C527" s="25"/>
      <c r="EN527" s="149"/>
    </row>
    <row r="528">
      <c r="C528" s="25"/>
      <c r="EN528" s="149"/>
    </row>
    <row r="529">
      <c r="C529" s="25"/>
      <c r="EN529" s="149"/>
    </row>
    <row r="530">
      <c r="C530" s="25"/>
      <c r="EN530" s="149"/>
    </row>
    <row r="531">
      <c r="C531" s="25"/>
      <c r="EN531" s="149"/>
    </row>
    <row r="532">
      <c r="C532" s="25"/>
      <c r="EN532" s="149"/>
    </row>
    <row r="533">
      <c r="C533" s="25"/>
      <c r="EN533" s="149"/>
    </row>
    <row r="534">
      <c r="C534" s="25"/>
      <c r="EN534" s="149"/>
    </row>
    <row r="535">
      <c r="C535" s="25"/>
      <c r="EN535" s="149"/>
    </row>
    <row r="536">
      <c r="C536" s="25"/>
      <c r="EN536" s="149"/>
    </row>
    <row r="537">
      <c r="C537" s="25"/>
      <c r="EN537" s="149"/>
    </row>
    <row r="538">
      <c r="C538" s="25"/>
      <c r="EN538" s="149"/>
    </row>
    <row r="539">
      <c r="C539" s="25"/>
      <c r="EN539" s="149"/>
    </row>
    <row r="540">
      <c r="C540" s="25"/>
      <c r="EN540" s="149"/>
    </row>
    <row r="541">
      <c r="C541" s="25"/>
      <c r="EN541" s="149"/>
    </row>
    <row r="542">
      <c r="C542" s="25"/>
      <c r="EN542" s="149"/>
    </row>
    <row r="543">
      <c r="C543" s="25"/>
      <c r="EN543" s="149"/>
    </row>
    <row r="544">
      <c r="C544" s="25"/>
      <c r="EN544" s="149"/>
    </row>
    <row r="545">
      <c r="C545" s="25"/>
      <c r="EN545" s="149"/>
    </row>
    <row r="546">
      <c r="C546" s="25"/>
      <c r="EN546" s="149"/>
    </row>
    <row r="547">
      <c r="C547" s="25"/>
      <c r="EN547" s="149"/>
    </row>
    <row r="548">
      <c r="C548" s="25"/>
      <c r="EN548" s="149"/>
    </row>
    <row r="549">
      <c r="C549" s="25"/>
      <c r="EN549" s="149"/>
    </row>
    <row r="550">
      <c r="C550" s="25"/>
      <c r="EN550" s="149"/>
    </row>
    <row r="551">
      <c r="C551" s="25"/>
      <c r="EN551" s="149"/>
    </row>
    <row r="552">
      <c r="C552" s="25"/>
      <c r="EN552" s="149"/>
    </row>
    <row r="553">
      <c r="C553" s="25"/>
      <c r="EN553" s="149"/>
    </row>
    <row r="554">
      <c r="C554" s="25"/>
      <c r="EN554" s="149"/>
    </row>
    <row r="555">
      <c r="C555" s="25"/>
      <c r="EN555" s="149"/>
    </row>
    <row r="556">
      <c r="C556" s="25"/>
      <c r="EN556" s="149"/>
    </row>
    <row r="557">
      <c r="C557" s="25"/>
      <c r="EN557" s="149"/>
    </row>
    <row r="558">
      <c r="C558" s="25"/>
      <c r="EN558" s="149"/>
    </row>
    <row r="559">
      <c r="C559" s="25"/>
      <c r="EN559" s="149"/>
    </row>
    <row r="560">
      <c r="C560" s="25"/>
      <c r="EN560" s="149"/>
    </row>
    <row r="561">
      <c r="C561" s="25"/>
      <c r="EN561" s="149"/>
    </row>
    <row r="562">
      <c r="C562" s="25"/>
      <c r="EN562" s="149"/>
    </row>
    <row r="563">
      <c r="C563" s="25"/>
      <c r="EN563" s="149"/>
    </row>
    <row r="564">
      <c r="C564" s="25"/>
      <c r="EN564" s="149"/>
    </row>
    <row r="565">
      <c r="C565" s="25"/>
      <c r="EN565" s="149"/>
    </row>
    <row r="566">
      <c r="C566" s="25"/>
      <c r="EN566" s="149"/>
    </row>
    <row r="567">
      <c r="C567" s="25"/>
      <c r="EN567" s="149"/>
    </row>
    <row r="568">
      <c r="C568" s="25"/>
      <c r="EN568" s="149"/>
    </row>
    <row r="569">
      <c r="C569" s="25"/>
      <c r="EN569" s="149"/>
    </row>
    <row r="570">
      <c r="C570" s="25"/>
      <c r="EN570" s="149"/>
    </row>
    <row r="571">
      <c r="C571" s="25"/>
      <c r="EN571" s="149"/>
    </row>
    <row r="572">
      <c r="C572" s="25"/>
      <c r="EN572" s="149"/>
    </row>
    <row r="573">
      <c r="C573" s="25"/>
      <c r="EN573" s="149"/>
    </row>
    <row r="574">
      <c r="C574" s="25"/>
      <c r="EN574" s="149"/>
    </row>
    <row r="575">
      <c r="C575" s="25"/>
      <c r="EN575" s="149"/>
    </row>
    <row r="576">
      <c r="C576" s="25"/>
      <c r="EN576" s="149"/>
    </row>
    <row r="577">
      <c r="C577" s="25"/>
      <c r="EN577" s="149"/>
    </row>
    <row r="578">
      <c r="C578" s="25"/>
      <c r="EN578" s="149"/>
    </row>
    <row r="579">
      <c r="C579" s="25"/>
      <c r="EN579" s="149"/>
    </row>
    <row r="580">
      <c r="C580" s="25"/>
      <c r="EN580" s="149"/>
    </row>
    <row r="581">
      <c r="C581" s="25"/>
      <c r="EN581" s="149"/>
    </row>
    <row r="582">
      <c r="C582" s="25"/>
      <c r="EN582" s="149"/>
    </row>
    <row r="583">
      <c r="C583" s="25"/>
      <c r="EN583" s="149"/>
    </row>
    <row r="584">
      <c r="C584" s="25"/>
      <c r="EN584" s="149"/>
    </row>
    <row r="585">
      <c r="C585" s="25"/>
      <c r="EN585" s="149"/>
    </row>
    <row r="586">
      <c r="C586" s="25"/>
      <c r="EN586" s="149"/>
    </row>
    <row r="587">
      <c r="C587" s="25"/>
      <c r="EN587" s="149"/>
    </row>
    <row r="588">
      <c r="C588" s="25"/>
      <c r="EN588" s="149"/>
    </row>
    <row r="589">
      <c r="C589" s="25"/>
      <c r="EN589" s="149"/>
    </row>
    <row r="590">
      <c r="C590" s="25"/>
      <c r="EN590" s="149"/>
    </row>
    <row r="591">
      <c r="C591" s="25"/>
      <c r="EN591" s="149"/>
    </row>
    <row r="592">
      <c r="C592" s="25"/>
      <c r="EN592" s="149"/>
    </row>
    <row r="593">
      <c r="C593" s="25"/>
      <c r="EN593" s="149"/>
    </row>
    <row r="594">
      <c r="C594" s="25"/>
      <c r="EN594" s="149"/>
    </row>
    <row r="595">
      <c r="C595" s="25"/>
      <c r="EN595" s="149"/>
    </row>
    <row r="596">
      <c r="C596" s="25"/>
      <c r="EN596" s="149"/>
    </row>
    <row r="597">
      <c r="C597" s="25"/>
      <c r="EN597" s="149"/>
    </row>
    <row r="598">
      <c r="C598" s="25"/>
      <c r="EN598" s="149"/>
    </row>
    <row r="599">
      <c r="C599" s="25"/>
      <c r="EN599" s="149"/>
    </row>
    <row r="600">
      <c r="C600" s="25"/>
      <c r="EN600" s="149"/>
    </row>
    <row r="601">
      <c r="C601" s="25"/>
      <c r="EN601" s="149"/>
    </row>
    <row r="602">
      <c r="C602" s="25"/>
      <c r="EN602" s="149"/>
    </row>
    <row r="603">
      <c r="C603" s="25"/>
      <c r="EN603" s="149"/>
    </row>
    <row r="604">
      <c r="C604" s="25"/>
      <c r="EN604" s="149"/>
    </row>
    <row r="605">
      <c r="C605" s="25"/>
      <c r="EN605" s="149"/>
    </row>
    <row r="606">
      <c r="C606" s="25"/>
      <c r="EN606" s="149"/>
    </row>
    <row r="607">
      <c r="C607" s="25"/>
      <c r="EN607" s="149"/>
    </row>
    <row r="608">
      <c r="C608" s="25"/>
      <c r="EN608" s="149"/>
    </row>
    <row r="609">
      <c r="C609" s="25"/>
      <c r="EN609" s="149"/>
    </row>
    <row r="610">
      <c r="C610" s="25"/>
      <c r="EN610" s="149"/>
    </row>
    <row r="611">
      <c r="C611" s="25"/>
      <c r="EN611" s="149"/>
    </row>
    <row r="612">
      <c r="C612" s="25"/>
      <c r="EN612" s="149"/>
    </row>
    <row r="613">
      <c r="C613" s="25"/>
      <c r="EN613" s="149"/>
    </row>
    <row r="614">
      <c r="C614" s="25"/>
      <c r="EN614" s="149"/>
    </row>
    <row r="615">
      <c r="C615" s="25"/>
      <c r="EN615" s="149"/>
    </row>
    <row r="616">
      <c r="C616" s="25"/>
      <c r="EN616" s="149"/>
    </row>
    <row r="617">
      <c r="C617" s="25"/>
      <c r="EN617" s="149"/>
    </row>
    <row r="618">
      <c r="C618" s="25"/>
      <c r="EN618" s="149"/>
    </row>
    <row r="619">
      <c r="C619" s="25"/>
      <c r="EN619" s="149"/>
    </row>
    <row r="620">
      <c r="C620" s="25"/>
      <c r="EN620" s="149"/>
    </row>
    <row r="621">
      <c r="C621" s="25"/>
      <c r="EN621" s="149"/>
    </row>
    <row r="622">
      <c r="C622" s="25"/>
      <c r="EN622" s="149"/>
    </row>
    <row r="623">
      <c r="C623" s="25"/>
      <c r="EN623" s="149"/>
    </row>
    <row r="624">
      <c r="C624" s="25"/>
      <c r="EN624" s="149"/>
    </row>
    <row r="625">
      <c r="C625" s="25"/>
      <c r="EN625" s="149"/>
    </row>
    <row r="626">
      <c r="C626" s="25"/>
      <c r="EN626" s="149"/>
    </row>
    <row r="627">
      <c r="C627" s="25"/>
      <c r="EN627" s="149"/>
    </row>
    <row r="628">
      <c r="C628" s="25"/>
      <c r="EN628" s="149"/>
    </row>
    <row r="629">
      <c r="C629" s="25"/>
      <c r="EN629" s="149"/>
    </row>
    <row r="630">
      <c r="C630" s="25"/>
      <c r="EN630" s="149"/>
    </row>
    <row r="631">
      <c r="C631" s="25"/>
      <c r="EN631" s="149"/>
    </row>
    <row r="632">
      <c r="C632" s="25"/>
      <c r="EN632" s="149"/>
    </row>
    <row r="633">
      <c r="C633" s="25"/>
      <c r="EN633" s="149"/>
    </row>
    <row r="634">
      <c r="C634" s="25"/>
      <c r="EN634" s="149"/>
    </row>
    <row r="635">
      <c r="C635" s="25"/>
      <c r="EN635" s="149"/>
    </row>
    <row r="636">
      <c r="C636" s="25"/>
      <c r="EN636" s="149"/>
    </row>
    <row r="637">
      <c r="C637" s="25"/>
      <c r="EN637" s="149"/>
    </row>
    <row r="638">
      <c r="C638" s="25"/>
      <c r="EN638" s="149"/>
    </row>
    <row r="639">
      <c r="C639" s="25"/>
      <c r="EN639" s="149"/>
    </row>
    <row r="640">
      <c r="C640" s="25"/>
      <c r="EN640" s="149"/>
    </row>
    <row r="641">
      <c r="C641" s="25"/>
      <c r="EN641" s="149"/>
    </row>
    <row r="642">
      <c r="C642" s="25"/>
      <c r="EN642" s="149"/>
    </row>
    <row r="643">
      <c r="C643" s="25"/>
      <c r="EN643" s="149"/>
    </row>
    <row r="644">
      <c r="C644" s="25"/>
      <c r="EN644" s="149"/>
    </row>
    <row r="645">
      <c r="C645" s="25"/>
      <c r="EN645" s="149"/>
    </row>
    <row r="646">
      <c r="C646" s="25"/>
      <c r="EN646" s="149"/>
    </row>
    <row r="647">
      <c r="C647" s="25"/>
      <c r="EN647" s="149"/>
    </row>
    <row r="648">
      <c r="C648" s="25"/>
      <c r="EN648" s="149"/>
    </row>
    <row r="649">
      <c r="C649" s="25"/>
      <c r="EN649" s="149"/>
    </row>
    <row r="650">
      <c r="C650" s="25"/>
      <c r="EN650" s="149"/>
    </row>
    <row r="651">
      <c r="C651" s="25"/>
      <c r="EN651" s="149"/>
    </row>
    <row r="652">
      <c r="C652" s="25"/>
      <c r="EN652" s="149"/>
    </row>
    <row r="653">
      <c r="C653" s="25"/>
      <c r="EN653" s="149"/>
    </row>
    <row r="654">
      <c r="C654" s="25"/>
      <c r="EN654" s="149"/>
    </row>
    <row r="655">
      <c r="C655" s="25"/>
      <c r="EN655" s="149"/>
    </row>
    <row r="656">
      <c r="C656" s="25"/>
      <c r="EN656" s="149"/>
    </row>
    <row r="657">
      <c r="C657" s="25"/>
      <c r="EN657" s="149"/>
    </row>
    <row r="658">
      <c r="C658" s="25"/>
      <c r="EN658" s="149"/>
    </row>
    <row r="659">
      <c r="C659" s="25"/>
      <c r="EN659" s="149"/>
    </row>
    <row r="660">
      <c r="C660" s="25"/>
      <c r="EN660" s="149"/>
    </row>
    <row r="661">
      <c r="C661" s="25"/>
      <c r="EN661" s="149"/>
    </row>
    <row r="662">
      <c r="C662" s="25"/>
      <c r="EN662" s="149"/>
    </row>
    <row r="663">
      <c r="C663" s="25"/>
      <c r="EN663" s="149"/>
    </row>
    <row r="664">
      <c r="C664" s="25"/>
      <c r="EN664" s="149"/>
    </row>
    <row r="665">
      <c r="C665" s="25"/>
      <c r="EN665" s="149"/>
    </row>
    <row r="666">
      <c r="C666" s="25"/>
      <c r="EN666" s="149"/>
    </row>
    <row r="667">
      <c r="C667" s="25"/>
      <c r="EN667" s="149"/>
    </row>
    <row r="668">
      <c r="C668" s="25"/>
      <c r="EN668" s="149"/>
    </row>
    <row r="669">
      <c r="C669" s="25"/>
      <c r="EN669" s="149"/>
    </row>
    <row r="670">
      <c r="C670" s="25"/>
      <c r="EN670" s="149"/>
    </row>
    <row r="671">
      <c r="C671" s="25"/>
      <c r="EN671" s="149"/>
    </row>
    <row r="672">
      <c r="C672" s="25"/>
      <c r="EN672" s="149"/>
    </row>
    <row r="673">
      <c r="C673" s="25"/>
      <c r="EN673" s="149"/>
    </row>
    <row r="674">
      <c r="C674" s="25"/>
      <c r="EN674" s="149"/>
    </row>
    <row r="675">
      <c r="C675" s="25"/>
      <c r="EN675" s="149"/>
    </row>
    <row r="676">
      <c r="C676" s="25"/>
      <c r="EN676" s="149"/>
    </row>
    <row r="677">
      <c r="C677" s="25"/>
      <c r="EN677" s="149"/>
    </row>
    <row r="678">
      <c r="C678" s="25"/>
      <c r="EN678" s="149"/>
    </row>
    <row r="679">
      <c r="C679" s="25"/>
      <c r="EN679" s="149"/>
    </row>
    <row r="680">
      <c r="C680" s="25"/>
      <c r="EN680" s="149"/>
    </row>
    <row r="681">
      <c r="C681" s="25"/>
      <c r="EN681" s="149"/>
    </row>
    <row r="682">
      <c r="C682" s="25"/>
      <c r="EN682" s="149"/>
    </row>
    <row r="683">
      <c r="C683" s="25"/>
      <c r="EN683" s="149"/>
    </row>
    <row r="684">
      <c r="C684" s="25"/>
      <c r="EN684" s="149"/>
    </row>
    <row r="685">
      <c r="C685" s="25"/>
      <c r="EN685" s="149"/>
    </row>
    <row r="686">
      <c r="C686" s="25"/>
      <c r="EN686" s="149"/>
    </row>
    <row r="687">
      <c r="C687" s="25"/>
      <c r="EN687" s="149"/>
    </row>
    <row r="688">
      <c r="C688" s="25"/>
      <c r="EN688" s="149"/>
    </row>
    <row r="689">
      <c r="C689" s="25"/>
      <c r="EN689" s="149"/>
    </row>
    <row r="690">
      <c r="C690" s="25"/>
      <c r="EN690" s="149"/>
    </row>
    <row r="691">
      <c r="C691" s="25"/>
      <c r="EN691" s="149"/>
    </row>
    <row r="692">
      <c r="C692" s="25"/>
      <c r="EN692" s="149"/>
    </row>
    <row r="693">
      <c r="C693" s="25"/>
      <c r="EN693" s="149"/>
    </row>
    <row r="694">
      <c r="C694" s="25"/>
      <c r="EN694" s="149"/>
    </row>
    <row r="695">
      <c r="C695" s="25"/>
      <c r="EN695" s="149"/>
    </row>
    <row r="696">
      <c r="C696" s="25"/>
      <c r="EN696" s="149"/>
    </row>
    <row r="697">
      <c r="C697" s="25"/>
      <c r="EN697" s="149"/>
    </row>
    <row r="698">
      <c r="C698" s="25"/>
      <c r="EN698" s="149"/>
    </row>
    <row r="699">
      <c r="C699" s="25"/>
      <c r="EN699" s="149"/>
    </row>
    <row r="700">
      <c r="C700" s="25"/>
      <c r="EN700" s="149"/>
    </row>
    <row r="701">
      <c r="C701" s="25"/>
      <c r="EN701" s="149"/>
    </row>
    <row r="702">
      <c r="C702" s="25"/>
      <c r="EN702" s="149"/>
    </row>
    <row r="703">
      <c r="C703" s="25"/>
      <c r="EN703" s="149"/>
    </row>
    <row r="704">
      <c r="C704" s="25"/>
      <c r="EN704" s="149"/>
    </row>
    <row r="705">
      <c r="C705" s="25"/>
      <c r="EN705" s="149"/>
    </row>
    <row r="706">
      <c r="C706" s="25"/>
      <c r="EN706" s="149"/>
    </row>
    <row r="707">
      <c r="C707" s="25"/>
      <c r="EN707" s="149"/>
    </row>
    <row r="708">
      <c r="C708" s="25"/>
      <c r="EN708" s="149"/>
    </row>
    <row r="709">
      <c r="C709" s="25"/>
      <c r="EN709" s="149"/>
    </row>
    <row r="710">
      <c r="C710" s="25"/>
      <c r="EN710" s="149"/>
    </row>
    <row r="711">
      <c r="C711" s="25"/>
      <c r="EN711" s="149"/>
    </row>
    <row r="712">
      <c r="C712" s="25"/>
      <c r="EN712" s="149"/>
    </row>
    <row r="713">
      <c r="C713" s="25"/>
      <c r="EN713" s="149"/>
    </row>
    <row r="714">
      <c r="C714" s="25"/>
      <c r="EN714" s="149"/>
    </row>
    <row r="715">
      <c r="C715" s="25"/>
      <c r="EN715" s="149"/>
    </row>
    <row r="716">
      <c r="C716" s="25"/>
      <c r="EN716" s="149"/>
    </row>
    <row r="717">
      <c r="C717" s="25"/>
      <c r="EN717" s="149"/>
    </row>
    <row r="718">
      <c r="C718" s="25"/>
      <c r="EN718" s="149"/>
    </row>
    <row r="719">
      <c r="C719" s="25"/>
      <c r="EN719" s="149"/>
    </row>
    <row r="720">
      <c r="C720" s="25"/>
      <c r="EN720" s="149"/>
    </row>
    <row r="721">
      <c r="C721" s="25"/>
      <c r="EN721" s="149"/>
    </row>
    <row r="722">
      <c r="C722" s="25"/>
      <c r="EN722" s="149"/>
    </row>
    <row r="723">
      <c r="C723" s="25"/>
      <c r="EN723" s="149"/>
    </row>
    <row r="724">
      <c r="C724" s="25"/>
      <c r="EN724" s="149"/>
    </row>
    <row r="725">
      <c r="C725" s="25"/>
      <c r="EN725" s="149"/>
    </row>
    <row r="726">
      <c r="C726" s="25"/>
      <c r="EN726" s="149"/>
    </row>
    <row r="727">
      <c r="C727" s="25"/>
      <c r="EN727" s="149"/>
    </row>
    <row r="728">
      <c r="C728" s="25"/>
      <c r="EN728" s="149"/>
    </row>
    <row r="729">
      <c r="C729" s="25"/>
      <c r="EN729" s="149"/>
    </row>
    <row r="730">
      <c r="C730" s="25"/>
      <c r="EN730" s="149"/>
    </row>
    <row r="731">
      <c r="C731" s="25"/>
      <c r="EN731" s="149"/>
    </row>
    <row r="732">
      <c r="C732" s="25"/>
      <c r="EN732" s="149"/>
    </row>
    <row r="733">
      <c r="C733" s="25"/>
      <c r="EN733" s="149"/>
    </row>
    <row r="734">
      <c r="C734" s="25"/>
      <c r="EN734" s="149"/>
    </row>
    <row r="735">
      <c r="C735" s="25"/>
      <c r="EN735" s="149"/>
    </row>
    <row r="736">
      <c r="C736" s="25"/>
      <c r="EN736" s="149"/>
    </row>
    <row r="737">
      <c r="C737" s="25"/>
      <c r="EN737" s="149"/>
    </row>
    <row r="738">
      <c r="C738" s="25"/>
      <c r="EN738" s="149"/>
    </row>
    <row r="739">
      <c r="C739" s="25"/>
      <c r="EN739" s="149"/>
    </row>
    <row r="740">
      <c r="C740" s="25"/>
      <c r="EN740" s="149"/>
    </row>
    <row r="741">
      <c r="C741" s="25"/>
      <c r="EN741" s="149"/>
    </row>
    <row r="742">
      <c r="C742" s="25"/>
      <c r="EN742" s="149"/>
    </row>
    <row r="743">
      <c r="C743" s="25"/>
      <c r="EN743" s="149"/>
    </row>
    <row r="744">
      <c r="C744" s="25"/>
      <c r="EN744" s="149"/>
    </row>
    <row r="745">
      <c r="C745" s="25"/>
      <c r="EN745" s="149"/>
    </row>
    <row r="746">
      <c r="C746" s="25"/>
      <c r="EN746" s="149"/>
    </row>
    <row r="747">
      <c r="C747" s="25"/>
      <c r="EN747" s="149"/>
    </row>
    <row r="748">
      <c r="C748" s="25"/>
      <c r="EN748" s="149"/>
    </row>
    <row r="749">
      <c r="C749" s="25"/>
      <c r="EN749" s="149"/>
    </row>
    <row r="750">
      <c r="C750" s="25"/>
      <c r="EN750" s="149"/>
    </row>
    <row r="751">
      <c r="C751" s="25"/>
      <c r="EN751" s="149"/>
    </row>
    <row r="752">
      <c r="C752" s="25"/>
      <c r="EN752" s="149"/>
    </row>
    <row r="753">
      <c r="C753" s="25"/>
      <c r="EN753" s="149"/>
    </row>
    <row r="754">
      <c r="C754" s="25"/>
      <c r="EN754" s="149"/>
    </row>
    <row r="755">
      <c r="C755" s="25"/>
      <c r="EN755" s="149"/>
    </row>
    <row r="756">
      <c r="C756" s="25"/>
      <c r="EN756" s="149"/>
    </row>
    <row r="757">
      <c r="C757" s="25"/>
      <c r="EN757" s="149"/>
    </row>
    <row r="758">
      <c r="C758" s="25"/>
      <c r="EN758" s="149"/>
    </row>
    <row r="759">
      <c r="C759" s="25"/>
      <c r="EN759" s="149"/>
    </row>
    <row r="760">
      <c r="C760" s="25"/>
      <c r="EN760" s="149"/>
    </row>
    <row r="761">
      <c r="C761" s="25"/>
      <c r="EN761" s="149"/>
    </row>
    <row r="762">
      <c r="C762" s="25"/>
      <c r="EN762" s="149"/>
    </row>
    <row r="763">
      <c r="C763" s="25"/>
      <c r="EN763" s="149"/>
    </row>
    <row r="764">
      <c r="C764" s="25"/>
      <c r="EN764" s="149"/>
    </row>
    <row r="765">
      <c r="C765" s="25"/>
      <c r="EN765" s="149"/>
    </row>
    <row r="766">
      <c r="C766" s="25"/>
      <c r="EN766" s="149"/>
    </row>
    <row r="767">
      <c r="C767" s="25"/>
      <c r="EN767" s="149"/>
    </row>
    <row r="768">
      <c r="C768" s="25"/>
      <c r="EN768" s="149"/>
    </row>
    <row r="769">
      <c r="C769" s="25"/>
      <c r="EN769" s="149"/>
    </row>
    <row r="770">
      <c r="C770" s="25"/>
      <c r="EN770" s="149"/>
    </row>
    <row r="771">
      <c r="C771" s="25"/>
      <c r="EN771" s="149"/>
    </row>
    <row r="772">
      <c r="C772" s="25"/>
      <c r="EN772" s="149"/>
    </row>
    <row r="773">
      <c r="C773" s="25"/>
      <c r="EN773" s="149"/>
    </row>
    <row r="774">
      <c r="C774" s="25"/>
      <c r="EN774" s="149"/>
    </row>
    <row r="775">
      <c r="C775" s="25"/>
      <c r="EN775" s="149"/>
    </row>
    <row r="776">
      <c r="C776" s="25"/>
      <c r="EN776" s="149"/>
    </row>
    <row r="777">
      <c r="C777" s="25"/>
      <c r="EN777" s="149"/>
    </row>
    <row r="778">
      <c r="C778" s="25"/>
      <c r="EN778" s="149"/>
    </row>
    <row r="779">
      <c r="C779" s="25"/>
      <c r="EN779" s="149"/>
    </row>
    <row r="780">
      <c r="C780" s="25"/>
      <c r="EN780" s="149"/>
    </row>
    <row r="781">
      <c r="C781" s="25"/>
      <c r="EN781" s="149"/>
    </row>
    <row r="782">
      <c r="C782" s="25"/>
      <c r="EN782" s="149"/>
    </row>
    <row r="783">
      <c r="C783" s="25"/>
      <c r="EN783" s="149"/>
    </row>
    <row r="784">
      <c r="C784" s="25"/>
      <c r="EN784" s="149"/>
    </row>
    <row r="785">
      <c r="C785" s="25"/>
      <c r="EN785" s="149"/>
    </row>
    <row r="786">
      <c r="C786" s="25"/>
      <c r="EN786" s="149"/>
    </row>
    <row r="787">
      <c r="C787" s="25"/>
      <c r="EN787" s="149"/>
    </row>
    <row r="788">
      <c r="C788" s="25"/>
      <c r="EN788" s="149"/>
    </row>
    <row r="789">
      <c r="C789" s="25"/>
      <c r="EN789" s="149"/>
    </row>
    <row r="790">
      <c r="C790" s="25"/>
      <c r="EN790" s="149"/>
    </row>
    <row r="791">
      <c r="C791" s="25"/>
      <c r="EN791" s="149"/>
    </row>
    <row r="792">
      <c r="C792" s="25"/>
      <c r="EN792" s="149"/>
    </row>
    <row r="793">
      <c r="C793" s="25"/>
      <c r="EN793" s="149"/>
    </row>
    <row r="794">
      <c r="C794" s="25"/>
      <c r="EN794" s="149"/>
    </row>
    <row r="795">
      <c r="C795" s="25"/>
      <c r="EN795" s="149"/>
    </row>
    <row r="796">
      <c r="C796" s="25"/>
      <c r="EN796" s="149"/>
    </row>
    <row r="797">
      <c r="C797" s="25"/>
      <c r="EN797" s="149"/>
    </row>
    <row r="798">
      <c r="C798" s="25"/>
      <c r="EN798" s="149"/>
    </row>
    <row r="799">
      <c r="C799" s="25"/>
      <c r="EN799" s="149"/>
    </row>
    <row r="800">
      <c r="C800" s="25"/>
      <c r="EN800" s="149"/>
    </row>
    <row r="801">
      <c r="C801" s="25"/>
      <c r="EN801" s="149"/>
    </row>
    <row r="802">
      <c r="C802" s="25"/>
      <c r="EN802" s="149"/>
    </row>
    <row r="803">
      <c r="C803" s="25"/>
      <c r="EN803" s="149"/>
    </row>
    <row r="804">
      <c r="C804" s="25"/>
      <c r="EN804" s="149"/>
    </row>
    <row r="805">
      <c r="C805" s="25"/>
      <c r="EN805" s="149"/>
    </row>
    <row r="806">
      <c r="C806" s="25"/>
      <c r="EN806" s="149"/>
    </row>
    <row r="807">
      <c r="C807" s="25"/>
      <c r="EN807" s="149"/>
    </row>
    <row r="808">
      <c r="C808" s="25"/>
      <c r="EN808" s="149"/>
    </row>
    <row r="809">
      <c r="C809" s="25"/>
      <c r="EN809" s="149"/>
    </row>
    <row r="810">
      <c r="C810" s="25"/>
      <c r="EN810" s="149"/>
    </row>
    <row r="811">
      <c r="C811" s="25"/>
      <c r="EN811" s="149"/>
    </row>
    <row r="812">
      <c r="C812" s="25"/>
      <c r="EN812" s="149"/>
    </row>
    <row r="813">
      <c r="C813" s="25"/>
      <c r="EN813" s="149"/>
    </row>
    <row r="814">
      <c r="C814" s="25"/>
      <c r="EN814" s="149"/>
    </row>
    <row r="815">
      <c r="C815" s="25"/>
      <c r="EN815" s="149"/>
    </row>
    <row r="816">
      <c r="C816" s="25"/>
      <c r="EN816" s="149"/>
    </row>
    <row r="817">
      <c r="C817" s="25"/>
      <c r="EN817" s="149"/>
    </row>
    <row r="818">
      <c r="C818" s="25"/>
      <c r="EN818" s="149"/>
    </row>
    <row r="819">
      <c r="C819" s="25"/>
      <c r="EN819" s="149"/>
    </row>
    <row r="820">
      <c r="C820" s="25"/>
      <c r="EN820" s="149"/>
    </row>
    <row r="821">
      <c r="C821" s="25"/>
      <c r="EN821" s="149"/>
    </row>
    <row r="822">
      <c r="C822" s="25"/>
      <c r="EN822" s="149"/>
    </row>
    <row r="823">
      <c r="C823" s="25"/>
      <c r="EN823" s="149"/>
    </row>
    <row r="824">
      <c r="C824" s="25"/>
      <c r="EN824" s="149"/>
    </row>
    <row r="825">
      <c r="C825" s="25"/>
      <c r="EN825" s="149"/>
    </row>
    <row r="826">
      <c r="C826" s="25"/>
      <c r="EN826" s="149"/>
    </row>
    <row r="827">
      <c r="C827" s="25"/>
      <c r="EN827" s="149"/>
    </row>
    <row r="828">
      <c r="C828" s="25"/>
      <c r="EN828" s="149"/>
    </row>
    <row r="829">
      <c r="C829" s="25"/>
      <c r="EN829" s="149"/>
    </row>
    <row r="830">
      <c r="C830" s="25"/>
      <c r="EN830" s="149"/>
    </row>
    <row r="831">
      <c r="C831" s="25"/>
      <c r="EN831" s="149"/>
    </row>
    <row r="832">
      <c r="C832" s="25"/>
      <c r="EN832" s="149"/>
    </row>
    <row r="833">
      <c r="C833" s="25"/>
      <c r="EN833" s="149"/>
    </row>
    <row r="834">
      <c r="C834" s="25"/>
      <c r="EN834" s="149"/>
    </row>
    <row r="835">
      <c r="C835" s="25"/>
      <c r="EN835" s="149"/>
    </row>
    <row r="836">
      <c r="C836" s="25"/>
      <c r="EN836" s="149"/>
    </row>
    <row r="837">
      <c r="C837" s="25"/>
      <c r="EN837" s="149"/>
    </row>
    <row r="838">
      <c r="C838" s="25"/>
      <c r="EN838" s="149"/>
    </row>
    <row r="839">
      <c r="C839" s="25"/>
      <c r="EN839" s="149"/>
    </row>
    <row r="840">
      <c r="C840" s="25"/>
      <c r="EN840" s="149"/>
    </row>
    <row r="841">
      <c r="C841" s="25"/>
      <c r="EN841" s="149"/>
    </row>
    <row r="842">
      <c r="C842" s="25"/>
      <c r="EN842" s="149"/>
    </row>
    <row r="843">
      <c r="C843" s="25"/>
      <c r="EN843" s="149"/>
    </row>
    <row r="844">
      <c r="C844" s="25"/>
      <c r="EN844" s="149"/>
    </row>
    <row r="845">
      <c r="C845" s="25"/>
      <c r="EN845" s="149"/>
    </row>
    <row r="846">
      <c r="C846" s="25"/>
      <c r="EN846" s="149"/>
    </row>
    <row r="847">
      <c r="C847" s="25"/>
      <c r="EN847" s="149"/>
    </row>
    <row r="848">
      <c r="C848" s="25"/>
      <c r="EN848" s="149"/>
    </row>
    <row r="849">
      <c r="C849" s="25"/>
      <c r="EN849" s="149"/>
    </row>
    <row r="850">
      <c r="C850" s="25"/>
      <c r="EN850" s="149"/>
    </row>
    <row r="851">
      <c r="C851" s="25"/>
      <c r="EN851" s="149"/>
    </row>
    <row r="852">
      <c r="C852" s="25"/>
      <c r="EN852" s="149"/>
    </row>
    <row r="853">
      <c r="C853" s="25"/>
      <c r="EN853" s="149"/>
    </row>
    <row r="854">
      <c r="C854" s="25"/>
      <c r="EN854" s="149"/>
    </row>
    <row r="855">
      <c r="C855" s="25"/>
      <c r="EN855" s="149"/>
    </row>
    <row r="856">
      <c r="C856" s="25"/>
      <c r="EN856" s="149"/>
    </row>
    <row r="857">
      <c r="C857" s="25"/>
      <c r="EN857" s="149"/>
    </row>
    <row r="858">
      <c r="C858" s="25"/>
      <c r="EN858" s="149"/>
    </row>
    <row r="859">
      <c r="C859" s="25"/>
      <c r="EN859" s="149"/>
    </row>
    <row r="860">
      <c r="C860" s="25"/>
      <c r="EN860" s="149"/>
    </row>
    <row r="861">
      <c r="C861" s="25"/>
      <c r="EN861" s="149"/>
    </row>
    <row r="862">
      <c r="C862" s="25"/>
      <c r="EN862" s="149"/>
    </row>
    <row r="863">
      <c r="C863" s="25"/>
      <c r="EN863" s="149"/>
    </row>
    <row r="864">
      <c r="C864" s="25"/>
      <c r="EN864" s="149"/>
    </row>
    <row r="865">
      <c r="C865" s="25"/>
      <c r="EN865" s="149"/>
    </row>
    <row r="866">
      <c r="C866" s="25"/>
      <c r="EN866" s="149"/>
    </row>
    <row r="867">
      <c r="C867" s="25"/>
      <c r="EN867" s="149"/>
    </row>
    <row r="868">
      <c r="C868" s="25"/>
      <c r="EN868" s="149"/>
    </row>
    <row r="869">
      <c r="C869" s="25"/>
      <c r="EN869" s="149"/>
    </row>
    <row r="870">
      <c r="C870" s="25"/>
      <c r="EN870" s="149"/>
    </row>
    <row r="871">
      <c r="C871" s="25"/>
      <c r="EN871" s="149"/>
    </row>
    <row r="872">
      <c r="C872" s="25"/>
      <c r="EN872" s="149"/>
    </row>
    <row r="873">
      <c r="C873" s="25"/>
      <c r="EN873" s="149"/>
    </row>
    <row r="874">
      <c r="C874" s="25"/>
      <c r="EN874" s="149"/>
    </row>
    <row r="875">
      <c r="C875" s="25"/>
      <c r="EN875" s="149"/>
    </row>
    <row r="876">
      <c r="C876" s="25"/>
      <c r="EN876" s="149"/>
    </row>
    <row r="877">
      <c r="C877" s="25"/>
      <c r="EN877" s="149"/>
    </row>
    <row r="878">
      <c r="C878" s="25"/>
      <c r="EN878" s="149"/>
    </row>
    <row r="879">
      <c r="C879" s="25"/>
      <c r="EN879" s="149"/>
    </row>
    <row r="880">
      <c r="C880" s="25"/>
      <c r="EN880" s="149"/>
    </row>
    <row r="881">
      <c r="C881" s="25"/>
      <c r="EN881" s="149"/>
    </row>
    <row r="882">
      <c r="C882" s="25"/>
      <c r="EN882" s="149"/>
    </row>
    <row r="883">
      <c r="C883" s="25"/>
      <c r="EN883" s="149"/>
    </row>
    <row r="884">
      <c r="C884" s="25"/>
      <c r="EN884" s="149"/>
    </row>
    <row r="885">
      <c r="C885" s="25"/>
      <c r="EN885" s="149"/>
    </row>
    <row r="886">
      <c r="C886" s="25"/>
      <c r="EN886" s="149"/>
    </row>
    <row r="887">
      <c r="C887" s="25"/>
      <c r="EN887" s="149"/>
    </row>
    <row r="888">
      <c r="C888" s="25"/>
      <c r="EN888" s="149"/>
    </row>
    <row r="889">
      <c r="C889" s="25"/>
      <c r="EN889" s="149"/>
    </row>
    <row r="890">
      <c r="C890" s="25"/>
      <c r="EN890" s="149"/>
    </row>
    <row r="891">
      <c r="C891" s="25"/>
      <c r="EN891" s="149"/>
    </row>
    <row r="892">
      <c r="C892" s="25"/>
      <c r="EN892" s="149"/>
    </row>
    <row r="893">
      <c r="C893" s="25"/>
      <c r="EN893" s="149"/>
    </row>
    <row r="894">
      <c r="C894" s="25"/>
      <c r="EN894" s="149"/>
    </row>
    <row r="895">
      <c r="C895" s="25"/>
      <c r="EN895" s="149"/>
    </row>
    <row r="896">
      <c r="C896" s="25"/>
      <c r="EN896" s="149"/>
    </row>
    <row r="897">
      <c r="C897" s="25"/>
      <c r="EN897" s="149"/>
    </row>
    <row r="898">
      <c r="C898" s="25"/>
      <c r="EN898" s="149"/>
    </row>
    <row r="899">
      <c r="C899" s="25"/>
      <c r="EN899" s="149"/>
    </row>
    <row r="900">
      <c r="C900" s="25"/>
      <c r="EN900" s="149"/>
    </row>
    <row r="901">
      <c r="C901" s="25"/>
      <c r="EN901" s="149"/>
    </row>
    <row r="902">
      <c r="C902" s="25"/>
      <c r="EN902" s="149"/>
    </row>
    <row r="903">
      <c r="C903" s="25"/>
      <c r="EN903" s="149"/>
    </row>
    <row r="904">
      <c r="C904" s="25"/>
      <c r="EN904" s="149"/>
    </row>
    <row r="905">
      <c r="C905" s="25"/>
      <c r="EN905" s="149"/>
    </row>
    <row r="906">
      <c r="C906" s="25"/>
      <c r="EN906" s="149"/>
    </row>
    <row r="907">
      <c r="C907" s="25"/>
      <c r="EN907" s="149"/>
    </row>
    <row r="908">
      <c r="C908" s="25"/>
      <c r="EN908" s="149"/>
    </row>
    <row r="909">
      <c r="C909" s="25"/>
      <c r="EN909" s="149"/>
    </row>
    <row r="910">
      <c r="C910" s="25"/>
      <c r="EN910" s="149"/>
    </row>
    <row r="911">
      <c r="C911" s="25"/>
      <c r="EN911" s="149"/>
    </row>
    <row r="912">
      <c r="C912" s="25"/>
      <c r="EN912" s="149"/>
    </row>
    <row r="913">
      <c r="C913" s="25"/>
      <c r="EN913" s="149"/>
    </row>
    <row r="914">
      <c r="C914" s="25"/>
      <c r="EN914" s="149"/>
    </row>
    <row r="915">
      <c r="C915" s="25"/>
      <c r="EN915" s="149"/>
    </row>
    <row r="916">
      <c r="C916" s="25"/>
      <c r="EN916" s="149"/>
    </row>
    <row r="917">
      <c r="C917" s="25"/>
      <c r="EN917" s="149"/>
    </row>
    <row r="918">
      <c r="C918" s="25"/>
      <c r="EN918" s="149"/>
    </row>
    <row r="919">
      <c r="C919" s="25"/>
      <c r="EN919" s="149"/>
    </row>
    <row r="920">
      <c r="C920" s="25"/>
      <c r="EN920" s="149"/>
    </row>
    <row r="921">
      <c r="C921" s="25"/>
      <c r="EN921" s="149"/>
    </row>
    <row r="922">
      <c r="C922" s="25"/>
      <c r="EN922" s="149"/>
    </row>
    <row r="923">
      <c r="C923" s="25"/>
      <c r="EN923" s="149"/>
    </row>
    <row r="924">
      <c r="C924" s="25"/>
      <c r="EN924" s="149"/>
    </row>
    <row r="925">
      <c r="C925" s="25"/>
      <c r="EN925" s="149"/>
    </row>
    <row r="926">
      <c r="C926" s="25"/>
      <c r="EN926" s="149"/>
    </row>
    <row r="927">
      <c r="C927" s="25"/>
      <c r="EN927" s="149"/>
    </row>
    <row r="928">
      <c r="C928" s="25"/>
      <c r="EN928" s="149"/>
    </row>
    <row r="929">
      <c r="C929" s="25"/>
      <c r="EN929" s="149"/>
    </row>
    <row r="930">
      <c r="C930" s="25"/>
      <c r="EN930" s="149"/>
    </row>
    <row r="931">
      <c r="C931" s="25"/>
      <c r="EN931" s="149"/>
    </row>
    <row r="932">
      <c r="C932" s="25"/>
      <c r="EN932" s="149"/>
    </row>
    <row r="933">
      <c r="C933" s="25"/>
      <c r="EN933" s="149"/>
    </row>
    <row r="934">
      <c r="C934" s="25"/>
      <c r="EN934" s="149"/>
    </row>
    <row r="935">
      <c r="C935" s="25"/>
      <c r="EN935" s="149"/>
    </row>
    <row r="936">
      <c r="C936" s="25"/>
      <c r="EN936" s="149"/>
    </row>
    <row r="937">
      <c r="C937" s="25"/>
      <c r="EN937" s="149"/>
    </row>
    <row r="938">
      <c r="C938" s="25"/>
      <c r="EN938" s="149"/>
    </row>
    <row r="939">
      <c r="C939" s="25"/>
      <c r="EN939" s="149"/>
    </row>
    <row r="940">
      <c r="C940" s="25"/>
      <c r="EN940" s="149"/>
    </row>
    <row r="941">
      <c r="C941" s="25"/>
      <c r="EN941" s="149"/>
    </row>
    <row r="942">
      <c r="C942" s="25"/>
      <c r="EN942" s="149"/>
    </row>
    <row r="943">
      <c r="C943" s="25"/>
      <c r="EN943" s="149"/>
    </row>
    <row r="944">
      <c r="C944" s="25"/>
      <c r="EN944" s="149"/>
    </row>
    <row r="945">
      <c r="C945" s="25"/>
      <c r="EN945" s="149"/>
    </row>
    <row r="946">
      <c r="C946" s="25"/>
      <c r="EN946" s="149"/>
    </row>
    <row r="947">
      <c r="C947" s="25"/>
      <c r="EN947" s="149"/>
    </row>
    <row r="948">
      <c r="C948" s="25"/>
      <c r="EN948" s="149"/>
    </row>
    <row r="949">
      <c r="C949" s="25"/>
      <c r="EN949" s="149"/>
    </row>
    <row r="950">
      <c r="C950" s="25"/>
      <c r="EN950" s="149"/>
    </row>
    <row r="951">
      <c r="C951" s="25"/>
      <c r="EN951" s="149"/>
    </row>
    <row r="952">
      <c r="C952" s="25"/>
      <c r="EN952" s="149"/>
    </row>
    <row r="953">
      <c r="C953" s="25"/>
      <c r="EN953" s="149"/>
    </row>
    <row r="954">
      <c r="C954" s="25"/>
      <c r="EN954" s="149"/>
    </row>
    <row r="955">
      <c r="C955" s="25"/>
      <c r="EN955" s="149"/>
    </row>
    <row r="956">
      <c r="C956" s="25"/>
      <c r="EN956" s="149"/>
    </row>
    <row r="957">
      <c r="C957" s="25"/>
      <c r="EN957" s="149"/>
    </row>
    <row r="958">
      <c r="C958" s="25"/>
      <c r="EN958" s="149"/>
    </row>
    <row r="959">
      <c r="C959" s="25"/>
      <c r="EN959" s="149"/>
    </row>
    <row r="960">
      <c r="C960" s="25"/>
      <c r="EN960" s="149"/>
    </row>
    <row r="961">
      <c r="C961" s="25"/>
      <c r="EN961" s="149"/>
    </row>
    <row r="962">
      <c r="C962" s="25"/>
      <c r="EN962" s="149"/>
    </row>
    <row r="963">
      <c r="C963" s="25"/>
      <c r="EN963" s="149"/>
    </row>
    <row r="964">
      <c r="C964" s="25"/>
      <c r="EN964" s="149"/>
    </row>
    <row r="965">
      <c r="C965" s="25"/>
      <c r="EN965" s="149"/>
    </row>
    <row r="966">
      <c r="C966" s="25"/>
      <c r="EN966" s="149"/>
    </row>
    <row r="967">
      <c r="C967" s="25"/>
      <c r="EN967" s="149"/>
    </row>
    <row r="968">
      <c r="C968" s="25"/>
      <c r="EN968" s="149"/>
    </row>
    <row r="969">
      <c r="C969" s="25"/>
      <c r="EN969" s="149"/>
    </row>
    <row r="970">
      <c r="C970" s="25"/>
      <c r="EN970" s="149"/>
    </row>
    <row r="971">
      <c r="C971" s="25"/>
      <c r="EN971" s="149"/>
    </row>
    <row r="972">
      <c r="C972" s="25"/>
      <c r="EN972" s="149"/>
    </row>
    <row r="973">
      <c r="C973" s="25"/>
      <c r="EN973" s="149"/>
    </row>
    <row r="974">
      <c r="C974" s="25"/>
      <c r="EN974" s="149"/>
    </row>
    <row r="975">
      <c r="C975" s="25"/>
      <c r="EN975" s="149"/>
    </row>
    <row r="976">
      <c r="C976" s="25"/>
      <c r="EN976" s="149"/>
    </row>
    <row r="977">
      <c r="C977" s="25"/>
      <c r="EN977" s="149"/>
    </row>
    <row r="978">
      <c r="C978" s="25"/>
      <c r="EN978" s="149"/>
    </row>
    <row r="979">
      <c r="C979" s="25"/>
      <c r="EN979" s="149"/>
    </row>
    <row r="980">
      <c r="C980" s="25"/>
      <c r="EN980" s="149"/>
    </row>
    <row r="981">
      <c r="C981" s="25"/>
      <c r="EN981" s="149"/>
    </row>
    <row r="982">
      <c r="C982" s="25"/>
      <c r="EN982" s="149"/>
    </row>
    <row r="983">
      <c r="C983" s="25"/>
      <c r="EN983" s="149"/>
    </row>
    <row r="984">
      <c r="C984" s="25"/>
      <c r="EN984" s="149"/>
    </row>
    <row r="985">
      <c r="C985" s="25"/>
      <c r="EN985" s="149"/>
    </row>
    <row r="986">
      <c r="C986" s="25"/>
      <c r="EN986" s="149"/>
    </row>
    <row r="987">
      <c r="C987" s="25"/>
      <c r="EN987" s="149"/>
    </row>
    <row r="988">
      <c r="C988" s="25"/>
      <c r="EN988" s="149"/>
    </row>
    <row r="989">
      <c r="C989" s="25"/>
      <c r="EN989" s="149"/>
    </row>
    <row r="990">
      <c r="C990" s="25"/>
      <c r="EN990" s="149"/>
    </row>
    <row r="991">
      <c r="C991" s="25"/>
      <c r="EN991" s="149"/>
    </row>
    <row r="992">
      <c r="C992" s="25"/>
      <c r="EN992" s="149"/>
    </row>
    <row r="993">
      <c r="C993" s="25"/>
      <c r="EN993" s="149"/>
    </row>
    <row r="994">
      <c r="C994" s="25"/>
      <c r="EN994" s="149"/>
    </row>
    <row r="995">
      <c r="C995" s="25"/>
      <c r="EN995" s="149"/>
    </row>
    <row r="996">
      <c r="C996" s="25"/>
      <c r="EN996" s="149"/>
    </row>
    <row r="997">
      <c r="C997" s="25"/>
      <c r="EN997" s="149"/>
    </row>
    <row r="998">
      <c r="C998" s="25"/>
      <c r="EN998" s="149"/>
    </row>
    <row r="999">
      <c r="C999" s="25"/>
      <c r="EN999" s="149"/>
    </row>
    <row r="1000">
      <c r="C1000" s="25"/>
      <c r="EN1000" s="149"/>
    </row>
    <row r="1001">
      <c r="C1001" s="25"/>
      <c r="EN1001" s="149"/>
    </row>
    <row r="1002">
      <c r="C1002" s="25"/>
      <c r="EN1002" s="149"/>
    </row>
    <row r="1003">
      <c r="C1003" s="25"/>
      <c r="EN1003" s="149"/>
    </row>
    <row r="1004">
      <c r="C1004" s="25"/>
      <c r="EN1004" s="149"/>
    </row>
    <row r="1005">
      <c r="C1005" s="25"/>
      <c r="EN1005" s="149"/>
    </row>
    <row r="1006">
      <c r="C1006" s="25"/>
      <c r="EN1006" s="149"/>
    </row>
    <row r="1007">
      <c r="C1007" s="25"/>
      <c r="EN1007" s="149"/>
    </row>
    <row r="1008">
      <c r="C1008" s="25"/>
      <c r="EN1008" s="149"/>
    </row>
    <row r="1009">
      <c r="C1009" s="25"/>
      <c r="EN1009" s="149"/>
    </row>
    <row r="1010">
      <c r="C1010" s="25"/>
      <c r="EN1010" s="149"/>
    </row>
    <row r="1011">
      <c r="C1011" s="25"/>
      <c r="EN1011" s="149"/>
    </row>
    <row r="1012">
      <c r="C1012" s="25"/>
      <c r="EN1012" s="149"/>
    </row>
    <row r="1013">
      <c r="C1013" s="25"/>
      <c r="EN1013" s="149"/>
    </row>
    <row r="1014">
      <c r="C1014" s="25"/>
      <c r="EN1014" s="149"/>
    </row>
    <row r="1015">
      <c r="C1015" s="25"/>
      <c r="EN1015" s="149"/>
    </row>
    <row r="1016">
      <c r="C1016" s="25"/>
      <c r="EN1016" s="149"/>
    </row>
    <row r="1017">
      <c r="C1017" s="25"/>
      <c r="EN1017" s="149"/>
    </row>
    <row r="1018">
      <c r="C1018" s="25"/>
      <c r="EN1018" s="149"/>
    </row>
    <row r="1019">
      <c r="C1019" s="25"/>
      <c r="EN1019" s="149"/>
    </row>
    <row r="1020">
      <c r="C1020" s="25"/>
      <c r="EN1020" s="149"/>
    </row>
    <row r="1021">
      <c r="C1021" s="25"/>
      <c r="EN1021" s="149"/>
    </row>
    <row r="1022">
      <c r="C1022" s="25"/>
      <c r="EN1022" s="149"/>
    </row>
    <row r="1023">
      <c r="C1023" s="25"/>
      <c r="EN1023" s="149"/>
    </row>
    <row r="1024">
      <c r="C1024" s="25"/>
      <c r="EN1024" s="149"/>
    </row>
    <row r="1025">
      <c r="C1025" s="25"/>
      <c r="EN1025" s="149"/>
    </row>
    <row r="1026">
      <c r="C1026" s="25"/>
      <c r="EN1026" s="149"/>
    </row>
    <row r="1027">
      <c r="C1027" s="25"/>
      <c r="EN1027" s="149"/>
    </row>
    <row r="1028">
      <c r="C1028" s="25"/>
      <c r="EN1028" s="149"/>
    </row>
    <row r="1029">
      <c r="C1029" s="25"/>
      <c r="EN1029" s="149"/>
    </row>
    <row r="1030">
      <c r="C1030" s="25"/>
      <c r="EN1030" s="149"/>
    </row>
    <row r="1031">
      <c r="C1031" s="25"/>
      <c r="EN1031" s="149"/>
    </row>
    <row r="1032">
      <c r="C1032" s="25"/>
      <c r="EN1032" s="149"/>
    </row>
    <row r="1033">
      <c r="C1033" s="25"/>
      <c r="EN1033" s="149"/>
    </row>
    <row r="1034">
      <c r="C1034" s="25"/>
      <c r="EN1034" s="149"/>
    </row>
    <row r="1035">
      <c r="C1035" s="25"/>
      <c r="EN1035" s="149"/>
    </row>
    <row r="1036">
      <c r="C1036" s="25"/>
      <c r="EN1036" s="149"/>
    </row>
    <row r="1037">
      <c r="C1037" s="25"/>
      <c r="EN1037" s="149"/>
    </row>
    <row r="1038">
      <c r="C1038" s="25"/>
      <c r="EN1038" s="149"/>
    </row>
    <row r="1039">
      <c r="C1039" s="25"/>
      <c r="EN1039" s="149"/>
    </row>
    <row r="1040">
      <c r="C1040" s="25"/>
      <c r="EN1040" s="149"/>
    </row>
  </sheetData>
  <drawing r:id="rId1"/>
  <extLst>
    <ext uri="{05C60535-1F16-4fd2-B633-F4F36F0B64E0}">
      <x14:sparklineGroups>
        <x14:sparklineGroup manualMax="40.0" displayEmptyCellsAs="gap" maxAxisType="custom">
          <x14:colorSeries rgb="FF376091"/>
          <x14:sparklines>
            <x14:sparkline>
              <xm:f>'fantasy sheet'!A3:EM3</xm:f>
              <xm:sqref>ER3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sheet'!A4:EM4</xm:f>
              <xm:sqref>ER4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sheet'!A5:EM5</xm:f>
              <xm:sqref>ER5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sheet'!A6:EM6</xm:f>
              <xm:sqref>ER6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sheet'!A7:EM7</xm:f>
              <xm:sqref>ER7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sheet'!A8:EM8</xm:f>
              <xm:sqref>ER8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sheet'!A9:EM9</xm:f>
              <xm:sqref>ER9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sheet'!A10:EM10</xm:f>
              <xm:sqref>ER10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sheet'!A11:EM11</xm:f>
              <xm:sqref>ER11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sheet'!A12:EM12</xm:f>
              <xm:sqref>ER12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sheet'!A13:EM13</xm:f>
              <xm:sqref>ER13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sheet'!A14:EM14</xm:f>
              <xm:sqref>ER14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sheet'!A15:EM15</xm:f>
              <xm:sqref>ER15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sheet'!A16:EM16</xm:f>
              <xm:sqref>ER16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sheet'!A17:EM17</xm:f>
              <xm:sqref>ER17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sheet'!A18:EM18</xm:f>
              <xm:sqref>ER18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sheet'!A19:EM19</xm:f>
              <xm:sqref>ER19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sheet'!A20:EM20</xm:f>
              <xm:sqref>ER20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sheet'!A21:EM21</xm:f>
              <xm:sqref>ER21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sheet'!A22:EM22</xm:f>
              <xm:sqref>ER22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sheet'!A23:EM23</xm:f>
              <xm:sqref>ER23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sheet'!A24:EM24</xm:f>
              <xm:sqref>ER24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sheet'!A25:EM25</xm:f>
              <xm:sqref>ER25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sheet'!A26:EM26</xm:f>
              <xm:sqref>ER26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sheet'!A27:EM27</xm:f>
              <xm:sqref>ER27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sheet'!A28:EM28</xm:f>
              <xm:sqref>ER28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sheet'!A29:EM29</xm:f>
              <xm:sqref>ER29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sheet'!A30:EM30</xm:f>
              <xm:sqref>ER30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sheet'!A31:EM31</xm:f>
              <xm:sqref>ER31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sheet'!A32:EM32</xm:f>
              <xm:sqref>ER32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sheet'!A33:EM33</xm:f>
              <xm:sqref>ER33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sheet'!A34:EM34</xm:f>
              <xm:sqref>ER34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sheet'!A35:EM35</xm:f>
              <xm:sqref>ER35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sheet'!A36:EM36</xm:f>
              <xm:sqref>ER36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sheet'!A37:EM37</xm:f>
              <xm:sqref>ER37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sheet'!A38:EM38</xm:f>
              <xm:sqref>ER38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sheet'!A39:EM39</xm:f>
              <xm:sqref>ER39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sheet'!A40:EM40</xm:f>
              <xm:sqref>ER40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sheet'!A41:EM41</xm:f>
              <xm:sqref>ER41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sheet'!A42:EM42</xm:f>
              <xm:sqref>ER42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sheet'!A43:EM43</xm:f>
              <xm:sqref>ER43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sheet'!A44:EM44</xm:f>
              <xm:sqref>ER44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sheet'!A45:EM45</xm:f>
              <xm:sqref>ER45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sheet'!A46:EM46</xm:f>
              <xm:sqref>ER46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sheet'!A47:EM47</xm:f>
              <xm:sqref>ER47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sheet'!A48:EM48</xm:f>
              <xm:sqref>ER48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sheet'!A49:EM49</xm:f>
              <xm:sqref>ER49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sheet'!A50:EM50</xm:f>
              <xm:sqref>ER50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sheet'!A51:EM51</xm:f>
              <xm:sqref>ER51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sheet'!A52:EM52</xm:f>
              <xm:sqref>ER52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sheet'!A53:EM53</xm:f>
              <xm:sqref>ER53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sheet'!A54:EM54</xm:f>
              <xm:sqref>ER54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sheet'!A55:EM55</xm:f>
              <xm:sqref>ER55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sheet'!A56:EM56</xm:f>
              <xm:sqref>ER56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sheet'!A57:EM57</xm:f>
              <xm:sqref>ER57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sheet'!A58:EM58</xm:f>
              <xm:sqref>ER58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sheet'!A59:EM59</xm:f>
              <xm:sqref>ER59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sheet'!A60:EM60</xm:f>
              <xm:sqref>ER60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sheet'!A61:EM61</xm:f>
              <xm:sqref>ER61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sheet'!A62:EM62</xm:f>
              <xm:sqref>ER62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sheet'!A63:EM63</xm:f>
              <xm:sqref>ER63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sheet'!A64:EM64</xm:f>
              <xm:sqref>ER64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sheet'!A66:EM66</xm:f>
              <xm:sqref>ER66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sheet'!A75:EM75</xm:f>
              <xm:sqref>ER75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sheet'!A76:EM76</xm:f>
              <xm:sqref>ER76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sheet'!A77:EM77</xm:f>
              <xm:sqref>ER77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sheet'!A78:EM78</xm:f>
              <xm:sqref>ER78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sheet'!A79:EM79</xm:f>
              <xm:sqref>ER79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sheet'!A80:EM80</xm:f>
              <xm:sqref>ER80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sheet'!A81:EM81</xm:f>
              <xm:sqref>ER81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sheet'!A82:EM82</xm:f>
              <xm:sqref>ER82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sheet'!A83:EM83</xm:f>
              <xm:sqref>ER83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sheet'!A84:EM84</xm:f>
              <xm:sqref>ER84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sheet'!A85:EM85</xm:f>
              <xm:sqref>ER85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sheet'!A86:EM86</xm:f>
              <xm:sqref>ER86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sheet'!A87:EM87</xm:f>
              <xm:sqref>ER87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sheet'!A88:EM88</xm:f>
              <xm:sqref>ER88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sheet'!A89:EM89</xm:f>
              <xm:sqref>ER89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sheet'!A90:EM90</xm:f>
              <xm:sqref>ER90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sheet'!A91:EM91</xm:f>
              <xm:sqref>ER91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sheet'!A92:EM92</xm:f>
              <xm:sqref>ER92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sheet'!A93:EM93</xm:f>
              <xm:sqref>ER93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sheet'!A94:EM94</xm:f>
              <xm:sqref>ER94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sheet'!A95:EM95</xm:f>
              <xm:sqref>ER95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sheet'!A96:EM96</xm:f>
              <xm:sqref>ER96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sheet'!A97:EM97</xm:f>
              <xm:sqref>ER97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sheet'!A98:EM98</xm:f>
              <xm:sqref>ER98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sheet'!A99:EM99</xm:f>
              <xm:sqref>ER99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sheet'!A100:EM100</xm:f>
              <xm:sqref>ER100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sheet'!A101:EM101</xm:f>
              <xm:sqref>ER101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sheet'!A102:EM102</xm:f>
              <xm:sqref>ER102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sheet'!A103:EM103</xm:f>
              <xm:sqref>ER103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sheet'!A104:EM104</xm:f>
              <xm:sqref>ER104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sheet'!A105:EM105</xm:f>
              <xm:sqref>ER105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sheet'!A106:EM106</xm:f>
              <xm:sqref>ER106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sheet'!A107:EM107</xm:f>
              <xm:sqref>ER107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sheet'!A108:EM108</xm:f>
              <xm:sqref>ER108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sheet'!A109:EM109</xm:f>
              <xm:sqref>ER109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sheet'!A110:EM110</xm:f>
              <xm:sqref>ER110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sheet'!A111:EM111</xm:f>
              <xm:sqref>ER111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sheet'!A112:EM112</xm:f>
              <xm:sqref>ER112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sheet'!A113:EM113</xm:f>
              <xm:sqref>ER113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sheet'!A114:EM114</xm:f>
              <xm:sqref>ER114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sheet'!A115:EM115</xm:f>
              <xm:sqref>ER115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sheet'!A116:EM116</xm:f>
              <xm:sqref>ER116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sheet'!A117:EM117</xm:f>
              <xm:sqref>ER117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sheet'!A118:EM118</xm:f>
              <xm:sqref>ER118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sheet'!A119:EM119</xm:f>
              <xm:sqref>ER119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sheet'!A120:EM120</xm:f>
              <xm:sqref>ER120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sheet'!A121:EM121</xm:f>
              <xm:sqref>ER121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sheet'!A122:EM122</xm:f>
              <xm:sqref>ER122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sheet'!A123:EM123</xm:f>
              <xm:sqref>ER123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sheet'!A124:EM124</xm:f>
              <xm:sqref>ER124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sheet'!A125:EM125</xm:f>
              <xm:sqref>ER125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sheet'!A126:EM126</xm:f>
              <xm:sqref>ER126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sheet'!A127:EM127</xm:f>
              <xm:sqref>ER127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sheet'!A128:EM128</xm:f>
              <xm:sqref>ER128</xm:sqref>
            </x14:sparkline>
          </x14:sparklines>
        </x14:sparklineGroup>
        <x14:sparklineGroup manualMax="40.0" displayEmptyCellsAs="gap" maxAxisType="custom">
          <x14:colorSeries rgb="FF376091"/>
          <x14:sparklines>
            <x14:sparkline>
              <xm:f>'fantasy sheet'!A129:EM129</xm:f>
              <xm:sqref>ER129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3" t="s">
        <v>236</v>
      </c>
    </row>
    <row r="2">
      <c r="A2" s="23" t="s">
        <v>292</v>
      </c>
    </row>
    <row r="3">
      <c r="A3" s="23" t="s">
        <v>293</v>
      </c>
    </row>
    <row r="4">
      <c r="A4" s="23" t="s">
        <v>294</v>
      </c>
    </row>
    <row r="5">
      <c r="A5" s="23" t="s">
        <v>295</v>
      </c>
    </row>
    <row r="6">
      <c r="A6" s="23" t="s">
        <v>296</v>
      </c>
      <c r="B6" s="150" t="s">
        <v>297</v>
      </c>
      <c r="C6" s="23" t="s">
        <v>298</v>
      </c>
    </row>
    <row r="7">
      <c r="A7" s="23" t="s">
        <v>299</v>
      </c>
    </row>
    <row r="8">
      <c r="A8" s="23" t="s">
        <v>300</v>
      </c>
      <c r="B8" s="151"/>
    </row>
    <row r="9">
      <c r="A9" s="23" t="s">
        <v>301</v>
      </c>
      <c r="B9" s="151"/>
    </row>
    <row r="10">
      <c r="A10" s="23" t="s">
        <v>302</v>
      </c>
      <c r="B10" s="24" t="s">
        <v>303</v>
      </c>
      <c r="C10" s="23" t="s">
        <v>304</v>
      </c>
      <c r="D10" s="23" t="s">
        <v>305</v>
      </c>
    </row>
    <row r="11">
      <c r="A11" s="23" t="s">
        <v>306</v>
      </c>
      <c r="B11" s="24" t="s">
        <v>307</v>
      </c>
      <c r="C11" s="23" t="s">
        <v>304</v>
      </c>
      <c r="D11" s="23" t="s">
        <v>305</v>
      </c>
    </row>
    <row r="12">
      <c r="A12" s="23" t="s">
        <v>308</v>
      </c>
      <c r="B12" s="24" t="s">
        <v>309</v>
      </c>
      <c r="C12" s="23" t="s">
        <v>304</v>
      </c>
      <c r="D12" s="23" t="s">
        <v>305</v>
      </c>
    </row>
    <row r="13">
      <c r="A13" s="23" t="s">
        <v>310</v>
      </c>
      <c r="B13" s="24" t="s">
        <v>311</v>
      </c>
      <c r="C13" s="23" t="s">
        <v>304</v>
      </c>
      <c r="D13" s="23" t="s">
        <v>305</v>
      </c>
    </row>
    <row r="14">
      <c r="A14" s="23" t="s">
        <v>312</v>
      </c>
      <c r="B14" s="24" t="s">
        <v>313</v>
      </c>
      <c r="C14" s="23" t="s">
        <v>304</v>
      </c>
      <c r="D14" s="23" t="s">
        <v>305</v>
      </c>
    </row>
    <row r="15">
      <c r="A15" s="23" t="s">
        <v>314</v>
      </c>
      <c r="B15" s="24" t="s">
        <v>315</v>
      </c>
      <c r="C15" s="23" t="s">
        <v>304</v>
      </c>
      <c r="D15" s="23" t="s">
        <v>305</v>
      </c>
    </row>
    <row r="16">
      <c r="A16" s="23" t="s">
        <v>316</v>
      </c>
      <c r="B16" s="24" t="s">
        <v>317</v>
      </c>
      <c r="C16" s="23" t="s">
        <v>304</v>
      </c>
      <c r="D16" s="23" t="s">
        <v>305</v>
      </c>
    </row>
    <row r="17">
      <c r="A17" s="23" t="s">
        <v>318</v>
      </c>
      <c r="B17" s="24" t="s">
        <v>319</v>
      </c>
      <c r="C17" s="23" t="s">
        <v>304</v>
      </c>
      <c r="D17" s="23" t="s">
        <v>305</v>
      </c>
    </row>
    <row r="18">
      <c r="A18" s="23" t="s">
        <v>320</v>
      </c>
      <c r="B18" s="24" t="s">
        <v>321</v>
      </c>
      <c r="C18" s="23" t="s">
        <v>304</v>
      </c>
      <c r="D18" s="23" t="s">
        <v>305</v>
      </c>
    </row>
    <row r="19">
      <c r="A19" s="23" t="s">
        <v>322</v>
      </c>
      <c r="B19" s="24" t="s">
        <v>323</v>
      </c>
      <c r="C19" s="23" t="s">
        <v>304</v>
      </c>
      <c r="D19" s="23" t="s">
        <v>305</v>
      </c>
    </row>
    <row r="20">
      <c r="A20" s="23" t="s">
        <v>324</v>
      </c>
      <c r="B20" s="24" t="s">
        <v>325</v>
      </c>
      <c r="C20" s="23" t="s">
        <v>304</v>
      </c>
      <c r="D20" s="23" t="s">
        <v>305</v>
      </c>
    </row>
    <row r="21">
      <c r="A21" s="23" t="s">
        <v>326</v>
      </c>
      <c r="B21" s="24" t="s">
        <v>327</v>
      </c>
      <c r="C21" s="23" t="s">
        <v>304</v>
      </c>
      <c r="D21" s="23" t="s">
        <v>305</v>
      </c>
    </row>
    <row r="22">
      <c r="A22" s="23" t="s">
        <v>328</v>
      </c>
      <c r="B22" s="24" t="s">
        <v>329</v>
      </c>
      <c r="C22" s="23" t="s">
        <v>304</v>
      </c>
      <c r="D22" s="23" t="s">
        <v>305</v>
      </c>
    </row>
    <row r="23">
      <c r="A23" s="23" t="s">
        <v>330</v>
      </c>
      <c r="B23" s="24" t="s">
        <v>331</v>
      </c>
      <c r="C23" s="23" t="s">
        <v>304</v>
      </c>
      <c r="D23" s="23" t="s">
        <v>305</v>
      </c>
    </row>
    <row r="24">
      <c r="A24" s="23" t="s">
        <v>332</v>
      </c>
      <c r="B24" s="24" t="s">
        <v>333</v>
      </c>
      <c r="C24" s="23" t="s">
        <v>304</v>
      </c>
      <c r="D24" s="23" t="s">
        <v>305</v>
      </c>
    </row>
    <row r="25">
      <c r="A25" s="23" t="s">
        <v>334</v>
      </c>
      <c r="B25" s="24" t="s">
        <v>335</v>
      </c>
      <c r="C25" s="23" t="s">
        <v>336</v>
      </c>
      <c r="D25" s="23" t="s">
        <v>305</v>
      </c>
    </row>
    <row r="26">
      <c r="A26" s="152"/>
    </row>
    <row r="28">
      <c r="H28" s="152"/>
    </row>
    <row r="77">
      <c r="B77" s="152"/>
    </row>
    <row r="83">
      <c r="G83" s="152"/>
    </row>
    <row r="86">
      <c r="D86" s="152"/>
    </row>
    <row r="90">
      <c r="F90" s="152"/>
    </row>
    <row r="110">
      <c r="E110" s="152"/>
    </row>
  </sheetData>
  <hyperlinks>
    <hyperlink r:id="rId1" ref="B6"/>
    <hyperlink r:id="rId2" ref="B10"/>
    <hyperlink r:id="rId3" ref="B11"/>
    <hyperlink r:id="rId4" ref="B12"/>
    <hyperlink r:id="rId5" ref="B13"/>
    <hyperlink r:id="rId6" ref="B14"/>
    <hyperlink r:id="rId7" ref="B15"/>
    <hyperlink r:id="rId8" ref="B16"/>
    <hyperlink r:id="rId9" ref="B17"/>
    <hyperlink r:id="rId10" ref="B18"/>
    <hyperlink r:id="rId11" ref="B19"/>
    <hyperlink r:id="rId12" ref="B20"/>
    <hyperlink r:id="rId13" ref="B21"/>
    <hyperlink r:id="rId14" ref="B22"/>
    <hyperlink r:id="rId15" ref="B23"/>
    <hyperlink r:id="rId16" ref="B24"/>
    <hyperlink r:id="rId17" ref="B25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153" t="s">
        <v>337</v>
      </c>
      <c r="B1" s="154">
        <v>1.0</v>
      </c>
      <c r="C1" s="155">
        <v>2.0</v>
      </c>
      <c r="D1" s="155">
        <v>3.0</v>
      </c>
      <c r="E1" s="155">
        <v>4.0</v>
      </c>
      <c r="F1" s="155">
        <v>5.0</v>
      </c>
      <c r="G1" s="155">
        <v>6.0</v>
      </c>
      <c r="H1" s="155">
        <v>7.0</v>
      </c>
      <c r="I1" s="155">
        <v>8.0</v>
      </c>
      <c r="J1" s="155">
        <v>9.0</v>
      </c>
      <c r="K1" s="155">
        <v>10.0</v>
      </c>
      <c r="L1" s="155">
        <v>11.0</v>
      </c>
      <c r="M1" s="155">
        <v>12.0</v>
      </c>
      <c r="N1" s="155">
        <v>13.0</v>
      </c>
      <c r="O1" s="155">
        <v>14.0</v>
      </c>
      <c r="P1" s="155">
        <v>15.0</v>
      </c>
      <c r="Q1" s="154" t="s">
        <v>338</v>
      </c>
      <c r="R1" s="155" t="s">
        <v>339</v>
      </c>
      <c r="T1" s="23" t="s">
        <v>340</v>
      </c>
      <c r="U1" s="23" t="s">
        <v>341</v>
      </c>
      <c r="V1" s="23" t="s">
        <v>342</v>
      </c>
      <c r="W1" s="23" t="s">
        <v>343</v>
      </c>
      <c r="X1" s="156" t="s">
        <v>344</v>
      </c>
      <c r="Z1" s="23">
        <f>sum(R2:R43)</f>
        <v>0</v>
      </c>
      <c r="AB1" s="157" t="s">
        <v>345</v>
      </c>
      <c r="AC1" s="23" t="s">
        <v>346</v>
      </c>
      <c r="AD1" s="23"/>
      <c r="AE1" s="23" t="s">
        <v>347</v>
      </c>
      <c r="AF1" s="23"/>
      <c r="AG1" s="23"/>
    </row>
    <row r="2">
      <c r="A2" s="158" t="s">
        <v>15</v>
      </c>
      <c r="B2" s="159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 t="str">
        <f>(BanzukeTable!A2)</f>
        <v>0-0</v>
      </c>
      <c r="R2" s="23">
        <f t="shared" ref="R2:R3" si="1">sum(T2+U2)</f>
        <v>0</v>
      </c>
      <c r="T2">
        <f>countcoloredcells(B2:P2,A67)</f>
        <v>0</v>
      </c>
      <c r="U2" s="162">
        <f>COUNTIF(MASTER!bonuspoints2,"hakuho")</f>
        <v>0</v>
      </c>
      <c r="X2">
        <f t="shared" ref="X2:X43" si="2">R2-7.5</f>
        <v>-7.5</v>
      </c>
      <c r="Z2" s="23">
        <f>sum(R62:R68)</f>
        <v>0</v>
      </c>
      <c r="AB2" s="163"/>
      <c r="AC2" s="164"/>
      <c r="AD2" s="165"/>
      <c r="AE2" s="166"/>
      <c r="AF2" s="166"/>
      <c r="AG2" s="164"/>
    </row>
    <row r="3">
      <c r="A3" s="167" t="s">
        <v>19</v>
      </c>
      <c r="B3" s="168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9"/>
      <c r="Q3" s="170" t="str">
        <f>(BanzukeTable!E2)</f>
        <v>0-0</v>
      </c>
      <c r="R3" s="23">
        <f t="shared" si="1"/>
        <v>0</v>
      </c>
      <c r="T3">
        <f>countcoloredcells(B3:P3,A67)</f>
        <v>0</v>
      </c>
      <c r="U3" s="162">
        <f>COUNTIF(MASTER!bonuspoints2,"kakuryu")</f>
        <v>0</v>
      </c>
      <c r="X3">
        <f t="shared" si="2"/>
        <v>-7.5</v>
      </c>
      <c r="AB3" s="171"/>
      <c r="AC3" s="172"/>
      <c r="AD3" s="167"/>
      <c r="AG3" s="172"/>
    </row>
    <row r="4">
      <c r="A4" s="167" t="s">
        <v>23</v>
      </c>
      <c r="B4" s="168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9"/>
      <c r="Q4" s="170" t="str">
        <f>(BanzukeTable!A3)</f>
        <v>0-0</v>
      </c>
      <c r="R4" s="23">
        <f>sum(T4+U5)</f>
        <v>0</v>
      </c>
      <c r="T4">
        <f>countcoloredcells(B4:P4,A67)</f>
        <v>0</v>
      </c>
      <c r="U4" s="162">
        <f>COUNTIF(MASTER!bonuspoints2,"asanoyama")</f>
        <v>0</v>
      </c>
      <c r="X4">
        <f t="shared" si="2"/>
        <v>-7.5</v>
      </c>
      <c r="AB4" s="171"/>
      <c r="AC4" s="172"/>
      <c r="AD4" s="167"/>
      <c r="AG4" s="172"/>
    </row>
    <row r="5">
      <c r="A5" s="167" t="s">
        <v>27</v>
      </c>
      <c r="B5" s="168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9"/>
      <c r="Q5" s="170" t="str">
        <f>(BanzukeTable!E3)</f>
        <v>0-0</v>
      </c>
      <c r="R5" s="23">
        <f>sum(T5+U4)</f>
        <v>0</v>
      </c>
      <c r="T5">
        <f>countcoloredcells(B5:P5,A67)</f>
        <v>0</v>
      </c>
      <c r="U5" s="162">
        <f>COUNTIF(MASTER!bonuspoints2,"takakeisho")</f>
        <v>0</v>
      </c>
      <c r="X5">
        <f t="shared" si="2"/>
        <v>-7.5</v>
      </c>
      <c r="AB5" s="171"/>
      <c r="AC5" s="172"/>
      <c r="AD5" s="167"/>
      <c r="AG5" s="172"/>
    </row>
    <row r="6">
      <c r="A6" s="167" t="s">
        <v>32</v>
      </c>
      <c r="B6" s="168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9"/>
      <c r="Q6" s="170" t="str">
        <f>(BanzukeTable!A4)</f>
        <v>0-0</v>
      </c>
      <c r="R6" s="23">
        <f t="shared" ref="R6:R10" si="3">sum(T6+U6)</f>
        <v>0</v>
      </c>
      <c r="T6">
        <f>countcoloredcells(B6:P6,A67)</f>
        <v>0</v>
      </c>
      <c r="U6" s="162">
        <f>COUNTIF(MASTER!bonuspoints2,"shodai")</f>
        <v>0</v>
      </c>
      <c r="X6">
        <f t="shared" si="2"/>
        <v>-7.5</v>
      </c>
      <c r="AB6" s="171"/>
      <c r="AC6" s="172"/>
      <c r="AD6" s="167"/>
      <c r="AG6" s="172"/>
    </row>
    <row r="7">
      <c r="A7" s="167" t="s">
        <v>36</v>
      </c>
      <c r="B7" s="168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9"/>
      <c r="Q7" s="170" t="str">
        <f>(BanzukeTable!E4)</f>
        <v>0-0</v>
      </c>
      <c r="R7" s="23">
        <f t="shared" si="3"/>
        <v>0</v>
      </c>
      <c r="T7">
        <f>countcoloredcells(B7:P7,A67)</f>
        <v>0</v>
      </c>
      <c r="U7" s="162">
        <f>COUNTIF(MASTER!bonuspoints2,"mitakeumi")</f>
        <v>0</v>
      </c>
      <c r="X7">
        <f t="shared" si="2"/>
        <v>-7.5</v>
      </c>
      <c r="AB7" s="171"/>
      <c r="AC7" s="172"/>
      <c r="AD7" s="173"/>
      <c r="AG7" s="172"/>
    </row>
    <row r="8">
      <c r="A8" s="167" t="s">
        <v>40</v>
      </c>
      <c r="B8" s="168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9"/>
      <c r="Q8" s="170" t="str">
        <f>(BanzukeTable!A5)</f>
        <v>0-0</v>
      </c>
      <c r="R8" s="23">
        <f t="shared" si="3"/>
        <v>0</v>
      </c>
      <c r="T8">
        <f>countcoloredcells(B8:P8,A67)</f>
        <v>0</v>
      </c>
      <c r="U8" s="162">
        <f>COUNTIF(MASTER!bonuspoints2,"daieisho")</f>
        <v>0</v>
      </c>
      <c r="X8">
        <f t="shared" si="2"/>
        <v>-7.5</v>
      </c>
      <c r="AB8" s="171"/>
      <c r="AC8" s="172"/>
      <c r="AD8" s="167"/>
      <c r="AG8" s="172"/>
    </row>
    <row r="9">
      <c r="A9" s="167" t="s">
        <v>45</v>
      </c>
      <c r="B9" s="168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9"/>
      <c r="Q9" s="170" t="str">
        <f>(BanzukeTable!E5)</f>
        <v/>
      </c>
      <c r="R9" s="23">
        <f t="shared" si="3"/>
        <v>0</v>
      </c>
      <c r="T9">
        <f>countcoloredcells(B9:P9,A67)</f>
        <v>0</v>
      </c>
      <c r="U9" s="162">
        <f>COUNTIF(MASTER!bonuspoints2,"okinoumi")</f>
        <v>0</v>
      </c>
      <c r="X9">
        <f t="shared" si="2"/>
        <v>-7.5</v>
      </c>
      <c r="AB9" s="171"/>
      <c r="AC9" s="172"/>
      <c r="AD9" s="167"/>
      <c r="AG9" s="172"/>
    </row>
    <row r="10">
      <c r="A10" s="167" t="s">
        <v>48</v>
      </c>
      <c r="B10" s="168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9"/>
      <c r="Q10" s="170" t="str">
        <f>(BanzukeTable!A6)</f>
        <v>0-0</v>
      </c>
      <c r="R10" s="23">
        <f t="shared" si="3"/>
        <v>0</v>
      </c>
      <c r="T10">
        <f>countcoloredcells(B10:P10,A67)</f>
        <v>0</v>
      </c>
      <c r="U10" s="162">
        <f>COUNTIF(MASTER!bonuspoints2,"endo")</f>
        <v>0</v>
      </c>
      <c r="X10">
        <f t="shared" si="2"/>
        <v>-7.5</v>
      </c>
      <c r="AB10" s="171"/>
      <c r="AC10" s="172"/>
      <c r="AD10" s="167"/>
      <c r="AG10" s="172"/>
    </row>
    <row r="11">
      <c r="A11" s="173" t="s">
        <v>51</v>
      </c>
      <c r="B11" s="168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9"/>
      <c r="Q11" s="170" t="str">
        <f>(BanzukeTable!E6)</f>
        <v>0-0</v>
      </c>
      <c r="R11" s="23">
        <f>sum(T11+V17)</f>
        <v>0</v>
      </c>
      <c r="T11">
        <f>countcoloredcells(B11:P11,A67)</f>
        <v>0</v>
      </c>
      <c r="U11" s="162">
        <f>COUNTIF(MASTER!bonuspoints2,"terunofuji")</f>
        <v>0</v>
      </c>
      <c r="X11">
        <f t="shared" si="2"/>
        <v>-7.5</v>
      </c>
      <c r="AB11" s="174"/>
      <c r="AC11" s="172"/>
      <c r="AD11" s="167"/>
      <c r="AG11" s="172"/>
    </row>
    <row r="12">
      <c r="A12" s="167" t="s">
        <v>54</v>
      </c>
      <c r="B12" s="168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9"/>
      <c r="Q12" s="161" t="str">
        <f>(BanzukeTable!A7)</f>
        <v>0-0</v>
      </c>
      <c r="R12" s="23">
        <f t="shared" ref="R12:R13" si="4">sum(T12+U12)</f>
        <v>0</v>
      </c>
      <c r="T12">
        <f>countcoloredcells(B12:P12,A67)</f>
        <v>0</v>
      </c>
      <c r="U12" s="162">
        <f>COUNTIF(MASTER!bonuspoints2,"takanosho")</f>
        <v>0</v>
      </c>
      <c r="X12">
        <f t="shared" si="2"/>
        <v>-7.5</v>
      </c>
      <c r="AB12" s="171"/>
      <c r="AC12" s="172"/>
      <c r="AD12" s="167"/>
      <c r="AG12" s="172"/>
    </row>
    <row r="13">
      <c r="A13" s="167" t="s">
        <v>57</v>
      </c>
      <c r="B13" s="168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75"/>
      <c r="N13" s="160"/>
      <c r="O13" s="160"/>
      <c r="P13" s="169"/>
      <c r="Q13" s="161" t="str">
        <f>(BanzukeTable!E7)</f>
        <v>0-0</v>
      </c>
      <c r="R13" s="23">
        <f t="shared" si="4"/>
        <v>0</v>
      </c>
      <c r="T13">
        <f>countcoloredcells(B13:P13,A67)</f>
        <v>0</v>
      </c>
      <c r="U13" s="162">
        <f>COUNTIF(MASTER!bonuspoints2,"hokutofuji")</f>
        <v>0</v>
      </c>
      <c r="V13" s="162"/>
      <c r="X13">
        <f t="shared" si="2"/>
        <v>-7.5</v>
      </c>
      <c r="AB13" s="171"/>
      <c r="AC13" s="172"/>
      <c r="AD13" s="167"/>
      <c r="AG13" s="172"/>
    </row>
    <row r="14">
      <c r="A14" s="158" t="s">
        <v>59</v>
      </c>
      <c r="B14" s="168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9"/>
      <c r="Q14" s="161" t="str">
        <f>(BanzukeTable!A8)</f>
        <v>0-0</v>
      </c>
      <c r="R14" s="23">
        <f>sum(T14+V20)</f>
        <v>0</v>
      </c>
      <c r="T14">
        <f>countcoloredcells(B14:P14,A67)</f>
        <v>0</v>
      </c>
      <c r="U14" s="162">
        <f>COUNTIF(MASTER!bonuspoints2,"tamawashi")</f>
        <v>0</v>
      </c>
      <c r="V14" s="162"/>
      <c r="X14">
        <f t="shared" si="2"/>
        <v>-7.5</v>
      </c>
      <c r="AB14" s="171"/>
      <c r="AC14" s="172"/>
      <c r="AD14" s="167"/>
      <c r="AG14" s="172"/>
    </row>
    <row r="15">
      <c r="A15" s="158" t="s">
        <v>62</v>
      </c>
      <c r="B15" s="168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9"/>
      <c r="Q15" s="161" t="str">
        <f>(BanzukeTable!E8)</f>
        <v>0-0</v>
      </c>
      <c r="R15" s="23">
        <f>sum(T15+V19)</f>
        <v>0</v>
      </c>
      <c r="T15">
        <f>countcoloredcells(B15:P15,A67)</f>
        <v>0</v>
      </c>
      <c r="U15" s="162">
        <f>COUNTIF(MASTER!bonuspoints2,"myogiryu")</f>
        <v>0</v>
      </c>
      <c r="X15">
        <f t="shared" si="2"/>
        <v>-7.5</v>
      </c>
      <c r="AB15" s="176"/>
      <c r="AC15" s="172"/>
      <c r="AD15" s="167"/>
      <c r="AG15" s="172"/>
    </row>
    <row r="16">
      <c r="A16" s="158" t="s">
        <v>65</v>
      </c>
      <c r="B16" s="168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9"/>
      <c r="Q16" s="161" t="str">
        <f>(BanzukeTable!A9)</f>
        <v>0-0</v>
      </c>
      <c r="R16" s="23">
        <f>sum(T16+V22)</f>
        <v>0</v>
      </c>
      <c r="T16">
        <f>countcoloredcells(B16:P16,A67)</f>
        <v>0</v>
      </c>
      <c r="U16" s="162">
        <f>COUNTIF(MASTER!bonuspoints2,"terutsuyoshi")</f>
        <v>0</v>
      </c>
      <c r="V16" s="162"/>
      <c r="X16">
        <f t="shared" si="2"/>
        <v>-7.5</v>
      </c>
      <c r="AB16" s="174"/>
      <c r="AC16" s="172"/>
      <c r="AD16" s="167"/>
      <c r="AG16" s="172"/>
    </row>
    <row r="17">
      <c r="A17" s="177" t="s">
        <v>70</v>
      </c>
      <c r="B17" s="168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9"/>
      <c r="Q17" s="161" t="str">
        <f>(BanzukeTable!E9)</f>
        <v>0-0</v>
      </c>
      <c r="R17" s="23">
        <f>sum(T17+V24)</f>
        <v>0</v>
      </c>
      <c r="T17">
        <f>countcoloredcells(B17:P17,A67)</f>
        <v>0</v>
      </c>
      <c r="U17" s="162">
        <f>COUNTIF(MASTER!bonuspoints2,"yutakayama")</f>
        <v>0</v>
      </c>
      <c r="V17" s="162"/>
      <c r="X17">
        <f t="shared" si="2"/>
        <v>-7.5</v>
      </c>
      <c r="AB17" s="174"/>
      <c r="AC17" s="172"/>
      <c r="AD17" s="167"/>
      <c r="AG17" s="172"/>
    </row>
    <row r="18">
      <c r="A18" s="158" t="s">
        <v>72</v>
      </c>
      <c r="B18" s="168"/>
      <c r="C18" s="160"/>
      <c r="D18" s="160"/>
      <c r="E18" s="160"/>
      <c r="F18" s="160"/>
      <c r="G18" s="160"/>
      <c r="H18" s="160"/>
      <c r="I18" s="160"/>
      <c r="J18" s="160"/>
      <c r="K18" s="160"/>
      <c r="L18" s="178"/>
      <c r="M18" s="179"/>
      <c r="N18" s="160"/>
      <c r="O18" s="160"/>
      <c r="P18" s="169"/>
      <c r="Q18" s="161" t="str">
        <f>(BanzukeTable!A10)</f>
        <v>0-0</v>
      </c>
      <c r="R18" s="23">
        <f>sum(T18+V35)</f>
        <v>0</v>
      </c>
      <c r="T18">
        <f>countcoloredcells(B18:P18,A67)</f>
        <v>0</v>
      </c>
      <c r="U18" s="162">
        <f>COUNTIF(MASTER!bonuspoints2,"tochinoshin")</f>
        <v>0</v>
      </c>
      <c r="V18" s="162"/>
      <c r="X18">
        <f t="shared" si="2"/>
        <v>-7.5</v>
      </c>
      <c r="AB18" s="171"/>
      <c r="AC18" s="172"/>
      <c r="AD18" s="167"/>
      <c r="AG18" s="172"/>
    </row>
    <row r="19">
      <c r="A19" s="158" t="s">
        <v>76</v>
      </c>
      <c r="B19" s="168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9"/>
      <c r="Q19" s="161" t="str">
        <f>(BanzukeTable!E10)</f>
        <v>0-0</v>
      </c>
      <c r="R19" s="23">
        <f>sum(T19+V13)</f>
        <v>0</v>
      </c>
      <c r="T19">
        <f>countcoloredcells(B19:P19,A67)</f>
        <v>0</v>
      </c>
      <c r="U19" s="162">
        <f>COUNTIF(MASTER!bonuspoints2,"kiribayama")</f>
        <v>0</v>
      </c>
      <c r="V19" s="162"/>
      <c r="X19">
        <f t="shared" si="2"/>
        <v>-7.5</v>
      </c>
      <c r="AB19" s="171"/>
      <c r="AC19" s="172"/>
      <c r="AD19" s="173"/>
      <c r="AG19" s="172"/>
    </row>
    <row r="20">
      <c r="A20" s="177" t="s">
        <v>79</v>
      </c>
      <c r="B20" s="168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9"/>
      <c r="Q20" s="161" t="str">
        <f>(BanzukeTable!A11)</f>
        <v>0-0</v>
      </c>
      <c r="R20" s="23">
        <f>sum(T20+V27)</f>
        <v>0</v>
      </c>
      <c r="T20">
        <f>countcoloredcells(B20:P20,A67)</f>
        <v>0</v>
      </c>
      <c r="U20" s="162">
        <f>COUNTIF(MASTER!bonuspoints2,"takarafuji")</f>
        <v>0</v>
      </c>
      <c r="V20" s="162"/>
      <c r="X20">
        <f t="shared" si="2"/>
        <v>-7.5</v>
      </c>
      <c r="AB20" s="171"/>
      <c r="AC20" s="172"/>
      <c r="AD20" s="167"/>
      <c r="AG20" s="172"/>
    </row>
    <row r="21">
      <c r="A21" s="158" t="s">
        <v>81</v>
      </c>
      <c r="B21" s="168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9"/>
      <c r="Q21" s="161" t="str">
        <f>(BanzukeTable!E11)</f>
        <v>0-0</v>
      </c>
      <c r="R21" s="23">
        <f>sum(T21+V18)</f>
        <v>0</v>
      </c>
      <c r="T21">
        <f>countcoloredcells(B21:P21,A67)</f>
        <v>0</v>
      </c>
      <c r="U21" s="162">
        <f>COUNTIF(MASTER!bonuspoints2,"takayasu")</f>
        <v>0</v>
      </c>
      <c r="X21">
        <f t="shared" si="2"/>
        <v>-7.5</v>
      </c>
      <c r="AB21" s="171"/>
      <c r="AC21" s="172"/>
      <c r="AD21" s="167"/>
      <c r="AG21" s="172"/>
    </row>
    <row r="22">
      <c r="A22" s="158" t="s">
        <v>84</v>
      </c>
      <c r="B22" s="168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9"/>
      <c r="Q22" s="161" t="str">
        <f>(BanzukeTable!A12)</f>
        <v>0-0</v>
      </c>
      <c r="R22" s="23">
        <f>sum(T22+V16)</f>
        <v>0</v>
      </c>
      <c r="T22">
        <f>countcoloredcells(B22:P22,A67)</f>
        <v>0</v>
      </c>
      <c r="U22" s="162">
        <f>COUNTIF(MASTER!bonuspoints2,"kagayaki")</f>
        <v>0</v>
      </c>
      <c r="V22" s="162"/>
      <c r="X22">
        <f t="shared" si="2"/>
        <v>-7.5</v>
      </c>
      <c r="AB22" s="171"/>
      <c r="AC22" s="172"/>
      <c r="AD22" s="167"/>
      <c r="AG22" s="172"/>
    </row>
    <row r="23">
      <c r="A23" s="158" t="s">
        <v>88</v>
      </c>
      <c r="B23" s="168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9"/>
      <c r="Q23" s="161" t="str">
        <f>(BanzukeTable!E12)</f>
        <v>0-0</v>
      </c>
      <c r="R23" s="23">
        <f>sum(T23+V28)</f>
        <v>0</v>
      </c>
      <c r="T23">
        <f>countcoloredcells(B23:P23,A67)</f>
        <v>0</v>
      </c>
      <c r="U23" s="162">
        <f>COUNTIF(MASTER!bonuspoints2,"ryuden")</f>
        <v>0</v>
      </c>
      <c r="V23" s="162"/>
      <c r="X23">
        <f t="shared" si="2"/>
        <v>-7.5</v>
      </c>
      <c r="AB23" s="171"/>
      <c r="AC23" s="172"/>
      <c r="AD23" s="173"/>
      <c r="AG23" s="172"/>
    </row>
    <row r="24">
      <c r="A24" s="158" t="s">
        <v>90</v>
      </c>
      <c r="B24" s="168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79"/>
      <c r="N24" s="160"/>
      <c r="O24" s="160"/>
      <c r="P24" s="169"/>
      <c r="Q24" s="161" t="str">
        <f>(BanzukeTable!A13)</f>
        <v>0-0</v>
      </c>
      <c r="R24" s="23">
        <f>sum(T24+U24)</f>
        <v>0</v>
      </c>
      <c r="T24">
        <f>countcoloredcells(B24:P24,A67)</f>
        <v>0</v>
      </c>
      <c r="U24" s="162">
        <f>COUNTIF(MASTER!bonuspoints2,"aoiyama")</f>
        <v>0</v>
      </c>
      <c r="V24" s="162"/>
      <c r="X24">
        <f t="shared" si="2"/>
        <v>-7.5</v>
      </c>
      <c r="AB24" s="171"/>
      <c r="AC24" s="172"/>
      <c r="AD24" s="167"/>
      <c r="AG24" s="172"/>
    </row>
    <row r="25">
      <c r="A25" s="158" t="s">
        <v>92</v>
      </c>
      <c r="B25" s="168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9"/>
      <c r="Q25" s="161" t="str">
        <f>(BanzukeTable!E13)</f>
        <v>0-0</v>
      </c>
      <c r="R25" s="23">
        <f>sum(T25+V23)</f>
        <v>0</v>
      </c>
      <c r="T25">
        <f>countcoloredcells(B25:P25,A67)</f>
        <v>0</v>
      </c>
      <c r="U25">
        <f>COUNTIF(MASTER!bonuspoints2,"tokushoryu")</f>
        <v>0</v>
      </c>
      <c r="X25">
        <f t="shared" si="2"/>
        <v>-7.5</v>
      </c>
      <c r="AB25" s="174"/>
      <c r="AC25" s="172"/>
      <c r="AD25" s="167"/>
      <c r="AG25" s="172"/>
    </row>
    <row r="26">
      <c r="A26" s="177" t="s">
        <v>96</v>
      </c>
      <c r="B26" s="168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9"/>
      <c r="Q26" s="161" t="str">
        <f>(BanzukeTable!A14)</f>
        <v>0-0</v>
      </c>
      <c r="R26" s="23">
        <f>sum(T26+V14)</f>
        <v>0</v>
      </c>
      <c r="T26">
        <f>countcoloredcells(B26:P26,A67)</f>
        <v>0</v>
      </c>
      <c r="U26" s="162">
        <f>COUNTIF(MASTER!bonuspoints2,wakatakakage)</f>
        <v>0</v>
      </c>
      <c r="X26">
        <f t="shared" si="2"/>
        <v>-7.5</v>
      </c>
      <c r="AB26" s="171"/>
      <c r="AC26" s="172"/>
      <c r="AD26" s="167"/>
      <c r="AG26" s="172"/>
    </row>
    <row r="27">
      <c r="A27" s="158" t="s">
        <v>100</v>
      </c>
      <c r="B27" s="168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9"/>
      <c r="Q27" s="161" t="str">
        <f>(BanzukeTable!E14)</f>
        <v>0-0</v>
      </c>
      <c r="R27" s="23">
        <f>sum(T27+U27)</f>
        <v>0</v>
      </c>
      <c r="T27">
        <f>countcoloredcells(B27:P27,A67)</f>
        <v>0</v>
      </c>
      <c r="U27" s="162">
        <f>COUNTIF(MASTER!bonuspoints2,"enho")</f>
        <v>0</v>
      </c>
      <c r="V27" s="162"/>
      <c r="X27">
        <f t="shared" si="2"/>
        <v>-7.5</v>
      </c>
      <c r="AB27" s="171"/>
      <c r="AC27" s="172"/>
      <c r="AD27" s="167"/>
      <c r="AG27" s="172"/>
    </row>
    <row r="28">
      <c r="A28" s="158" t="s">
        <v>102</v>
      </c>
      <c r="B28" s="168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9"/>
      <c r="Q28" s="161" t="str">
        <f>(BanzukeTable!A15)</f>
        <v>0-0</v>
      </c>
      <c r="R28" s="23">
        <f>sum(T28+V29)</f>
        <v>0</v>
      </c>
      <c r="T28">
        <f>countcoloredcells(B28:P28,A67)</f>
        <v>0</v>
      </c>
      <c r="U28" s="162">
        <f>COUNTIF(MASTER!bonuspoints2,"onosho")</f>
        <v>0</v>
      </c>
      <c r="V28" s="162"/>
      <c r="X28">
        <f t="shared" si="2"/>
        <v>-7.5</v>
      </c>
      <c r="AB28" s="171"/>
      <c r="AC28" s="172"/>
      <c r="AD28" s="167"/>
      <c r="AG28" s="172"/>
    </row>
    <row r="29">
      <c r="A29" s="158" t="s">
        <v>105</v>
      </c>
      <c r="B29" s="168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9"/>
      <c r="Q29" s="161" t="str">
        <f>(BanzukeTable!E15)</f>
        <v>0-0</v>
      </c>
      <c r="R29" s="23">
        <f>sum(T29+V36)</f>
        <v>0</v>
      </c>
      <c r="T29">
        <f>countcoloredcells(B29:P29,A67)</f>
        <v>0</v>
      </c>
      <c r="U29" s="162">
        <f>COUNTIF(MASTER!bonuspoints2,"sadanoumi")</f>
        <v>0</v>
      </c>
      <c r="V29" s="162"/>
      <c r="X29">
        <f t="shared" si="2"/>
        <v>-7.5</v>
      </c>
      <c r="AB29" s="171"/>
      <c r="AC29" s="172"/>
      <c r="AD29" s="167"/>
      <c r="AG29" s="172"/>
    </row>
    <row r="30">
      <c r="A30" s="158" t="s">
        <v>107</v>
      </c>
      <c r="B30" s="168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9"/>
      <c r="Q30" s="161" t="str">
        <f>(BanzukeTable!A16)</f>
        <v>0-0</v>
      </c>
      <c r="R30" s="23">
        <f>sum(T30+V31)</f>
        <v>0</v>
      </c>
      <c r="T30">
        <f>countcoloredcells(B30:P30,A67)</f>
        <v>0</v>
      </c>
      <c r="U30" s="162">
        <f>COUNTIF(MASTER!bonuspoints2,"kotoeko")</f>
        <v>0</v>
      </c>
      <c r="V30" s="162"/>
      <c r="X30">
        <f t="shared" si="2"/>
        <v>-7.5</v>
      </c>
      <c r="AB30" s="171"/>
      <c r="AC30" s="172"/>
      <c r="AD30" s="173"/>
      <c r="AG30" s="172"/>
    </row>
    <row r="31">
      <c r="A31" s="158" t="s">
        <v>111</v>
      </c>
      <c r="B31" s="168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9"/>
      <c r="Q31" s="161" t="str">
        <f>(BanzukeTable!E16)</f>
        <v>0-0</v>
      </c>
      <c r="R31" s="23">
        <f t="shared" ref="R31:R33" si="5">sum(T31+U31)</f>
        <v>0</v>
      </c>
      <c r="T31">
        <f>countcoloredcells(B31:P31,A67)</f>
        <v>0</v>
      </c>
      <c r="U31" s="162">
        <f>COUNTIF(MASTER!bonuspoints2,"chiyotairyu")</f>
        <v>0</v>
      </c>
      <c r="V31" s="162"/>
      <c r="X31">
        <f t="shared" si="2"/>
        <v>-7.5</v>
      </c>
      <c r="AB31" s="171"/>
      <c r="AC31" s="172"/>
      <c r="AD31" s="167"/>
      <c r="AG31" s="172"/>
    </row>
    <row r="32">
      <c r="A32" s="177" t="s">
        <v>114</v>
      </c>
      <c r="B32" s="168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9"/>
      <c r="Q32" s="161" t="str">
        <f>(BanzukeTable!A17)</f>
        <v>0-0</v>
      </c>
      <c r="R32" s="23">
        <f t="shared" si="5"/>
        <v>0</v>
      </c>
      <c r="T32">
        <f>countcoloredcells(B32:P32,A67)</f>
        <v>0</v>
      </c>
      <c r="U32" s="162">
        <f>COUNTIF(MASTER!bonuspoints2,"kotoshogiku")</f>
        <v>0</v>
      </c>
      <c r="V32" s="162"/>
      <c r="X32">
        <f t="shared" si="2"/>
        <v>-7.5</v>
      </c>
      <c r="AB32" s="171"/>
      <c r="AC32" s="172"/>
      <c r="AD32" s="173"/>
      <c r="AG32" s="172"/>
    </row>
    <row r="33">
      <c r="A33" s="158" t="s">
        <v>116</v>
      </c>
      <c r="B33" s="168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9"/>
      <c r="Q33" s="161" t="str">
        <f>(BanzukeTable!E17)</f>
        <v>0-0</v>
      </c>
      <c r="R33" s="23">
        <f t="shared" si="5"/>
        <v>0</v>
      </c>
      <c r="T33">
        <f>countcoloredcells(B33:P33,A67)</f>
        <v>0</v>
      </c>
      <c r="U33" s="162">
        <f>COUNTIF(MASTER!bonuspoints2,"kotoshoho")</f>
        <v>0</v>
      </c>
      <c r="X33">
        <f t="shared" si="2"/>
        <v>-7.5</v>
      </c>
      <c r="AB33" s="171"/>
      <c r="AC33" s="172"/>
      <c r="AD33" s="167"/>
      <c r="AG33" s="172"/>
    </row>
    <row r="34">
      <c r="A34" s="158" t="s">
        <v>119</v>
      </c>
      <c r="B34" s="168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9"/>
      <c r="Q34" s="161" t="str">
        <f>(BanzukeTable!A18)</f>
        <v>0-0</v>
      </c>
      <c r="R34" s="23">
        <f>sum(T34+V32)</f>
        <v>0</v>
      </c>
      <c r="T34">
        <f>countcoloredcells(B34:P34,A67)</f>
        <v>0</v>
      </c>
      <c r="U34" s="162">
        <f>COUNTIF(MASTER!bonuspoints2,"kaisei")</f>
        <v>0</v>
      </c>
      <c r="X34">
        <f t="shared" si="2"/>
        <v>-7.5</v>
      </c>
      <c r="AB34" s="171"/>
      <c r="AC34" s="172"/>
      <c r="AD34" s="167"/>
      <c r="AG34" s="172"/>
    </row>
    <row r="35">
      <c r="A35" s="158" t="s">
        <v>122</v>
      </c>
      <c r="B35" s="168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79"/>
      <c r="N35" s="160"/>
      <c r="O35" s="160"/>
      <c r="P35" s="169"/>
      <c r="Q35" s="161" t="str">
        <f>(BanzukeTable!E18)</f>
        <v>0-0</v>
      </c>
      <c r="R35" s="23">
        <f>sum(T35+V30)</f>
        <v>0</v>
      </c>
      <c r="T35">
        <f>countcoloredcells(B35:P35,A67)</f>
        <v>0</v>
      </c>
      <c r="U35" s="162">
        <f>COUNTIF(MASTER!bonuspoints2,"meisei")</f>
        <v>0</v>
      </c>
      <c r="V35" s="162"/>
      <c r="X35">
        <f t="shared" si="2"/>
        <v>-7.5</v>
      </c>
      <c r="AB35" s="174"/>
      <c r="AC35" s="172"/>
      <c r="AD35" s="180"/>
      <c r="AG35" s="172"/>
    </row>
    <row r="36">
      <c r="A36" s="158" t="s">
        <v>125</v>
      </c>
      <c r="B36" s="168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9"/>
      <c r="Q36" s="161" t="str">
        <f>(BanzukeTable!A19)</f>
        <v>0-0</v>
      </c>
      <c r="R36" s="23">
        <f t="shared" ref="R36:R42" si="6">sum(T36+U36)</f>
        <v>0</v>
      </c>
      <c r="T36">
        <f>countcoloredcells(B36:P36,A67)</f>
        <v>0</v>
      </c>
      <c r="U36" s="162">
        <f>COUNTIF(MASTER!bonuspoints2,"ishiura")</f>
        <v>0</v>
      </c>
      <c r="V36" s="162"/>
      <c r="X36">
        <f t="shared" si="2"/>
        <v>-7.5</v>
      </c>
      <c r="AB36" s="171"/>
      <c r="AC36" s="172"/>
      <c r="AD36" s="167"/>
      <c r="AG36" s="172"/>
    </row>
    <row r="37">
      <c r="A37" s="158" t="s">
        <v>128</v>
      </c>
      <c r="B37" s="168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9"/>
      <c r="Q37" s="161" t="str">
        <f>(BanzukeTable!E19)</f>
        <v>0-0</v>
      </c>
      <c r="R37" s="23">
        <f t="shared" si="6"/>
        <v>0</v>
      </c>
      <c r="T37">
        <f>countcoloredcells(B37:P37,A67)</f>
        <v>0</v>
      </c>
      <c r="U37" s="162"/>
      <c r="X37">
        <f t="shared" si="2"/>
        <v>-7.5</v>
      </c>
      <c r="AB37" s="171"/>
      <c r="AC37" s="172"/>
      <c r="AD37" s="167"/>
      <c r="AG37" s="172"/>
    </row>
    <row r="38">
      <c r="A38" s="158" t="s">
        <v>131</v>
      </c>
      <c r="B38" s="168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1" t="str">
        <f>(BanzukeTable!A20)</f>
        <v>0-0</v>
      </c>
      <c r="R38" s="23">
        <f t="shared" si="6"/>
        <v>0</v>
      </c>
      <c r="T38">
        <f>countcoloredcells(B38:P38,A67)</f>
        <v>0</v>
      </c>
      <c r="X38">
        <f t="shared" si="2"/>
        <v>-7.5</v>
      </c>
      <c r="AB38" s="171"/>
      <c r="AC38" s="172"/>
      <c r="AD38" s="167"/>
      <c r="AG38" s="172"/>
    </row>
    <row r="39">
      <c r="A39" s="181" t="s">
        <v>135</v>
      </c>
      <c r="B39" s="168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1" t="str">
        <f>(BanzukeTable!E20)</f>
        <v>0-0</v>
      </c>
      <c r="R39" s="23">
        <f t="shared" si="6"/>
        <v>0</v>
      </c>
      <c r="T39">
        <f>countcoloredcells(B39:P39,A67)</f>
        <v>0</v>
      </c>
      <c r="X39">
        <f t="shared" si="2"/>
        <v>-7.5</v>
      </c>
      <c r="AB39" s="171"/>
      <c r="AC39" s="172"/>
      <c r="AD39" s="167"/>
      <c r="AG39" s="172"/>
    </row>
    <row r="40">
      <c r="A40" s="158" t="s">
        <v>138</v>
      </c>
      <c r="B40" s="168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1" t="str">
        <f>(BanzukeTable!A21)</f>
        <v>0-0</v>
      </c>
      <c r="R40" s="23">
        <f t="shared" si="6"/>
        <v>0</v>
      </c>
      <c r="T40">
        <f>countcoloredcells(B40:P40,A67)</f>
        <v>0</v>
      </c>
      <c r="X40">
        <f t="shared" si="2"/>
        <v>-7.5</v>
      </c>
      <c r="AB40" s="171"/>
      <c r="AC40" s="172"/>
      <c r="AD40" s="167"/>
      <c r="AG40" s="172"/>
    </row>
    <row r="41">
      <c r="A41" s="158" t="s">
        <v>141</v>
      </c>
      <c r="B41" s="168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1" t="str">
        <f>(BanzukeTable!E21)</f>
        <v>0-0</v>
      </c>
      <c r="R41" s="23">
        <f t="shared" si="6"/>
        <v>0</v>
      </c>
      <c r="T41">
        <f>countcoloredcells(B41:P41,A67)</f>
        <v>0</v>
      </c>
      <c r="X41">
        <f t="shared" si="2"/>
        <v>-7.5</v>
      </c>
      <c r="AB41" s="171"/>
      <c r="AC41" s="172"/>
      <c r="AD41" s="182"/>
      <c r="AE41" s="183"/>
      <c r="AF41" s="183"/>
      <c r="AG41" s="184"/>
    </row>
    <row r="42">
      <c r="A42" s="177" t="s">
        <v>143</v>
      </c>
      <c r="B42" s="168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1" t="str">
        <f>(BanzukeTable!A22)</f>
        <v>0-0</v>
      </c>
      <c r="R42" s="23">
        <f t="shared" si="6"/>
        <v>0</v>
      </c>
      <c r="T42">
        <f>countcoloredcells(B42:P42,A67)</f>
        <v>0</v>
      </c>
      <c r="X42">
        <f t="shared" si="2"/>
        <v>-7.5</v>
      </c>
      <c r="AB42" s="174"/>
      <c r="AC42" s="172"/>
      <c r="AD42" s="167"/>
    </row>
    <row r="43">
      <c r="A43" s="158" t="s">
        <v>146</v>
      </c>
      <c r="B43" s="185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1" t="str">
        <f>(BanzukeTable!E22)</f>
        <v>0-0</v>
      </c>
      <c r="R43" s="23">
        <f>sum(T43+V25)</f>
        <v>0</v>
      </c>
      <c r="T43">
        <f>countcoloredcells(B43:P43,A67)</f>
        <v>0</v>
      </c>
      <c r="X43">
        <f t="shared" si="2"/>
        <v>-7.5</v>
      </c>
      <c r="AB43" s="186"/>
      <c r="AC43" s="184"/>
    </row>
    <row r="44">
      <c r="A44" s="187" t="s">
        <v>341</v>
      </c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9"/>
      <c r="R44" s="190"/>
      <c r="S44" s="191"/>
      <c r="T44" s="190"/>
      <c r="U44" s="190"/>
      <c r="V44" s="192"/>
      <c r="W44" s="192"/>
      <c r="X44" s="192"/>
      <c r="Y44" s="192"/>
      <c r="Z44" s="192"/>
      <c r="AA44" s="192"/>
      <c r="AB44" s="193"/>
      <c r="AC44" s="193"/>
      <c r="AD44" s="193"/>
      <c r="AE44" s="193"/>
      <c r="AF44" s="193"/>
      <c r="AG44" s="193"/>
    </row>
    <row r="45">
      <c r="A45" s="194"/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95"/>
      <c r="R45" s="196"/>
      <c r="S45" s="197"/>
      <c r="T45" s="196"/>
      <c r="U45" s="196"/>
      <c r="V45" s="198" t="s">
        <v>348</v>
      </c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</row>
    <row r="46">
      <c r="A46" s="194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95"/>
      <c r="R46" s="196"/>
      <c r="S46" s="197"/>
      <c r="T46" s="196"/>
      <c r="U46" s="196"/>
      <c r="V46" s="198" t="s">
        <v>349</v>
      </c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</row>
    <row r="47">
      <c r="A47" s="194"/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95"/>
      <c r="R47" s="196"/>
      <c r="S47" s="197"/>
      <c r="T47" s="196"/>
      <c r="U47" s="196"/>
      <c r="V47" s="193">
        <f>countcoloredcells(MASTER!lastday,W47)</f>
        <v>0</v>
      </c>
      <c r="W47" s="199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</row>
    <row r="48">
      <c r="A48" s="194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95"/>
      <c r="R48" s="196"/>
      <c r="S48" s="197"/>
      <c r="T48" s="196"/>
      <c r="U48" s="196"/>
      <c r="V48" s="193">
        <f>countcoloredcells(MASTER!lastday,W48)</f>
        <v>0</v>
      </c>
      <c r="W48" s="200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</row>
    <row r="49">
      <c r="A49" s="194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95"/>
      <c r="R49" s="196"/>
      <c r="S49" s="196"/>
      <c r="T49" s="196"/>
      <c r="U49" s="196"/>
      <c r="V49" s="193">
        <f>countcoloredcells(MASTER!lastday,W49)</f>
        <v>0</v>
      </c>
      <c r="W49" s="201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</row>
    <row r="50">
      <c r="A50" s="194"/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95"/>
      <c r="R50" s="196"/>
      <c r="S50" s="196"/>
      <c r="T50" s="196"/>
      <c r="U50" s="196"/>
      <c r="V50" s="193">
        <f>countcoloredcells(MASTER!lastday,W50)</f>
        <v>0</v>
      </c>
      <c r="W50" s="202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</row>
    <row r="51">
      <c r="A51" s="194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75"/>
      <c r="O51" s="160"/>
      <c r="P51" s="160"/>
      <c r="Q51" s="195"/>
      <c r="R51" s="196"/>
      <c r="S51" s="196"/>
      <c r="T51" s="196"/>
      <c r="U51" s="196"/>
      <c r="V51" s="193">
        <f>countcoloredcells(MASTER!lastday,W51)</f>
        <v>0</v>
      </c>
      <c r="W51" s="20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</row>
    <row r="52">
      <c r="A52" s="194"/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95"/>
      <c r="R52" s="196"/>
      <c r="S52" s="196"/>
      <c r="T52" s="196"/>
      <c r="U52" s="196"/>
      <c r="V52" s="193">
        <f>countcoloredcells(MASTER!lastday,W52)</f>
        <v>0</v>
      </c>
      <c r="W52" s="204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</row>
    <row r="53">
      <c r="A53" s="194"/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75"/>
      <c r="O53" s="160"/>
      <c r="P53" s="160"/>
      <c r="Q53" s="195"/>
      <c r="R53" s="196"/>
      <c r="S53" s="196"/>
      <c r="T53" s="196"/>
      <c r="U53" s="196"/>
      <c r="V53" s="193">
        <f>countcoloredcells(MASTER!lastday,W53)</f>
        <v>0</v>
      </c>
      <c r="W53" s="205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</row>
    <row r="54">
      <c r="A54" s="194"/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75"/>
      <c r="O54" s="160"/>
      <c r="P54" s="160"/>
      <c r="Q54" s="195"/>
      <c r="R54" s="196"/>
      <c r="S54" s="196"/>
      <c r="T54" s="196"/>
      <c r="U54" s="196"/>
      <c r="V54" s="193"/>
      <c r="W54" s="197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</row>
    <row r="55">
      <c r="A55" s="194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75"/>
      <c r="O55" s="175"/>
      <c r="P55" s="175"/>
      <c r="Q55" s="195"/>
      <c r="R55" s="196"/>
      <c r="S55" s="196"/>
      <c r="T55" s="196"/>
      <c r="U55" s="196"/>
      <c r="V55" s="193"/>
      <c r="W55" s="197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</row>
    <row r="56">
      <c r="A56" s="194"/>
      <c r="B56" s="160"/>
      <c r="C56" s="160"/>
      <c r="D56" s="160"/>
      <c r="E56" s="160"/>
      <c r="F56" s="160"/>
      <c r="G56" s="160"/>
      <c r="H56" s="160"/>
      <c r="I56" s="175"/>
      <c r="J56" s="160"/>
      <c r="K56" s="175"/>
      <c r="L56" s="175"/>
      <c r="M56" s="160"/>
      <c r="N56" s="175"/>
      <c r="O56" s="175"/>
      <c r="P56" s="175"/>
      <c r="Q56" s="195"/>
      <c r="R56" s="196"/>
      <c r="S56" s="196"/>
      <c r="T56" s="196"/>
      <c r="U56" s="196"/>
      <c r="V56" s="193"/>
      <c r="W56" s="197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</row>
    <row r="57">
      <c r="A57" s="194"/>
      <c r="B57" s="160"/>
      <c r="C57" s="160"/>
      <c r="D57" s="160"/>
      <c r="E57" s="175"/>
      <c r="F57" s="160"/>
      <c r="G57" s="160"/>
      <c r="H57" s="160"/>
      <c r="I57" s="175"/>
      <c r="J57" s="160"/>
      <c r="K57" s="175"/>
      <c r="L57" s="175"/>
      <c r="M57" s="160"/>
      <c r="N57" s="175"/>
      <c r="O57" s="175"/>
      <c r="P57" s="175"/>
      <c r="Q57" s="195"/>
      <c r="R57" s="196"/>
      <c r="S57" s="196"/>
      <c r="T57" s="196"/>
      <c r="U57" s="196"/>
      <c r="V57" s="193"/>
      <c r="W57" s="197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</row>
    <row r="58">
      <c r="A58" s="194"/>
      <c r="B58" s="160"/>
      <c r="C58" s="160"/>
      <c r="D58" s="160"/>
      <c r="E58" s="175"/>
      <c r="F58" s="160"/>
      <c r="G58" s="160"/>
      <c r="H58" s="160"/>
      <c r="I58" s="175"/>
      <c r="J58" s="160"/>
      <c r="K58" s="160"/>
      <c r="L58" s="175"/>
      <c r="M58" s="160"/>
      <c r="N58" s="175"/>
      <c r="O58" s="175"/>
      <c r="P58" s="175"/>
      <c r="Q58" s="195"/>
      <c r="R58" s="196"/>
      <c r="S58" s="196"/>
      <c r="T58" s="196"/>
      <c r="U58" s="196"/>
      <c r="V58" s="193"/>
      <c r="W58" s="197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</row>
    <row r="59">
      <c r="A59" s="194"/>
      <c r="B59" s="160"/>
      <c r="C59" s="160"/>
      <c r="D59" s="160"/>
      <c r="E59" s="175"/>
      <c r="F59" s="160"/>
      <c r="G59" s="160"/>
      <c r="H59" s="160"/>
      <c r="I59" s="175"/>
      <c r="J59" s="160"/>
      <c r="K59" s="175"/>
      <c r="L59" s="175"/>
      <c r="M59" s="160"/>
      <c r="N59" s="175"/>
      <c r="O59" s="175"/>
      <c r="P59" s="175"/>
      <c r="Q59" s="195"/>
      <c r="R59" s="196"/>
      <c r="S59" s="196"/>
      <c r="T59" s="196"/>
      <c r="U59" s="196"/>
      <c r="V59" s="193"/>
      <c r="W59" s="197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</row>
    <row r="60">
      <c r="A60" s="194"/>
      <c r="B60" s="160"/>
      <c r="C60" s="160"/>
      <c r="D60" s="160"/>
      <c r="E60" s="175"/>
      <c r="F60" s="160"/>
      <c r="G60" s="160"/>
      <c r="H60" s="160"/>
      <c r="I60" s="175"/>
      <c r="J60" s="160"/>
      <c r="K60" s="175"/>
      <c r="L60" s="175"/>
      <c r="M60" s="160"/>
      <c r="N60" s="175"/>
      <c r="O60" s="175"/>
      <c r="P60" s="175"/>
      <c r="Q60" s="195"/>
      <c r="R60" s="196"/>
      <c r="S60" s="196"/>
      <c r="T60" s="196"/>
      <c r="U60" s="196"/>
      <c r="V60" s="193"/>
      <c r="W60" s="197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</row>
    <row r="61">
      <c r="A61" s="206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207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</row>
    <row r="62">
      <c r="A62" s="199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208" t="s">
        <v>350</v>
      </c>
      <c r="R62" s="209"/>
      <c r="S62" s="199"/>
      <c r="T62" s="210" t="s">
        <v>351</v>
      </c>
      <c r="U62" s="211"/>
      <c r="V62" s="199"/>
    </row>
    <row r="63">
      <c r="A63" s="200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61"/>
      <c r="R63" s="209"/>
      <c r="S63" s="200"/>
      <c r="U63" s="211"/>
      <c r="V63" s="200"/>
    </row>
    <row r="64">
      <c r="A64" s="201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212"/>
      <c r="R64" s="209"/>
      <c r="S64" s="201"/>
      <c r="U64" s="211"/>
      <c r="V64" s="201"/>
    </row>
    <row r="65">
      <c r="A65" s="202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61"/>
      <c r="R65" s="209"/>
      <c r="S65" s="202"/>
      <c r="U65" s="211"/>
      <c r="V65" s="202"/>
    </row>
    <row r="66">
      <c r="A66" s="203"/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61"/>
      <c r="R66" s="209"/>
      <c r="S66" s="203"/>
      <c r="U66" s="211"/>
      <c r="V66" s="203"/>
    </row>
    <row r="67">
      <c r="A67" s="204"/>
      <c r="B67" s="198">
        <f>countcoloredcells(B2:B56,A67)</f>
        <v>0</v>
      </c>
      <c r="C67" s="198">
        <f>countcoloredcells(C2:C58,A67)</f>
        <v>0</v>
      </c>
      <c r="D67" s="198">
        <f>countcoloredcells(D2:D60,A67)</f>
        <v>0</v>
      </c>
      <c r="E67" s="198">
        <f>countcoloredcells(E2:E60,A67)</f>
        <v>0</v>
      </c>
      <c r="F67" s="198">
        <f>countcoloredcells(F2:F60,A67)</f>
        <v>0</v>
      </c>
      <c r="G67" s="198">
        <f>countcoloredcells(G2:G60,A67)</f>
        <v>0</v>
      </c>
      <c r="H67" s="198">
        <f>countcoloredcells(H2:H60,A67)</f>
        <v>0</v>
      </c>
      <c r="I67" s="198">
        <f>countcoloredcells(I2:I60,A67)</f>
        <v>0</v>
      </c>
      <c r="J67" s="198">
        <f>countcoloredcells(J2:J60,A67)</f>
        <v>0</v>
      </c>
      <c r="K67" s="198">
        <f>countcoloredcells(K2:K60,A67)</f>
        <v>0</v>
      </c>
      <c r="L67" s="198">
        <f>countcoloredcells(L2:L60,A67)</f>
        <v>0</v>
      </c>
      <c r="M67" s="198">
        <f>countcoloredcells(M2:M60,A67)</f>
        <v>0</v>
      </c>
      <c r="N67" s="198">
        <f>countcoloredcells(N2:N60,A67)</f>
        <v>0</v>
      </c>
      <c r="O67" s="198">
        <f>countcoloredcells(O2:O60,A67)</f>
        <v>0</v>
      </c>
      <c r="P67" s="198">
        <f>countcoloredcells(P2:P60,A67)</f>
        <v>0</v>
      </c>
      <c r="Q67" s="212"/>
      <c r="R67" s="209">
        <f>sum(B67:P67)+V52</f>
        <v>0</v>
      </c>
      <c r="S67" s="204"/>
      <c r="U67" s="213">
        <f>countcoloredcells(MASTER!normalpoints,A67)</f>
        <v>0</v>
      </c>
      <c r="V67" s="204"/>
    </row>
    <row r="68">
      <c r="A68" s="20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214"/>
      <c r="R68" s="215"/>
      <c r="S68" s="216"/>
      <c r="U68" s="213"/>
      <c r="V68" s="216"/>
    </row>
    <row r="69">
      <c r="A69" s="198"/>
      <c r="B69" s="198"/>
    </row>
    <row r="70">
      <c r="A70" s="23" t="s">
        <v>352</v>
      </c>
      <c r="B70" s="198">
        <f t="shared" ref="B70:P70" si="7">SUM(B62:B68)</f>
        <v>0</v>
      </c>
      <c r="C70" s="198">
        <f t="shared" si="7"/>
        <v>0</v>
      </c>
      <c r="D70" s="198">
        <f t="shared" si="7"/>
        <v>0</v>
      </c>
      <c r="E70" s="198">
        <f t="shared" si="7"/>
        <v>0</v>
      </c>
      <c r="F70" s="198">
        <f t="shared" si="7"/>
        <v>0</v>
      </c>
      <c r="G70" s="198">
        <f t="shared" si="7"/>
        <v>0</v>
      </c>
      <c r="H70" s="198">
        <f t="shared" si="7"/>
        <v>0</v>
      </c>
      <c r="I70" s="198">
        <f t="shared" si="7"/>
        <v>0</v>
      </c>
      <c r="J70" s="198">
        <f t="shared" si="7"/>
        <v>0</v>
      </c>
      <c r="K70" s="198">
        <f t="shared" si="7"/>
        <v>0</v>
      </c>
      <c r="L70" s="198">
        <f t="shared" si="7"/>
        <v>0</v>
      </c>
      <c r="M70" s="198">
        <f t="shared" si="7"/>
        <v>0</v>
      </c>
      <c r="N70" s="198">
        <f t="shared" si="7"/>
        <v>0</v>
      </c>
      <c r="O70" s="198">
        <f t="shared" si="7"/>
        <v>0</v>
      </c>
      <c r="P70" s="198">
        <f t="shared" si="7"/>
        <v>0</v>
      </c>
      <c r="Q70" s="23" t="s">
        <v>353</v>
      </c>
      <c r="R70">
        <f>(Z1-Z2)+R71</f>
        <v>0</v>
      </c>
    </row>
    <row r="71">
      <c r="B71" s="198"/>
      <c r="R71">
        <f>sum(B71:P71)</f>
        <v>0</v>
      </c>
    </row>
    <row r="72">
      <c r="A72" s="23" t="s">
        <v>337</v>
      </c>
      <c r="B72" s="198"/>
    </row>
    <row r="73">
      <c r="B73" s="198"/>
    </row>
    <row r="74">
      <c r="B74" s="198"/>
    </row>
  </sheetData>
  <conditionalFormatting sqref="R70">
    <cfRule type="cellIs" dxfId="0" priority="1" operator="notEqual">
      <formula>0</formula>
    </cfRule>
  </conditionalFormatting>
  <conditionalFormatting sqref="R70">
    <cfRule type="cellIs" dxfId="0" priority="2" operator="notEqual">
      <formula>0</formula>
    </cfRule>
  </conditionalFormatting>
  <conditionalFormatting sqref="B2:P60">
    <cfRule type="notContainsBlanks" dxfId="1" priority="3">
      <formula>LEN(TRIM(B2))&gt;0</formula>
    </cfRule>
  </conditionalFormatting>
  <conditionalFormatting sqref="D72">
    <cfRule type="notContainsBlanks" dxfId="2" priority="4">
      <formula>LEN(TRIM(D72))&gt;0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217" t="s">
        <v>354</v>
      </c>
      <c r="B1" s="198">
        <v>3.0</v>
      </c>
      <c r="C1" s="198">
        <v>3.0</v>
      </c>
      <c r="D1" s="198">
        <v>4.0</v>
      </c>
      <c r="E1" s="198">
        <v>3.0</v>
      </c>
      <c r="F1" s="198">
        <v>3.0</v>
      </c>
      <c r="G1" s="198">
        <v>6.0</v>
      </c>
      <c r="H1" s="198">
        <v>2.0</v>
      </c>
      <c r="I1" s="198">
        <v>7.0</v>
      </c>
      <c r="J1" s="198">
        <v>7.0</v>
      </c>
      <c r="K1" s="198">
        <v>3.0</v>
      </c>
      <c r="L1" s="198">
        <v>5.0</v>
      </c>
      <c r="M1" s="198">
        <v>0.0</v>
      </c>
      <c r="N1" s="198">
        <v>2.0</v>
      </c>
      <c r="O1" s="198">
        <v>1.0</v>
      </c>
      <c r="P1" s="198">
        <v>5.0</v>
      </c>
      <c r="Q1" s="209">
        <f t="shared" ref="Q1:Q7" si="1">sum(B1:P1)+T1</f>
        <v>54</v>
      </c>
      <c r="R1" s="217" t="s">
        <v>354</v>
      </c>
      <c r="S1" s="213">
        <f>countcoloredcells(desire_urboys!normalpoints,A1)</f>
        <v>0</v>
      </c>
      <c r="T1" s="193">
        <f>countcoloredcells(desire_urboys!lastday,A1)</f>
        <v>0</v>
      </c>
      <c r="U1" s="217"/>
      <c r="V1" s="23"/>
      <c r="X1" s="197"/>
      <c r="Z1" s="23"/>
      <c r="AB1" s="157"/>
      <c r="AC1" s="23"/>
    </row>
    <row r="2">
      <c r="A2" s="218" t="s">
        <v>355</v>
      </c>
      <c r="B2" s="198">
        <v>0.0</v>
      </c>
      <c r="C2" s="198">
        <v>2.0</v>
      </c>
      <c r="D2" s="198">
        <v>2.0</v>
      </c>
      <c r="E2" s="198">
        <v>2.0</v>
      </c>
      <c r="F2" s="198">
        <v>2.0</v>
      </c>
      <c r="G2" s="198">
        <v>3.0</v>
      </c>
      <c r="H2" s="198">
        <v>2.0</v>
      </c>
      <c r="I2" s="198">
        <v>2.0</v>
      </c>
      <c r="J2" s="198">
        <v>2.0</v>
      </c>
      <c r="K2" s="198">
        <v>2.0</v>
      </c>
      <c r="L2" s="198">
        <v>3.0</v>
      </c>
      <c r="M2" s="198">
        <v>3.0</v>
      </c>
      <c r="N2" s="198">
        <v>6.0</v>
      </c>
      <c r="O2" s="198">
        <v>2.0</v>
      </c>
      <c r="P2" s="198">
        <v>5.0</v>
      </c>
      <c r="Q2" s="209">
        <f t="shared" si="1"/>
        <v>38</v>
      </c>
      <c r="R2" s="218" t="s">
        <v>355</v>
      </c>
      <c r="S2" s="213">
        <f>countcoloredcells(desire_urboys!normalpoints,A2)</f>
        <v>0</v>
      </c>
      <c r="T2" s="193">
        <f>countcoloredcells(desire_urboys!lastday,A2)</f>
        <v>0</v>
      </c>
      <c r="U2" s="218"/>
      <c r="V2" s="23"/>
      <c r="X2" s="197"/>
      <c r="Z2" s="23"/>
      <c r="AB2" s="157"/>
      <c r="AC2" s="23"/>
    </row>
    <row r="3">
      <c r="A3" s="219" t="s">
        <v>356</v>
      </c>
      <c r="B3" s="198">
        <v>7.0</v>
      </c>
      <c r="C3" s="198">
        <v>2.0</v>
      </c>
      <c r="D3" s="198">
        <v>3.0</v>
      </c>
      <c r="E3" s="198">
        <v>3.0</v>
      </c>
      <c r="F3" s="198">
        <v>3.0</v>
      </c>
      <c r="G3" s="198">
        <v>1.0</v>
      </c>
      <c r="H3" s="198">
        <v>3.0</v>
      </c>
      <c r="I3" s="198">
        <v>3.0</v>
      </c>
      <c r="J3" s="198">
        <v>3.0</v>
      </c>
      <c r="K3" s="198">
        <v>5.0</v>
      </c>
      <c r="L3" s="198">
        <v>6.0</v>
      </c>
      <c r="M3" s="198">
        <v>3.0</v>
      </c>
      <c r="N3" s="198">
        <v>2.0</v>
      </c>
      <c r="O3" s="198">
        <v>4.0</v>
      </c>
      <c r="P3" s="198">
        <v>3.0</v>
      </c>
      <c r="Q3" s="209">
        <f t="shared" si="1"/>
        <v>51</v>
      </c>
      <c r="R3" s="219" t="s">
        <v>356</v>
      </c>
      <c r="S3" s="213">
        <f>countcoloredcells(desire_urboys!normalpoints,A3)</f>
        <v>0</v>
      </c>
      <c r="T3" s="193">
        <f>countcoloredcells(desire_urboys!lastday,A3)</f>
        <v>0</v>
      </c>
      <c r="U3" s="219"/>
      <c r="V3" s="23"/>
      <c r="X3" s="197"/>
      <c r="Z3" s="23"/>
      <c r="AB3" s="157"/>
      <c r="AC3" s="23"/>
    </row>
    <row r="4">
      <c r="A4" s="220" t="s">
        <v>357</v>
      </c>
      <c r="B4" s="198">
        <v>2.0</v>
      </c>
      <c r="C4" s="198">
        <v>2.0</v>
      </c>
      <c r="D4" s="198">
        <v>3.0</v>
      </c>
      <c r="E4" s="198">
        <v>2.0</v>
      </c>
      <c r="F4" s="198">
        <v>2.0</v>
      </c>
      <c r="G4" s="198">
        <v>2.0</v>
      </c>
      <c r="H4" s="198">
        <v>1.0</v>
      </c>
      <c r="I4" s="198">
        <v>1.0</v>
      </c>
      <c r="J4" s="198">
        <v>4.0</v>
      </c>
      <c r="K4" s="198">
        <v>0.0</v>
      </c>
      <c r="L4" s="198">
        <v>2.0</v>
      </c>
      <c r="M4" s="198">
        <v>3.0</v>
      </c>
      <c r="N4" s="198">
        <v>2.0</v>
      </c>
      <c r="O4" s="198">
        <v>3.0</v>
      </c>
      <c r="P4" s="198">
        <v>3.0</v>
      </c>
      <c r="Q4" s="209">
        <f t="shared" si="1"/>
        <v>32</v>
      </c>
      <c r="R4" s="220" t="s">
        <v>357</v>
      </c>
      <c r="S4" s="213">
        <f>countcoloredcells(desire_urboys!normalpoints,A4)</f>
        <v>0</v>
      </c>
      <c r="T4" s="193">
        <f>countcoloredcells(desire_urboys!lastday,A4)</f>
        <v>0</v>
      </c>
      <c r="U4" s="220"/>
      <c r="V4" s="23"/>
      <c r="X4" s="197"/>
      <c r="Z4" s="23"/>
      <c r="AB4" s="157"/>
      <c r="AC4" s="23"/>
    </row>
    <row r="5">
      <c r="A5" s="221" t="s">
        <v>358</v>
      </c>
      <c r="B5" s="198">
        <v>3.0</v>
      </c>
      <c r="C5" s="198">
        <v>4.0</v>
      </c>
      <c r="D5" s="198">
        <v>0.0</v>
      </c>
      <c r="E5" s="198">
        <v>1.0</v>
      </c>
      <c r="F5" s="198">
        <v>3.0</v>
      </c>
      <c r="G5" s="198">
        <v>3.0</v>
      </c>
      <c r="H5" s="198">
        <v>3.0</v>
      </c>
      <c r="I5" s="198">
        <v>2.0</v>
      </c>
      <c r="J5" s="198">
        <v>3.0</v>
      </c>
      <c r="K5" s="198">
        <v>2.0</v>
      </c>
      <c r="L5" s="198">
        <v>3.0</v>
      </c>
      <c r="M5" s="198">
        <v>3.0</v>
      </c>
      <c r="N5" s="198">
        <v>4.0</v>
      </c>
      <c r="O5" s="198">
        <v>5.0</v>
      </c>
      <c r="P5" s="198">
        <v>1.0</v>
      </c>
      <c r="Q5" s="209">
        <f t="shared" si="1"/>
        <v>40</v>
      </c>
      <c r="R5" s="221" t="s">
        <v>358</v>
      </c>
      <c r="S5" s="213">
        <f>countcoloredcells(desire_urboys!normalpoints,A5)</f>
        <v>0</v>
      </c>
      <c r="T5" s="193">
        <f>countcoloredcells(desire_urboys!lastday,A5)</f>
        <v>0</v>
      </c>
      <c r="U5" s="221"/>
      <c r="V5" s="23"/>
      <c r="X5" s="197"/>
      <c r="Z5" s="23"/>
      <c r="AB5" s="157"/>
      <c r="AC5" s="23"/>
    </row>
    <row r="6">
      <c r="A6" s="222" t="s">
        <v>359</v>
      </c>
      <c r="B6" s="198">
        <v>2.0</v>
      </c>
      <c r="C6" s="198">
        <v>2.0</v>
      </c>
      <c r="D6" s="198">
        <v>4.0</v>
      </c>
      <c r="E6" s="198">
        <v>4.0</v>
      </c>
      <c r="F6" s="198">
        <v>2.0</v>
      </c>
      <c r="G6" s="198">
        <v>3.0</v>
      </c>
      <c r="H6" s="198">
        <v>3.0</v>
      </c>
      <c r="I6" s="198">
        <v>2.0</v>
      </c>
      <c r="J6" s="198">
        <v>3.0</v>
      </c>
      <c r="K6" s="198">
        <v>3.0</v>
      </c>
      <c r="L6" s="198">
        <v>2.0</v>
      </c>
      <c r="M6" s="198">
        <v>2.0</v>
      </c>
      <c r="N6" s="198">
        <v>4.0</v>
      </c>
      <c r="O6" s="198">
        <v>3.0</v>
      </c>
      <c r="P6" s="198">
        <v>2.0</v>
      </c>
      <c r="Q6" s="209">
        <f t="shared" si="1"/>
        <v>41</v>
      </c>
      <c r="R6" s="222" t="s">
        <v>359</v>
      </c>
      <c r="S6" s="213">
        <f>countcoloredcells(desire_urboys!normalpoints,A6)</f>
        <v>0</v>
      </c>
      <c r="T6" s="193">
        <f>countcoloredcells(desire_urboys!lastday,A6)</f>
        <v>0</v>
      </c>
      <c r="U6" s="204"/>
      <c r="V6" s="23"/>
      <c r="X6" s="197"/>
      <c r="Z6" s="23"/>
      <c r="AB6" s="157"/>
      <c r="AC6" s="23"/>
    </row>
    <row r="7">
      <c r="A7" s="223" t="s">
        <v>360</v>
      </c>
      <c r="B7" s="198">
        <v>2.0</v>
      </c>
      <c r="C7" s="198">
        <v>3.0</v>
      </c>
      <c r="D7" s="198">
        <v>5.0</v>
      </c>
      <c r="E7" s="198">
        <v>2.0</v>
      </c>
      <c r="F7" s="198">
        <v>2.0</v>
      </c>
      <c r="G7" s="198">
        <v>6.0</v>
      </c>
      <c r="H7" s="198">
        <v>3.0</v>
      </c>
      <c r="I7" s="198">
        <v>2.0</v>
      </c>
      <c r="J7" s="198">
        <v>0.0</v>
      </c>
      <c r="K7" s="198">
        <v>4.0</v>
      </c>
      <c r="L7" s="198">
        <v>1.0</v>
      </c>
      <c r="M7" s="198">
        <v>4.0</v>
      </c>
      <c r="N7" s="198">
        <v>2.0</v>
      </c>
      <c r="O7" s="198">
        <v>3.0</v>
      </c>
      <c r="P7" s="198">
        <v>0.0</v>
      </c>
      <c r="Q7" s="215">
        <f t="shared" si="1"/>
        <v>39</v>
      </c>
      <c r="R7" s="223" t="s">
        <v>360</v>
      </c>
      <c r="S7" s="213">
        <f>countcoloredcells(desire_urboys!normalpoints,A7)</f>
        <v>0</v>
      </c>
      <c r="T7" s="193">
        <f>countcoloredcells(desire_urboys!lastday,A7)</f>
        <v>0</v>
      </c>
      <c r="U7" s="205"/>
      <c r="V7" s="23"/>
      <c r="X7" s="197"/>
      <c r="Z7" s="23"/>
      <c r="AB7" s="157"/>
      <c r="AC7" s="23"/>
    </row>
    <row r="8">
      <c r="A8" s="172"/>
      <c r="B8" s="224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 t="s">
        <v>361</v>
      </c>
      <c r="R8" s="27"/>
      <c r="S8" s="27" t="s">
        <v>362</v>
      </c>
      <c r="T8" s="157" t="s">
        <v>348</v>
      </c>
      <c r="U8" s="23" t="s">
        <v>350</v>
      </c>
      <c r="V8" s="23"/>
      <c r="W8" s="157"/>
      <c r="Z8" s="23"/>
      <c r="AB8" s="157"/>
      <c r="AC8" s="23"/>
    </row>
    <row r="9">
      <c r="A9" s="23" t="s">
        <v>349</v>
      </c>
      <c r="B9" s="27">
        <f t="shared" ref="B9:P9" si="2">SUM(B1:B7)</f>
        <v>19</v>
      </c>
      <c r="C9" s="27">
        <f t="shared" si="2"/>
        <v>18</v>
      </c>
      <c r="D9" s="27">
        <f t="shared" si="2"/>
        <v>21</v>
      </c>
      <c r="E9" s="27">
        <f t="shared" si="2"/>
        <v>17</v>
      </c>
      <c r="F9" s="27">
        <f t="shared" si="2"/>
        <v>17</v>
      </c>
      <c r="G9" s="27">
        <f t="shared" si="2"/>
        <v>24</v>
      </c>
      <c r="H9" s="27">
        <f t="shared" si="2"/>
        <v>17</v>
      </c>
      <c r="I9" s="27">
        <f t="shared" si="2"/>
        <v>19</v>
      </c>
      <c r="J9" s="27">
        <f t="shared" si="2"/>
        <v>22</v>
      </c>
      <c r="K9" s="27">
        <f t="shared" si="2"/>
        <v>19</v>
      </c>
      <c r="L9" s="27">
        <f t="shared" si="2"/>
        <v>22</v>
      </c>
      <c r="M9" s="27">
        <f t="shared" si="2"/>
        <v>18</v>
      </c>
      <c r="N9" s="27">
        <f t="shared" si="2"/>
        <v>22</v>
      </c>
      <c r="O9" s="27">
        <f t="shared" si="2"/>
        <v>21</v>
      </c>
      <c r="P9" s="27">
        <f t="shared" si="2"/>
        <v>19</v>
      </c>
      <c r="Q9" s="27"/>
      <c r="R9" s="27"/>
      <c r="S9" s="27" t="s">
        <v>363</v>
      </c>
      <c r="T9" s="23"/>
      <c r="U9" s="23"/>
      <c r="V9" s="23"/>
      <c r="W9" s="23"/>
      <c r="X9" s="23"/>
      <c r="Y9" s="23" t="s">
        <v>353</v>
      </c>
      <c r="Z9">
        <f>(Z11-Z12)+sum(B72:P72)</f>
        <v>-295</v>
      </c>
      <c r="AB9" s="157"/>
      <c r="AC9" s="23"/>
    </row>
    <row r="10">
      <c r="A10" s="172"/>
      <c r="B10" s="224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T10" s="23"/>
      <c r="U10" s="23"/>
      <c r="V10" s="23"/>
      <c r="W10" s="23"/>
      <c r="X10" s="23"/>
      <c r="Z10" s="23"/>
      <c r="AB10" s="157"/>
      <c r="AC10" s="23"/>
    </row>
    <row r="11">
      <c r="A11" s="153" t="s">
        <v>337</v>
      </c>
      <c r="B11" s="154">
        <v>1.0</v>
      </c>
      <c r="C11" s="155">
        <v>2.0</v>
      </c>
      <c r="D11" s="155">
        <v>3.0</v>
      </c>
      <c r="E11" s="155">
        <v>4.0</v>
      </c>
      <c r="F11" s="155">
        <v>5.0</v>
      </c>
      <c r="G11" s="155">
        <v>6.0</v>
      </c>
      <c r="H11" s="155">
        <v>7.0</v>
      </c>
      <c r="I11" s="155">
        <v>8.0</v>
      </c>
      <c r="J11" s="155">
        <v>9.0</v>
      </c>
      <c r="K11" s="155">
        <v>10.0</v>
      </c>
      <c r="L11" s="155">
        <v>11.0</v>
      </c>
      <c r="M11" s="155">
        <v>12.0</v>
      </c>
      <c r="N11" s="155">
        <v>13.0</v>
      </c>
      <c r="O11" s="155">
        <v>14.0</v>
      </c>
      <c r="P11" s="155">
        <v>15.0</v>
      </c>
      <c r="Q11" s="154" t="s">
        <v>338</v>
      </c>
      <c r="R11" s="155" t="s">
        <v>339</v>
      </c>
      <c r="T11" s="23" t="s">
        <v>340</v>
      </c>
      <c r="U11" s="23" t="s">
        <v>341</v>
      </c>
      <c r="V11" s="23" t="s">
        <v>342</v>
      </c>
      <c r="W11" s="23" t="s">
        <v>343</v>
      </c>
      <c r="X11" s="156" t="s">
        <v>344</v>
      </c>
      <c r="Z11" s="23">
        <f>sum(R12:R53)</f>
        <v>0</v>
      </c>
      <c r="AB11" s="157" t="s">
        <v>345</v>
      </c>
      <c r="AC11" s="23" t="s">
        <v>346</v>
      </c>
    </row>
    <row r="12">
      <c r="A12" s="158" t="s">
        <v>15</v>
      </c>
      <c r="B12" s="159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1" t="str">
        <f>(BanzukeTable!A2)</f>
        <v>0-0</v>
      </c>
      <c r="R12" s="23">
        <f t="shared" ref="R12:R53" si="3">sum(T12+U12)</f>
        <v>0</v>
      </c>
      <c r="S12" s="225" t="s">
        <v>286</v>
      </c>
      <c r="T12">
        <f>countcoloredcells(B12:P12,A1)</f>
        <v>0</v>
      </c>
      <c r="U12" s="162">
        <f>COUNTIF(MASTER!bonuspoints2,"hakuho")</f>
        <v>0</v>
      </c>
      <c r="Z12" s="23">
        <f>sum(Q1:Q7)</f>
        <v>295</v>
      </c>
      <c r="AB12" s="163"/>
      <c r="AC12" s="164"/>
    </row>
    <row r="13">
      <c r="A13" s="167" t="s">
        <v>19</v>
      </c>
      <c r="B13" s="168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9"/>
      <c r="Q13" s="170" t="str">
        <f>(BanzukeTable!E2)</f>
        <v>0-0</v>
      </c>
      <c r="R13" s="23">
        <f t="shared" si="3"/>
        <v>0</v>
      </c>
      <c r="S13" s="225" t="s">
        <v>286</v>
      </c>
      <c r="T13">
        <f t="shared" ref="T13:T14" si="4">countcoloredcells(B13:P13,A5)</f>
        <v>0</v>
      </c>
      <c r="U13" s="162">
        <f>COUNTIF(MASTER!bonuspoints2,"kakuryu")</f>
        <v>0</v>
      </c>
      <c r="AB13" s="171"/>
      <c r="AC13" s="172"/>
    </row>
    <row r="14">
      <c r="A14" s="167" t="s">
        <v>23</v>
      </c>
      <c r="B14" s="168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9"/>
      <c r="Q14" s="170" t="str">
        <f>(BanzukeTable!A3)</f>
        <v>0-0</v>
      </c>
      <c r="R14" s="23">
        <f t="shared" si="3"/>
        <v>0</v>
      </c>
      <c r="S14" s="225" t="s">
        <v>360</v>
      </c>
      <c r="T14">
        <f t="shared" si="4"/>
        <v>0</v>
      </c>
      <c r="U14" s="162">
        <f>COUNTIF(MASTER!bonuspoints2,"asanoyama")</f>
        <v>0</v>
      </c>
      <c r="AB14" s="171"/>
      <c r="AC14" s="172"/>
    </row>
    <row r="15">
      <c r="A15" s="167" t="s">
        <v>27</v>
      </c>
      <c r="B15" s="168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9"/>
      <c r="Q15" s="170" t="str">
        <f>(BanzukeTable!E3)</f>
        <v>0-0</v>
      </c>
      <c r="R15" s="23">
        <f t="shared" si="3"/>
        <v>0</v>
      </c>
      <c r="S15" s="225" t="s">
        <v>355</v>
      </c>
      <c r="T15">
        <f t="shared" ref="T15:T16" si="5">countcoloredcells(B15:P15,A4)</f>
        <v>0</v>
      </c>
      <c r="U15" s="162">
        <f>COUNTIF(MASTER!bonuspoints2,"takakeisho")</f>
        <v>0</v>
      </c>
      <c r="AB15" s="174"/>
      <c r="AC15" s="172"/>
    </row>
    <row r="16">
      <c r="A16" s="167" t="s">
        <v>32</v>
      </c>
      <c r="B16" s="168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9"/>
      <c r="Q16" s="170" t="str">
        <f>(BanzukeTable!A4)</f>
        <v>0-0</v>
      </c>
      <c r="R16" s="23">
        <f t="shared" si="3"/>
        <v>0</v>
      </c>
      <c r="S16" s="225" t="s">
        <v>358</v>
      </c>
      <c r="T16">
        <f t="shared" si="5"/>
        <v>0</v>
      </c>
      <c r="U16" s="162">
        <f>COUNTIF(MASTER!bonuspoints2,"shodai")</f>
        <v>0</v>
      </c>
      <c r="AB16" s="171"/>
      <c r="AC16" s="172"/>
    </row>
    <row r="17">
      <c r="A17" s="167" t="s">
        <v>36</v>
      </c>
      <c r="B17" s="168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9"/>
      <c r="Q17" s="170" t="str">
        <f>(BanzukeTable!E4)</f>
        <v>0-0</v>
      </c>
      <c r="R17" s="23">
        <f t="shared" si="3"/>
        <v>0</v>
      </c>
      <c r="S17" s="225" t="s">
        <v>359</v>
      </c>
      <c r="T17">
        <f>countcoloredcells(B17:P17,A7)</f>
        <v>0</v>
      </c>
      <c r="U17" s="162">
        <f>COUNTIF(MASTER!bonuspoints2,"mitakeumi")</f>
        <v>0</v>
      </c>
      <c r="AB17" s="171"/>
      <c r="AC17" s="172"/>
    </row>
    <row r="18">
      <c r="A18" s="167" t="s">
        <v>40</v>
      </c>
      <c r="B18" s="168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9"/>
      <c r="Q18" s="170" t="str">
        <f>(BanzukeTable!A5)</f>
        <v>0-0</v>
      </c>
      <c r="R18" s="23">
        <f t="shared" si="3"/>
        <v>0</v>
      </c>
      <c r="S18" s="225" t="s">
        <v>356</v>
      </c>
      <c r="T18">
        <f>countcoloredcells(B18:P18,A3)</f>
        <v>0</v>
      </c>
      <c r="U18" s="162">
        <f>COUNTIF(MASTER!bonuspoints2,"daieisho")</f>
        <v>0</v>
      </c>
      <c r="AB18" s="171"/>
      <c r="AC18" s="172"/>
    </row>
    <row r="19">
      <c r="A19" s="167" t="s">
        <v>45</v>
      </c>
      <c r="B19" s="168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9"/>
      <c r="Q19" s="170" t="str">
        <f>(BanzukeTable!A5)</f>
        <v>0-0</v>
      </c>
      <c r="R19" s="23">
        <f t="shared" si="3"/>
        <v>0</v>
      </c>
      <c r="S19" s="225" t="s">
        <v>354</v>
      </c>
      <c r="T19">
        <f>countcoloredcells(B19:P19,A6)</f>
        <v>0</v>
      </c>
      <c r="U19" s="162">
        <f>COUNTIF(MASTER!bonuspoints2,"okinoumi")</f>
        <v>0</v>
      </c>
      <c r="AB19" s="171"/>
      <c r="AC19" s="172"/>
    </row>
    <row r="20">
      <c r="A20" s="167" t="s">
        <v>48</v>
      </c>
      <c r="B20" s="168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9"/>
      <c r="Q20" s="170" t="str">
        <f>(BanzukeTable!A6)</f>
        <v>0-0</v>
      </c>
      <c r="R20" s="23">
        <f t="shared" si="3"/>
        <v>0</v>
      </c>
      <c r="S20" s="225" t="s">
        <v>354</v>
      </c>
      <c r="T20">
        <f t="shared" ref="T20:T21" si="6">countcoloredcells(B20:P20,A3)</f>
        <v>0</v>
      </c>
      <c r="U20" s="162">
        <f>COUNTIF(MASTER!bonuspoints2,"endo")</f>
        <v>0</v>
      </c>
      <c r="AB20" s="174"/>
      <c r="AC20" s="172"/>
    </row>
    <row r="21">
      <c r="A21" s="173" t="s">
        <v>51</v>
      </c>
      <c r="B21" s="168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9"/>
      <c r="Q21" s="170" t="str">
        <f>(BanzukeTable!E6)</f>
        <v>0-0</v>
      </c>
      <c r="R21" s="23">
        <f t="shared" si="3"/>
        <v>0</v>
      </c>
      <c r="S21" s="225" t="s">
        <v>357</v>
      </c>
      <c r="T21">
        <f t="shared" si="6"/>
        <v>0</v>
      </c>
      <c r="U21" s="162">
        <f>COUNTIF(MASTER!bonuspoints2,"terunofuji")</f>
        <v>0</v>
      </c>
      <c r="AB21" s="171"/>
      <c r="AC21" s="172"/>
    </row>
    <row r="22">
      <c r="A22" s="158" t="s">
        <v>54</v>
      </c>
      <c r="B22" s="168"/>
      <c r="C22" s="160"/>
      <c r="D22" s="160"/>
      <c r="E22" s="160"/>
      <c r="F22" s="160"/>
      <c r="G22" s="160"/>
      <c r="H22" s="160"/>
      <c r="I22" s="160"/>
      <c r="J22" s="160"/>
      <c r="K22" s="178"/>
      <c r="L22" s="160"/>
      <c r="M22" s="160"/>
      <c r="N22" s="160"/>
      <c r="O22" s="160"/>
      <c r="P22" s="169"/>
      <c r="Q22" s="161" t="str">
        <f>(BanzukeTable!A7)</f>
        <v>0-0</v>
      </c>
      <c r="R22" s="23">
        <f t="shared" si="3"/>
        <v>0</v>
      </c>
      <c r="S22" s="225" t="s">
        <v>356</v>
      </c>
      <c r="T22">
        <f>countcoloredcells(B22:P22,A7)</f>
        <v>0</v>
      </c>
      <c r="U22" s="162">
        <f>COUNTIF(MASTER!bonuspoints2,"takanosho")</f>
        <v>0</v>
      </c>
      <c r="AB22" s="171"/>
      <c r="AC22" s="172"/>
    </row>
    <row r="23">
      <c r="A23" s="158" t="s">
        <v>57</v>
      </c>
      <c r="B23" s="168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75"/>
      <c r="N23" s="160"/>
      <c r="O23" s="160"/>
      <c r="P23" s="169"/>
      <c r="Q23" s="161" t="str">
        <f>(BanzukeTable!E7)</f>
        <v>0-0</v>
      </c>
      <c r="R23" s="23">
        <f t="shared" si="3"/>
        <v>0</v>
      </c>
      <c r="S23" s="225" t="s">
        <v>357</v>
      </c>
      <c r="T23">
        <f>countcoloredcells(B23:P23,A4)</f>
        <v>0</v>
      </c>
      <c r="U23" s="162">
        <f>COUNTIF(MASTER!bonuspoints2,"hokutofuji")</f>
        <v>0</v>
      </c>
      <c r="AB23" s="171"/>
      <c r="AC23" s="172"/>
    </row>
    <row r="24">
      <c r="A24" s="158" t="s">
        <v>59</v>
      </c>
      <c r="B24" s="168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9"/>
      <c r="Q24" s="161" t="str">
        <f>(BanzukeTable!A8)</f>
        <v>0-0</v>
      </c>
      <c r="R24" s="23">
        <f t="shared" si="3"/>
        <v>0</v>
      </c>
      <c r="S24" s="225" t="s">
        <v>359</v>
      </c>
      <c r="T24">
        <f>countcoloredcells(B24:P24,A3)</f>
        <v>0</v>
      </c>
      <c r="U24" s="162">
        <f>COUNTIF(MASTER!bonuspoints2,"tamawashi")</f>
        <v>0</v>
      </c>
      <c r="AB24" s="176"/>
      <c r="AC24" s="172"/>
    </row>
    <row r="25">
      <c r="A25" s="158" t="s">
        <v>62</v>
      </c>
      <c r="B25" s="168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9"/>
      <c r="Q25" s="161" t="str">
        <f>(BanzukeTable!E8)</f>
        <v>0-0</v>
      </c>
      <c r="R25" s="23">
        <f t="shared" si="3"/>
        <v>0</v>
      </c>
      <c r="S25" s="225" t="s">
        <v>358</v>
      </c>
      <c r="T25">
        <f>countcoloredcells(B25:P25,A1)</f>
        <v>0</v>
      </c>
      <c r="U25" s="162">
        <f>COUNTIF(MASTER!bonuspoints2,"myogiryu")</f>
        <v>0</v>
      </c>
      <c r="AB25" s="171"/>
      <c r="AC25" s="172"/>
    </row>
    <row r="26">
      <c r="A26" s="158" t="s">
        <v>65</v>
      </c>
      <c r="B26" s="168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9"/>
      <c r="Q26" s="161" t="str">
        <f>(BanzukeTable!A9)</f>
        <v>0-0</v>
      </c>
      <c r="R26" s="23">
        <f t="shared" si="3"/>
        <v>0</v>
      </c>
      <c r="S26" s="225" t="s">
        <v>355</v>
      </c>
      <c r="T26">
        <f>countcoloredcells(B26:P26,A7)</f>
        <v>0</v>
      </c>
      <c r="U26" s="162">
        <f>COUNTIF(MASTER!bonuspoints2,"terutsuyoshi")</f>
        <v>0</v>
      </c>
      <c r="AB26" s="171"/>
      <c r="AC26" s="172"/>
    </row>
    <row r="27">
      <c r="A27" s="177" t="s">
        <v>70</v>
      </c>
      <c r="B27" s="168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9"/>
      <c r="Q27" s="161" t="str">
        <f>(BanzukeTable!E9)</f>
        <v>0-0</v>
      </c>
      <c r="R27" s="23">
        <f t="shared" si="3"/>
        <v>0</v>
      </c>
      <c r="S27" s="225" t="s">
        <v>360</v>
      </c>
      <c r="T27">
        <f>countcoloredcells(B27:P27,A5)</f>
        <v>0</v>
      </c>
      <c r="U27" s="162">
        <f>COUNTIF(MASTER!bonuspoints2,"yutakayama")</f>
        <v>0</v>
      </c>
      <c r="AB27" s="174"/>
      <c r="AC27" s="172"/>
    </row>
    <row r="28">
      <c r="A28" s="158" t="s">
        <v>72</v>
      </c>
      <c r="B28" s="168"/>
      <c r="C28" s="160"/>
      <c r="D28" s="160"/>
      <c r="E28" s="160"/>
      <c r="F28" s="160"/>
      <c r="G28" s="160"/>
      <c r="H28" s="160"/>
      <c r="I28" s="160"/>
      <c r="J28" s="160"/>
      <c r="K28" s="160"/>
      <c r="L28" s="178"/>
      <c r="M28" s="179"/>
      <c r="N28" s="160"/>
      <c r="O28" s="160"/>
      <c r="P28" s="169"/>
      <c r="Q28" s="161" t="str">
        <f>(BanzukeTable!A10)</f>
        <v>0-0</v>
      </c>
      <c r="R28" s="23">
        <f t="shared" si="3"/>
        <v>0</v>
      </c>
      <c r="S28" s="225" t="s">
        <v>355</v>
      </c>
      <c r="T28">
        <f>countcoloredcells(B28:P28,A4)</f>
        <v>0</v>
      </c>
      <c r="U28" s="162">
        <f>COUNTIF(MASTER!bonuspoints2,"tochinoshin")</f>
        <v>0</v>
      </c>
      <c r="AB28" s="171"/>
      <c r="AC28" s="172"/>
    </row>
    <row r="29">
      <c r="A29" s="158" t="s">
        <v>76</v>
      </c>
      <c r="B29" s="168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9"/>
      <c r="Q29" s="161" t="str">
        <f>(BanzukeTable!E10)</f>
        <v>0-0</v>
      </c>
      <c r="R29" s="23">
        <f t="shared" si="3"/>
        <v>0</v>
      </c>
      <c r="S29" s="225" t="s">
        <v>358</v>
      </c>
      <c r="T29">
        <f>countcoloredcells(B29:P29,A1)</f>
        <v>0</v>
      </c>
      <c r="U29" s="162">
        <f>COUNTIF(MASTER!bonuspoints2,"kiribayama")</f>
        <v>0</v>
      </c>
      <c r="AB29" s="171"/>
      <c r="AC29" s="172"/>
    </row>
    <row r="30">
      <c r="A30" s="177" t="s">
        <v>79</v>
      </c>
      <c r="B30" s="168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9"/>
      <c r="Q30" s="161" t="str">
        <f>(BanzukeTable!A11)</f>
        <v>0-0</v>
      </c>
      <c r="R30" s="23">
        <f t="shared" si="3"/>
        <v>0</v>
      </c>
      <c r="S30" s="225" t="s">
        <v>359</v>
      </c>
      <c r="T30">
        <f>countcoloredcells(B30:P30,A7)</f>
        <v>0</v>
      </c>
      <c r="U30" s="162">
        <f>COUNTIF(MASTER!bonuspoints2,"takarafuji")</f>
        <v>0</v>
      </c>
      <c r="AB30" s="171"/>
      <c r="AC30" s="172"/>
    </row>
    <row r="31">
      <c r="A31" s="158" t="s">
        <v>81</v>
      </c>
      <c r="B31" s="168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9"/>
      <c r="Q31" s="161" t="str">
        <f>(BanzukeTable!E11)</f>
        <v>0-0</v>
      </c>
      <c r="R31" s="23">
        <f t="shared" si="3"/>
        <v>0</v>
      </c>
      <c r="S31" s="225" t="s">
        <v>356</v>
      </c>
      <c r="T31">
        <f>countcoloredcells(B31:P31,A5)</f>
        <v>0</v>
      </c>
      <c r="U31" s="162">
        <f>COUNTIF(MASTER!bonuspoints2,"takayasu")</f>
        <v>0</v>
      </c>
      <c r="AB31" s="174"/>
      <c r="AC31" s="172"/>
    </row>
    <row r="32">
      <c r="A32" s="158" t="s">
        <v>84</v>
      </c>
      <c r="B32" s="168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9"/>
      <c r="Q32" s="161" t="str">
        <f>(BanzukeTable!A12)</f>
        <v>0-0</v>
      </c>
      <c r="R32" s="23">
        <f t="shared" si="3"/>
        <v>0</v>
      </c>
      <c r="S32" s="225" t="s">
        <v>354</v>
      </c>
      <c r="T32">
        <f t="shared" ref="T32:T34" si="7">countcoloredcells(B32:P32,A5)</f>
        <v>0</v>
      </c>
      <c r="U32" s="162">
        <f>COUNTIF(MASTER!bonuspoints2,"kagayaki")</f>
        <v>0</v>
      </c>
      <c r="AB32" s="171"/>
      <c r="AC32" s="172"/>
    </row>
    <row r="33">
      <c r="A33" s="158" t="s">
        <v>88</v>
      </c>
      <c r="B33" s="168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9"/>
      <c r="Q33" s="161" t="str">
        <f>(BanzukeTable!E12)</f>
        <v>0-0</v>
      </c>
      <c r="R33" s="23">
        <f t="shared" si="3"/>
        <v>0</v>
      </c>
      <c r="S33" s="225" t="s">
        <v>357</v>
      </c>
      <c r="T33">
        <f t="shared" si="7"/>
        <v>0</v>
      </c>
      <c r="U33" s="162">
        <f>COUNTIF(MASTER!bonuspoints2,"ryuden")</f>
        <v>0</v>
      </c>
      <c r="AB33" s="171"/>
      <c r="AC33" s="172"/>
    </row>
    <row r="34">
      <c r="A34" s="158" t="s">
        <v>90</v>
      </c>
      <c r="B34" s="168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79"/>
      <c r="N34" s="160"/>
      <c r="O34" s="160"/>
      <c r="P34" s="169"/>
      <c r="Q34" s="161" t="str">
        <f>(BanzukeTable!A13)</f>
        <v>0-0</v>
      </c>
      <c r="R34" s="23">
        <f t="shared" si="3"/>
        <v>0</v>
      </c>
      <c r="S34" s="225" t="s">
        <v>354</v>
      </c>
      <c r="T34">
        <f t="shared" si="7"/>
        <v>0</v>
      </c>
      <c r="U34" s="162">
        <f>COUNTIF(MASTER!bonuspoints2,"aoiyama")</f>
        <v>0</v>
      </c>
      <c r="AB34" s="171"/>
      <c r="AC34" s="172"/>
    </row>
    <row r="35">
      <c r="A35" s="158" t="s">
        <v>92</v>
      </c>
      <c r="B35" s="168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9"/>
      <c r="Q35" s="161" t="str">
        <f>(BanzukeTable!E13)</f>
        <v>0-0</v>
      </c>
      <c r="R35" s="23">
        <f t="shared" si="3"/>
        <v>0</v>
      </c>
      <c r="S35" s="225" t="s">
        <v>359</v>
      </c>
      <c r="T35">
        <f>countcoloredcells(B35:P35,A3)</f>
        <v>0</v>
      </c>
      <c r="U35">
        <f>COUNTIF(MASTER!bonuspoints2,"tokushoryu")</f>
        <v>0</v>
      </c>
      <c r="AB35" s="171"/>
      <c r="AC35" s="172"/>
    </row>
    <row r="36">
      <c r="A36" s="177" t="s">
        <v>96</v>
      </c>
      <c r="B36" s="168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9"/>
      <c r="Q36" s="161" t="str">
        <f>(BanzukeTable!A14)</f>
        <v>0-0</v>
      </c>
      <c r="R36" s="23">
        <f t="shared" si="3"/>
        <v>0</v>
      </c>
      <c r="S36" s="225" t="s">
        <v>356</v>
      </c>
      <c r="T36">
        <f t="shared" ref="T36:T37" si="8">countcoloredcells(B36:P36,A1)</f>
        <v>0</v>
      </c>
      <c r="U36" s="162">
        <f>COUNTIF(MASTER!bonuspoints2,wakatakakage)</f>
        <v>0</v>
      </c>
      <c r="AB36" s="171"/>
      <c r="AC36" s="172"/>
    </row>
    <row r="37">
      <c r="A37" s="158" t="s">
        <v>100</v>
      </c>
      <c r="B37" s="168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9"/>
      <c r="Q37" s="161" t="str">
        <f>(BanzukeTable!E14)</f>
        <v>0-0</v>
      </c>
      <c r="R37" s="23">
        <f t="shared" si="3"/>
        <v>0</v>
      </c>
      <c r="S37" s="225" t="s">
        <v>360</v>
      </c>
      <c r="T37">
        <f t="shared" si="8"/>
        <v>0</v>
      </c>
      <c r="U37" s="162">
        <f>COUNTIF(MASTER!bonuspoints2,"enho")</f>
        <v>0</v>
      </c>
      <c r="AB37" s="171"/>
      <c r="AC37" s="172"/>
    </row>
    <row r="38">
      <c r="A38" s="158" t="s">
        <v>102</v>
      </c>
      <c r="B38" s="168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9"/>
      <c r="Q38" s="161" t="str">
        <f>(BanzukeTable!A15)</f>
        <v>0-0</v>
      </c>
      <c r="R38" s="23">
        <f t="shared" si="3"/>
        <v>0</v>
      </c>
      <c r="S38" s="225" t="s">
        <v>358</v>
      </c>
      <c r="T38">
        <f>countcoloredcells(B38:P38,A1)</f>
        <v>0</v>
      </c>
      <c r="U38" s="162">
        <f>COUNTIF(MASTER!bonuspoints2,"onosho")</f>
        <v>0</v>
      </c>
      <c r="AB38" s="171"/>
      <c r="AC38" s="172"/>
    </row>
    <row r="39">
      <c r="A39" s="158" t="s">
        <v>105</v>
      </c>
      <c r="B39" s="168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9"/>
      <c r="Q39" s="161" t="str">
        <f>(BanzukeTable!E15)</f>
        <v>0-0</v>
      </c>
      <c r="R39" s="23">
        <f t="shared" si="3"/>
        <v>0</v>
      </c>
      <c r="S39" s="225" t="s">
        <v>355</v>
      </c>
      <c r="T39">
        <f>countcoloredcells(B39:P39,A4)</f>
        <v>0</v>
      </c>
      <c r="U39" s="162">
        <f>COUNTIF(MASTER!bonuspoints2,"sadanoumi")</f>
        <v>0</v>
      </c>
      <c r="AB39" s="171"/>
      <c r="AC39" s="172"/>
    </row>
    <row r="40">
      <c r="A40" s="158" t="s">
        <v>107</v>
      </c>
      <c r="B40" s="168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9"/>
      <c r="Q40" s="161" t="str">
        <f>(BanzukeTable!A16)</f>
        <v>0-0</v>
      </c>
      <c r="R40" s="23">
        <f t="shared" si="3"/>
        <v>0</v>
      </c>
      <c r="S40" s="225" t="s">
        <v>360</v>
      </c>
      <c r="T40">
        <f>countcoloredcells(B40:P40,A2)</f>
        <v>0</v>
      </c>
      <c r="U40" s="162">
        <f>COUNTIF(MASTER!bonuspoints2,"kotoeko")</f>
        <v>0</v>
      </c>
      <c r="AB40" s="171"/>
      <c r="AC40" s="172"/>
    </row>
    <row r="41">
      <c r="A41" s="158" t="s">
        <v>111</v>
      </c>
      <c r="B41" s="168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9"/>
      <c r="Q41" s="161" t="str">
        <f>(BanzukeTable!E16)</f>
        <v>0-0</v>
      </c>
      <c r="R41" s="23">
        <f t="shared" si="3"/>
        <v>0</v>
      </c>
      <c r="S41" s="225" t="s">
        <v>360</v>
      </c>
      <c r="T41">
        <f>countcoloredcells(B41:P41,A6)</f>
        <v>0</v>
      </c>
      <c r="U41" s="162">
        <f>COUNTIF(MASTER!bonuspoints2,"chiyotairyu")</f>
        <v>0</v>
      </c>
      <c r="AB41" s="171"/>
      <c r="AC41" s="172"/>
    </row>
    <row r="42">
      <c r="A42" s="177" t="s">
        <v>114</v>
      </c>
      <c r="B42" s="168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9"/>
      <c r="Q42" s="161" t="str">
        <f>(BanzukeTable!A17)</f>
        <v>0-0</v>
      </c>
      <c r="R42" s="23">
        <f t="shared" si="3"/>
        <v>0</v>
      </c>
      <c r="S42" s="27" t="s">
        <v>355</v>
      </c>
      <c r="T42">
        <f>countcoloredcells(B42:P42,A1)</f>
        <v>0</v>
      </c>
      <c r="U42" s="162">
        <f>COUNTIF(MASTER!bonuspoints2,"kotoshogiku")</f>
        <v>0</v>
      </c>
      <c r="AB42" s="174"/>
      <c r="AC42" s="172"/>
    </row>
    <row r="43">
      <c r="A43" s="158" t="s">
        <v>116</v>
      </c>
      <c r="B43" s="168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9"/>
      <c r="Q43" s="161" t="str">
        <f>(BanzukeTable!E17)</f>
        <v>0-0</v>
      </c>
      <c r="R43" s="23">
        <f t="shared" si="3"/>
        <v>0</v>
      </c>
      <c r="S43" s="225" t="s">
        <v>358</v>
      </c>
      <c r="T43">
        <f>countcoloredcells(B43:P43,A6)</f>
        <v>0</v>
      </c>
      <c r="U43" s="162">
        <f>COUNTIF(MASTER!bonuspoints2,"kotoshoho")</f>
        <v>0</v>
      </c>
      <c r="AB43" s="171"/>
      <c r="AC43" s="172"/>
    </row>
    <row r="44">
      <c r="A44" s="158" t="s">
        <v>119</v>
      </c>
      <c r="B44" s="168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9"/>
      <c r="Q44" s="161" t="str">
        <f>(BanzukeTable!A18)</f>
        <v>0-0</v>
      </c>
      <c r="R44" s="23">
        <f t="shared" si="3"/>
        <v>0</v>
      </c>
      <c r="S44" s="225" t="s">
        <v>359</v>
      </c>
      <c r="T44">
        <f>countcoloredcells(B44:P44,A2)</f>
        <v>0</v>
      </c>
      <c r="U44" s="162">
        <f>COUNTIF(MASTER!bonuspoints2,"kaisei")</f>
        <v>0</v>
      </c>
      <c r="AB44" s="171"/>
      <c r="AC44" s="172"/>
    </row>
    <row r="45">
      <c r="A45" s="158" t="s">
        <v>122</v>
      </c>
      <c r="B45" s="168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79"/>
      <c r="N45" s="160"/>
      <c r="O45" s="160"/>
      <c r="P45" s="169"/>
      <c r="Q45" s="161" t="str">
        <f>(BanzukeTable!E18)</f>
        <v>0-0</v>
      </c>
      <c r="R45" s="23">
        <f t="shared" si="3"/>
        <v>0</v>
      </c>
      <c r="S45" s="225" t="s">
        <v>357</v>
      </c>
      <c r="T45">
        <f>countcoloredcells(B45:P45,A4)</f>
        <v>0</v>
      </c>
      <c r="U45" s="162">
        <f>COUNTIF(MASTER!bonuspoints2,"meisei")</f>
        <v>0</v>
      </c>
      <c r="AB45" s="171"/>
      <c r="AC45" s="172"/>
    </row>
    <row r="46">
      <c r="A46" s="158" t="s">
        <v>125</v>
      </c>
      <c r="B46" s="168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9"/>
      <c r="Q46" s="161" t="str">
        <f>(BanzukeTable!A19)</f>
        <v>0-0</v>
      </c>
      <c r="R46" s="23">
        <f t="shared" si="3"/>
        <v>0</v>
      </c>
      <c r="S46" s="225" t="s">
        <v>286</v>
      </c>
      <c r="T46">
        <f>countcoloredcells(B46:P46,A4)</f>
        <v>0</v>
      </c>
      <c r="U46" s="162">
        <f>COUNTIF(MASTER!bonuspoints2,"ishiura")</f>
        <v>0</v>
      </c>
      <c r="AB46" s="171"/>
      <c r="AC46" s="172"/>
    </row>
    <row r="47">
      <c r="A47" s="158" t="s">
        <v>128</v>
      </c>
      <c r="B47" s="168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9"/>
      <c r="Q47" s="161" t="str">
        <f>(BanzukeTable!E19)</f>
        <v>0-0</v>
      </c>
      <c r="R47" s="23">
        <f t="shared" si="3"/>
        <v>0</v>
      </c>
      <c r="S47" s="225" t="s">
        <v>356</v>
      </c>
      <c r="T47">
        <f>countcoloredcells(B47:P47,A3)</f>
        <v>0</v>
      </c>
      <c r="U47" s="162">
        <f>COUNTIF(MASTER!bonuspoints2,"shimanoumi")</f>
        <v>0</v>
      </c>
      <c r="AB47" s="171"/>
      <c r="AC47" s="172"/>
    </row>
    <row r="48">
      <c r="A48" s="158" t="s">
        <v>131</v>
      </c>
      <c r="B48" s="168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1" t="str">
        <f>(BanzukeTable!A20)</f>
        <v>0-0</v>
      </c>
      <c r="R48" s="23">
        <f t="shared" si="3"/>
        <v>0</v>
      </c>
      <c r="S48" s="225" t="s">
        <v>286</v>
      </c>
      <c r="T48">
        <f>countcoloredcells(B48:P48,A3)</f>
        <v>0</v>
      </c>
      <c r="AB48" s="171"/>
      <c r="AC48" s="172"/>
    </row>
    <row r="49">
      <c r="A49" s="181" t="s">
        <v>135</v>
      </c>
      <c r="B49" s="168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1" t="str">
        <f>(BanzukeTable!E20)</f>
        <v>0-0</v>
      </c>
      <c r="R49" s="23">
        <f t="shared" si="3"/>
        <v>0</v>
      </c>
      <c r="S49" s="225" t="s">
        <v>354</v>
      </c>
      <c r="T49">
        <f>countcoloredcells(B49:P49,A2)</f>
        <v>0</v>
      </c>
      <c r="AB49" s="171"/>
      <c r="AC49" s="172"/>
    </row>
    <row r="50">
      <c r="A50" s="158" t="s">
        <v>138</v>
      </c>
      <c r="B50" s="168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78"/>
      <c r="N50" s="160"/>
      <c r="O50" s="160"/>
      <c r="P50" s="160"/>
      <c r="Q50" s="161" t="str">
        <f>(BanzukeTable!A21)</f>
        <v>0-0</v>
      </c>
      <c r="R50" s="23">
        <f t="shared" si="3"/>
        <v>0</v>
      </c>
      <c r="S50" s="225"/>
      <c r="T50">
        <f>countcoloredcells(B50:P50,A5)</f>
        <v>0</v>
      </c>
      <c r="AB50" s="171"/>
      <c r="AC50" s="172"/>
    </row>
    <row r="51">
      <c r="A51" s="158" t="s">
        <v>141</v>
      </c>
      <c r="B51" s="168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1" t="str">
        <f>(BanzukeTable!E21)</f>
        <v>0-0</v>
      </c>
      <c r="R51" s="23">
        <f t="shared" si="3"/>
        <v>0</v>
      </c>
      <c r="T51">
        <f>countcoloredcells(B51:P51,A4)</f>
        <v>0</v>
      </c>
      <c r="AB51" s="171"/>
      <c r="AC51" s="172"/>
    </row>
    <row r="52">
      <c r="A52" s="177" t="s">
        <v>143</v>
      </c>
      <c r="B52" s="168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1" t="str">
        <f>(BanzukeTable!A22)</f>
        <v>0-0</v>
      </c>
      <c r="R52" s="23">
        <f t="shared" si="3"/>
        <v>0</v>
      </c>
      <c r="S52" s="225" t="s">
        <v>357</v>
      </c>
      <c r="T52">
        <f t="shared" ref="T52:T53" si="9">countcoloredcells(B52:P52,A2)</f>
        <v>0</v>
      </c>
      <c r="U52" s="162"/>
      <c r="AB52" s="171"/>
      <c r="AC52" s="172"/>
    </row>
    <row r="53">
      <c r="A53" s="158" t="s">
        <v>146</v>
      </c>
      <c r="B53" s="185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1" t="str">
        <f>(BanzukeTable!E22)</f>
        <v>0-0</v>
      </c>
      <c r="R53" s="23">
        <f t="shared" si="3"/>
        <v>0</v>
      </c>
      <c r="T53">
        <f t="shared" si="9"/>
        <v>0</v>
      </c>
      <c r="U53" s="162"/>
      <c r="AB53" s="226"/>
      <c r="AC53" s="184"/>
    </row>
    <row r="54">
      <c r="A54" s="187" t="s">
        <v>341</v>
      </c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9"/>
      <c r="R54" s="190"/>
      <c r="S54" s="191"/>
      <c r="T54" s="190"/>
      <c r="U54" s="190"/>
      <c r="V54" s="192"/>
      <c r="W54" s="192"/>
      <c r="X54" s="192"/>
      <c r="Y54" s="192"/>
      <c r="Z54" s="192"/>
      <c r="AA54" s="192"/>
      <c r="AB54" s="193"/>
      <c r="AC54" s="193"/>
    </row>
    <row r="55">
      <c r="A55" s="214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95"/>
      <c r="R55" s="196"/>
      <c r="S55" s="197"/>
      <c r="T55" s="196"/>
      <c r="U55" s="196"/>
      <c r="V55" s="198"/>
      <c r="W55" s="193"/>
      <c r="X55" s="193"/>
      <c r="Y55" s="193"/>
      <c r="Z55" s="193"/>
      <c r="AA55" s="193"/>
      <c r="AB55" s="193"/>
      <c r="AC55" s="193"/>
    </row>
    <row r="56">
      <c r="A56" s="214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95"/>
      <c r="R56" s="196"/>
      <c r="S56" s="197"/>
      <c r="T56" s="196"/>
      <c r="U56" s="196"/>
      <c r="V56" s="198"/>
      <c r="W56" s="193"/>
      <c r="X56" s="193"/>
      <c r="Y56" s="193"/>
      <c r="Z56" s="193"/>
      <c r="AA56" s="193"/>
      <c r="AB56" s="193"/>
      <c r="AC56" s="193"/>
    </row>
    <row r="57">
      <c r="A57" s="214"/>
      <c r="B57" s="160"/>
      <c r="C57" s="160"/>
      <c r="D57" s="160"/>
      <c r="E57" s="160"/>
      <c r="F57" s="160"/>
      <c r="G57" s="160"/>
      <c r="H57" s="160"/>
      <c r="I57" s="160"/>
      <c r="J57" s="160"/>
      <c r="K57" s="178"/>
      <c r="L57" s="160"/>
      <c r="M57" s="160"/>
      <c r="N57" s="160"/>
      <c r="O57" s="160"/>
      <c r="P57" s="160"/>
      <c r="Q57" s="195"/>
      <c r="R57" s="196"/>
      <c r="S57" s="197"/>
      <c r="T57" s="196"/>
      <c r="U57" s="196"/>
      <c r="X57" s="193"/>
      <c r="Y57" s="193"/>
      <c r="Z57" s="193"/>
      <c r="AA57" s="193"/>
      <c r="AB57" s="193"/>
      <c r="AC57" s="193"/>
    </row>
    <row r="58">
      <c r="A58" s="214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95"/>
      <c r="R58" s="196"/>
      <c r="S58" s="197"/>
      <c r="T58" s="196"/>
      <c r="U58" s="196"/>
      <c r="X58" s="193"/>
      <c r="Y58" s="193"/>
      <c r="Z58" s="193"/>
      <c r="AA58" s="193"/>
      <c r="AB58" s="193"/>
      <c r="AC58" s="193"/>
    </row>
    <row r="59">
      <c r="A59" s="214"/>
      <c r="B59" s="160"/>
      <c r="C59" s="160"/>
      <c r="D59" s="160"/>
      <c r="E59" s="160"/>
      <c r="F59" s="160"/>
      <c r="G59" s="160"/>
      <c r="H59" s="160"/>
      <c r="I59" s="160"/>
      <c r="J59" s="160"/>
      <c r="K59" s="178"/>
      <c r="L59" s="160"/>
      <c r="M59" s="160"/>
      <c r="N59" s="178"/>
      <c r="O59" s="160"/>
      <c r="P59" s="160"/>
      <c r="Q59" s="195"/>
      <c r="R59" s="196"/>
      <c r="S59" s="196"/>
      <c r="T59" s="196"/>
      <c r="U59" s="196"/>
      <c r="X59" s="193"/>
      <c r="Y59" s="193"/>
      <c r="Z59" s="193"/>
      <c r="AA59" s="193"/>
      <c r="AB59" s="193"/>
      <c r="AC59" s="193"/>
    </row>
    <row r="60">
      <c r="A60" s="214"/>
      <c r="B60" s="160"/>
      <c r="C60" s="160"/>
      <c r="D60" s="160"/>
      <c r="E60" s="160"/>
      <c r="F60" s="160"/>
      <c r="G60" s="160"/>
      <c r="H60" s="160"/>
      <c r="I60" s="160"/>
      <c r="J60" s="160"/>
      <c r="K60" s="178"/>
      <c r="L60" s="160"/>
      <c r="M60" s="160"/>
      <c r="N60" s="178"/>
      <c r="O60" s="160"/>
      <c r="P60" s="160"/>
      <c r="Q60" s="195"/>
      <c r="R60" s="196"/>
      <c r="S60" s="196"/>
      <c r="T60" s="196"/>
      <c r="U60" s="196"/>
      <c r="X60" s="193"/>
      <c r="Y60" s="193"/>
      <c r="Z60" s="193"/>
      <c r="AA60" s="193"/>
      <c r="AB60" s="193"/>
      <c r="AC60" s="193"/>
    </row>
    <row r="61">
      <c r="A61" s="214"/>
      <c r="B61" s="160"/>
      <c r="C61" s="160"/>
      <c r="D61" s="160"/>
      <c r="E61" s="160"/>
      <c r="F61" s="160"/>
      <c r="G61" s="160"/>
      <c r="H61" s="160"/>
      <c r="I61" s="160"/>
      <c r="J61" s="160"/>
      <c r="K61" s="178"/>
      <c r="L61" s="160"/>
      <c r="M61" s="160"/>
      <c r="N61" s="175"/>
      <c r="O61" s="160"/>
      <c r="P61" s="178"/>
      <c r="Q61" s="195"/>
      <c r="R61" s="196"/>
      <c r="S61" s="196"/>
      <c r="T61" s="196"/>
      <c r="U61" s="196"/>
      <c r="X61" s="193"/>
      <c r="Y61" s="193"/>
      <c r="Z61" s="193"/>
      <c r="AA61" s="193"/>
      <c r="AB61" s="193"/>
      <c r="AC61" s="193"/>
    </row>
    <row r="62">
      <c r="A62" s="214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95"/>
      <c r="R62" s="196"/>
      <c r="S62" s="196"/>
      <c r="T62" s="196"/>
      <c r="U62" s="196"/>
      <c r="X62" s="193"/>
      <c r="Y62" s="193"/>
      <c r="Z62" s="193"/>
      <c r="AA62" s="193"/>
      <c r="AB62" s="193"/>
      <c r="AC62" s="193"/>
    </row>
    <row r="63">
      <c r="A63" s="214"/>
      <c r="B63" s="160"/>
      <c r="C63" s="160"/>
      <c r="D63" s="160"/>
      <c r="E63" s="178"/>
      <c r="F63" s="160"/>
      <c r="G63" s="160"/>
      <c r="H63" s="160"/>
      <c r="I63" s="178"/>
      <c r="J63" s="160"/>
      <c r="K63" s="178"/>
      <c r="L63" s="160"/>
      <c r="M63" s="160"/>
      <c r="N63" s="175"/>
      <c r="O63" s="160"/>
      <c r="P63" s="178"/>
      <c r="Q63" s="195"/>
      <c r="R63" s="196"/>
      <c r="S63" s="196"/>
      <c r="T63" s="196"/>
      <c r="U63" s="196"/>
      <c r="X63" s="193"/>
      <c r="Y63" s="193"/>
      <c r="Z63" s="193"/>
      <c r="AA63" s="193"/>
      <c r="AB63" s="193"/>
      <c r="AC63" s="193"/>
    </row>
    <row r="64">
      <c r="A64" s="214"/>
      <c r="B64" s="160"/>
      <c r="C64" s="160"/>
      <c r="D64" s="160"/>
      <c r="E64" s="178"/>
      <c r="F64" s="160"/>
      <c r="G64" s="160"/>
      <c r="H64" s="160"/>
      <c r="I64" s="178"/>
      <c r="J64" s="160"/>
      <c r="K64" s="178"/>
      <c r="L64" s="160"/>
      <c r="M64" s="160"/>
      <c r="N64" s="175"/>
      <c r="O64" s="160"/>
      <c r="P64" s="178"/>
      <c r="Q64" s="195"/>
      <c r="R64" s="196"/>
      <c r="S64" s="196"/>
      <c r="T64" s="196"/>
      <c r="U64" s="196"/>
      <c r="V64" s="193"/>
      <c r="W64" s="197"/>
      <c r="X64" s="193"/>
      <c r="Y64" s="193"/>
      <c r="Z64" s="193"/>
      <c r="AA64" s="193"/>
      <c r="AB64" s="193"/>
      <c r="AC64" s="193"/>
    </row>
    <row r="65">
      <c r="A65" s="214"/>
      <c r="B65" s="160"/>
      <c r="C65" s="160"/>
      <c r="D65" s="160"/>
      <c r="E65" s="178"/>
      <c r="F65" s="160"/>
      <c r="G65" s="160"/>
      <c r="H65" s="160"/>
      <c r="I65" s="178"/>
      <c r="J65" s="160"/>
      <c r="K65" s="178"/>
      <c r="L65" s="160"/>
      <c r="M65" s="160"/>
      <c r="N65" s="175"/>
      <c r="O65" s="175"/>
      <c r="P65" s="175"/>
      <c r="Q65" s="195"/>
      <c r="R65" s="196"/>
      <c r="S65" s="196"/>
      <c r="T65" s="196"/>
      <c r="U65" s="196"/>
      <c r="V65" s="193"/>
      <c r="W65" s="197"/>
      <c r="X65" s="193"/>
      <c r="Y65" s="193"/>
      <c r="Z65" s="193"/>
      <c r="AA65" s="193"/>
      <c r="AB65" s="193"/>
      <c r="AC65" s="193"/>
    </row>
    <row r="66">
      <c r="A66" s="214"/>
      <c r="B66" s="160"/>
      <c r="C66" s="160"/>
      <c r="D66" s="160"/>
      <c r="E66" s="178"/>
      <c r="F66" s="160"/>
      <c r="G66" s="160"/>
      <c r="H66" s="160"/>
      <c r="I66" s="175"/>
      <c r="J66" s="160"/>
      <c r="K66" s="175"/>
      <c r="L66" s="175"/>
      <c r="M66" s="160"/>
      <c r="N66" s="175"/>
      <c r="O66" s="175"/>
      <c r="P66" s="175"/>
      <c r="Q66" s="195"/>
      <c r="R66" s="196"/>
      <c r="S66" s="196"/>
      <c r="T66" s="196"/>
      <c r="U66" s="196"/>
      <c r="V66" s="193"/>
      <c r="W66" s="197"/>
      <c r="X66" s="193"/>
      <c r="Y66" s="193"/>
      <c r="Z66" s="193"/>
      <c r="AA66" s="193"/>
      <c r="AB66" s="193"/>
      <c r="AC66" s="193"/>
    </row>
    <row r="67">
      <c r="A67" s="214"/>
      <c r="B67" s="160"/>
      <c r="C67" s="160"/>
      <c r="D67" s="160"/>
      <c r="E67" s="175"/>
      <c r="F67" s="160"/>
      <c r="G67" s="160"/>
      <c r="H67" s="160"/>
      <c r="I67" s="175"/>
      <c r="J67" s="160"/>
      <c r="K67" s="175"/>
      <c r="L67" s="175"/>
      <c r="M67" s="160"/>
      <c r="N67" s="175"/>
      <c r="O67" s="175"/>
      <c r="P67" s="175"/>
      <c r="Q67" s="195"/>
      <c r="R67" s="196"/>
      <c r="S67" s="196"/>
      <c r="T67" s="196"/>
      <c r="U67" s="196"/>
      <c r="V67" s="193"/>
      <c r="W67" s="197"/>
      <c r="X67" s="193"/>
      <c r="Y67" s="193"/>
      <c r="Z67" s="193"/>
      <c r="AA67" s="193"/>
      <c r="AB67" s="193"/>
      <c r="AC67" s="193"/>
    </row>
    <row r="68">
      <c r="A68" s="214"/>
      <c r="B68" s="160"/>
      <c r="C68" s="160"/>
      <c r="D68" s="160"/>
      <c r="E68" s="175"/>
      <c r="F68" s="160"/>
      <c r="G68" s="160"/>
      <c r="H68" s="160"/>
      <c r="I68" s="175"/>
      <c r="J68" s="160"/>
      <c r="K68" s="175"/>
      <c r="L68" s="175"/>
      <c r="M68" s="160"/>
      <c r="N68" s="175"/>
      <c r="O68" s="175"/>
      <c r="P68" s="175"/>
      <c r="Q68" s="195"/>
      <c r="R68" s="196"/>
      <c r="S68" s="196"/>
      <c r="T68" s="196"/>
      <c r="U68" s="196"/>
      <c r="V68" s="193"/>
      <c r="W68" s="197"/>
      <c r="X68" s="193"/>
      <c r="Y68" s="193"/>
      <c r="Z68" s="193"/>
      <c r="AA68" s="193"/>
      <c r="AB68" s="193"/>
      <c r="AC68" s="193"/>
    </row>
    <row r="69">
      <c r="A69" s="214"/>
      <c r="B69" s="160"/>
      <c r="C69" s="160"/>
      <c r="D69" s="160"/>
      <c r="E69" s="175"/>
      <c r="F69" s="160"/>
      <c r="G69" s="160"/>
      <c r="H69" s="160"/>
      <c r="I69" s="175"/>
      <c r="J69" s="160"/>
      <c r="K69" s="175"/>
      <c r="L69" s="175"/>
      <c r="M69" s="160"/>
      <c r="N69" s="175"/>
      <c r="O69" s="175"/>
      <c r="P69" s="175"/>
      <c r="Q69" s="195"/>
      <c r="R69" s="196"/>
      <c r="S69" s="196"/>
      <c r="T69" s="196"/>
      <c r="U69" s="196"/>
      <c r="V69" s="193"/>
      <c r="W69" s="197"/>
      <c r="X69" s="193"/>
      <c r="Y69" s="193"/>
      <c r="Z69" s="193"/>
      <c r="AA69" s="193"/>
      <c r="AB69" s="193"/>
      <c r="AC69" s="193"/>
    </row>
    <row r="70">
      <c r="A70" s="194"/>
      <c r="B70" s="160"/>
      <c r="C70" s="160"/>
      <c r="D70" s="160"/>
      <c r="E70" s="175"/>
      <c r="F70" s="160"/>
      <c r="G70" s="160"/>
      <c r="H70" s="160"/>
      <c r="I70" s="175"/>
      <c r="J70" s="160"/>
      <c r="K70" s="175"/>
      <c r="L70" s="175"/>
      <c r="M70" s="160"/>
      <c r="N70" s="175"/>
      <c r="O70" s="175"/>
      <c r="P70" s="175"/>
      <c r="Q70" s="195"/>
      <c r="R70" s="196"/>
      <c r="S70" s="196"/>
      <c r="T70" s="196"/>
      <c r="U70" s="196"/>
      <c r="V70" s="193"/>
      <c r="W70" s="197"/>
      <c r="X70" s="193"/>
      <c r="Y70" s="193"/>
      <c r="Z70" s="193"/>
      <c r="AA70" s="193"/>
      <c r="AB70" s="193"/>
      <c r="AC70" s="193"/>
    </row>
    <row r="71">
      <c r="A71" s="206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207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</row>
    <row r="72">
      <c r="A72" s="197"/>
      <c r="Q72" s="197"/>
      <c r="T72" s="210"/>
      <c r="V72" s="197"/>
    </row>
    <row r="73">
      <c r="A73" s="197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170"/>
      <c r="V73" s="197"/>
    </row>
    <row r="74">
      <c r="A74" s="197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V74" s="197"/>
    </row>
    <row r="75">
      <c r="A75" s="197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170"/>
      <c r="V75" s="197"/>
    </row>
    <row r="76">
      <c r="A76" s="197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170"/>
      <c r="V76" s="197"/>
    </row>
    <row r="77">
      <c r="A77" s="197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V77" s="197"/>
    </row>
    <row r="78">
      <c r="A78" s="197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V78" s="197"/>
    </row>
    <row r="79">
      <c r="A79" s="23"/>
      <c r="B79" s="23"/>
    </row>
    <row r="80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R80" s="193"/>
    </row>
    <row r="81">
      <c r="B81" s="23"/>
    </row>
    <row r="82">
      <c r="B82" s="23"/>
    </row>
    <row r="83">
      <c r="B83" s="198"/>
    </row>
    <row r="84">
      <c r="B84" s="198"/>
    </row>
  </sheetData>
  <conditionalFormatting sqref="B13:P13 B37:P37 B40:P40 B44:P44 B49:P49 D52:P52">
    <cfRule type="notContainsBlanks" dxfId="0" priority="1">
      <formula>LEN(TRIM(B13))&gt;0</formula>
    </cfRule>
  </conditionalFormatting>
  <conditionalFormatting sqref="B16:P16 B27:P27 B31:P32 B50:P50">
    <cfRule type="notContainsBlanks" dxfId="3" priority="2">
      <formula>LEN(TRIM(B16))&gt;0</formula>
    </cfRule>
  </conditionalFormatting>
  <conditionalFormatting sqref="B18:P18 B20:P20 B24:P24 B47:P48">
    <cfRule type="notContainsBlanks" dxfId="4" priority="3">
      <formula>LEN(TRIM(B18))&gt;0</formula>
    </cfRule>
  </conditionalFormatting>
  <conditionalFormatting sqref="B15:P15 B21:P21 B23:P23 B28:P28 I39:P39 B45:P45 J46:P46">
    <cfRule type="notContainsBlanks" dxfId="5" priority="4">
      <formula>LEN(TRIM(B15))&gt;0</formula>
    </cfRule>
  </conditionalFormatting>
  <conditionalFormatting sqref="B12:P12 B25:P25 B29:P29 B36:P36 B38:P38">
    <cfRule type="notContainsBlanks" dxfId="6" priority="5">
      <formula>LEN(TRIM(B12))&gt;0</formula>
    </cfRule>
  </conditionalFormatting>
  <conditionalFormatting sqref="B14:P14 B19:P19 H31 B33:P33 B41:P41 B43:P43">
    <cfRule type="notContainsBlanks" dxfId="1" priority="6">
      <formula>LEN(TRIM(B14))&gt;0</formula>
    </cfRule>
  </conditionalFormatting>
  <conditionalFormatting sqref="B17:P17 B22:P22 B26:P26 B30:P30 B34:P34">
    <cfRule type="notContainsBlanks" dxfId="7" priority="7">
      <formula>LEN(TRIM(B17))&gt;0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217" t="s">
        <v>364</v>
      </c>
      <c r="B1" s="198">
        <v>6.0</v>
      </c>
      <c r="C1" s="198">
        <v>3.0</v>
      </c>
      <c r="D1" s="198">
        <v>2.0</v>
      </c>
      <c r="E1" s="198">
        <v>3.0</v>
      </c>
      <c r="F1" s="198">
        <v>8.0</v>
      </c>
      <c r="G1" s="198">
        <v>5.0</v>
      </c>
      <c r="H1" s="198">
        <v>3.0</v>
      </c>
      <c r="I1" s="198">
        <v>6.0</v>
      </c>
      <c r="J1" s="198">
        <v>6.0</v>
      </c>
      <c r="K1" s="198">
        <v>5.0</v>
      </c>
      <c r="L1" s="198">
        <v>4.0</v>
      </c>
      <c r="M1" s="198">
        <v>4.0</v>
      </c>
      <c r="N1" s="198">
        <v>4.0</v>
      </c>
      <c r="O1" s="198">
        <v>10.0</v>
      </c>
      <c r="P1" s="198">
        <v>4.0</v>
      </c>
      <c r="Q1" s="209">
        <f t="shared" ref="Q1:Q7" si="1">sum(B1:P1)+T1</f>
        <v>78</v>
      </c>
      <c r="R1" s="217" t="s">
        <v>364</v>
      </c>
      <c r="S1" s="213">
        <f>countcoloredcells(takasago!normalpoints,A1)</f>
        <v>53</v>
      </c>
      <c r="T1" s="193">
        <f>countcoloredcells(takasago!lastday,A1)</f>
        <v>5</v>
      </c>
      <c r="U1" s="199"/>
      <c r="V1" s="23"/>
      <c r="X1" s="197"/>
      <c r="Z1" s="23"/>
      <c r="AB1" s="157"/>
      <c r="AC1" s="23"/>
    </row>
    <row r="2">
      <c r="A2" s="218" t="s">
        <v>365</v>
      </c>
      <c r="B2" s="198">
        <v>6.0</v>
      </c>
      <c r="C2" s="198">
        <v>11.0</v>
      </c>
      <c r="D2" s="198">
        <v>6.0</v>
      </c>
      <c r="E2" s="198">
        <v>5.0</v>
      </c>
      <c r="F2" s="198">
        <v>4.0</v>
      </c>
      <c r="G2" s="198">
        <v>5.0</v>
      </c>
      <c r="H2" s="198">
        <v>5.0</v>
      </c>
      <c r="I2" s="198">
        <v>4.0</v>
      </c>
      <c r="J2" s="198">
        <v>4.0</v>
      </c>
      <c r="K2" s="198">
        <v>6.0</v>
      </c>
      <c r="L2" s="198">
        <v>5.0</v>
      </c>
      <c r="M2" s="198">
        <v>4.0</v>
      </c>
      <c r="N2" s="198">
        <v>5.0</v>
      </c>
      <c r="O2" s="198">
        <v>4.0</v>
      </c>
      <c r="P2" s="198">
        <v>7.0</v>
      </c>
      <c r="Q2" s="209">
        <f t="shared" si="1"/>
        <v>101</v>
      </c>
      <c r="R2" s="218" t="s">
        <v>365</v>
      </c>
      <c r="S2" s="213">
        <f>countcoloredcells(takasago!normalpoints,A2)</f>
        <v>57</v>
      </c>
      <c r="T2" s="193">
        <f>countcoloredcells(takasago!lastday,A2)</f>
        <v>20</v>
      </c>
      <c r="U2" s="200"/>
      <c r="V2" s="23"/>
      <c r="X2" s="197"/>
      <c r="Z2" s="23"/>
      <c r="AB2" s="157"/>
      <c r="AC2" s="23"/>
    </row>
    <row r="3">
      <c r="A3" s="219" t="s">
        <v>366</v>
      </c>
      <c r="B3" s="198">
        <v>6.0</v>
      </c>
      <c r="C3" s="198">
        <v>8.0</v>
      </c>
      <c r="D3" s="198">
        <v>9.0</v>
      </c>
      <c r="E3" s="198">
        <v>2.0</v>
      </c>
      <c r="F3" s="198">
        <v>3.0</v>
      </c>
      <c r="G3" s="198">
        <v>4.0</v>
      </c>
      <c r="H3" s="198">
        <v>3.0</v>
      </c>
      <c r="I3" s="198">
        <v>6.0</v>
      </c>
      <c r="J3" s="198">
        <v>6.0</v>
      </c>
      <c r="K3" s="198">
        <v>3.0</v>
      </c>
      <c r="L3" s="198">
        <v>6.0</v>
      </c>
      <c r="M3" s="198">
        <v>6.0</v>
      </c>
      <c r="N3" s="198">
        <v>5.0</v>
      </c>
      <c r="O3" s="198">
        <v>3.0</v>
      </c>
      <c r="P3" s="198">
        <v>6.0</v>
      </c>
      <c r="Q3" s="209">
        <f t="shared" si="1"/>
        <v>81</v>
      </c>
      <c r="R3" s="219" t="s">
        <v>366</v>
      </c>
      <c r="S3" s="213">
        <f>countcoloredcells(takasago!normalpoints,A3)</f>
        <v>48</v>
      </c>
      <c r="T3" s="193">
        <f>countcoloredcells(takasago!lastday,A3)</f>
        <v>5</v>
      </c>
      <c r="U3" s="201"/>
      <c r="V3" s="23"/>
      <c r="X3" s="197"/>
      <c r="Z3" s="23"/>
      <c r="AB3" s="157"/>
      <c r="AC3" s="23"/>
    </row>
    <row r="4">
      <c r="A4" s="220" t="s">
        <v>367</v>
      </c>
      <c r="B4" s="198">
        <v>3.0</v>
      </c>
      <c r="C4" s="198">
        <v>3.0</v>
      </c>
      <c r="D4" s="198">
        <v>10.0</v>
      </c>
      <c r="E4" s="198">
        <v>12.0</v>
      </c>
      <c r="F4" s="198">
        <v>4.0</v>
      </c>
      <c r="G4" s="198">
        <v>5.0</v>
      </c>
      <c r="H4" s="198">
        <v>5.0</v>
      </c>
      <c r="I4" s="198">
        <v>10.0</v>
      </c>
      <c r="J4" s="198">
        <v>6.0</v>
      </c>
      <c r="K4" s="198">
        <v>4.0</v>
      </c>
      <c r="L4" s="198">
        <v>5.0</v>
      </c>
      <c r="M4" s="198">
        <v>6.0</v>
      </c>
      <c r="N4" s="198">
        <v>3.0</v>
      </c>
      <c r="O4" s="198">
        <v>1.0</v>
      </c>
      <c r="P4" s="198">
        <v>4.0</v>
      </c>
      <c r="Q4" s="209">
        <f t="shared" si="1"/>
        <v>86</v>
      </c>
      <c r="R4" s="220" t="s">
        <v>367</v>
      </c>
      <c r="S4" s="213">
        <f>countcoloredcells(takasago!normalpoints,A4)</f>
        <v>53</v>
      </c>
      <c r="T4" s="193">
        <f>countcoloredcells(takasago!lastday,A4)</f>
        <v>5</v>
      </c>
      <c r="U4" s="202"/>
      <c r="V4" s="23"/>
      <c r="X4" s="197"/>
      <c r="Z4" s="23"/>
      <c r="AB4" s="157"/>
      <c r="AC4" s="23"/>
    </row>
    <row r="5">
      <c r="A5" s="221" t="s">
        <v>368</v>
      </c>
      <c r="B5" s="198">
        <v>5.0</v>
      </c>
      <c r="C5" s="198">
        <v>6.0</v>
      </c>
      <c r="D5" s="198">
        <v>5.0</v>
      </c>
      <c r="E5" s="198">
        <v>5.0</v>
      </c>
      <c r="F5" s="198">
        <v>5.0</v>
      </c>
      <c r="G5" s="198">
        <v>2.0</v>
      </c>
      <c r="H5" s="198">
        <v>5.0</v>
      </c>
      <c r="I5" s="198">
        <v>1.0</v>
      </c>
      <c r="J5" s="198">
        <v>4.0</v>
      </c>
      <c r="K5" s="198">
        <v>6.0</v>
      </c>
      <c r="L5" s="198">
        <v>5.0</v>
      </c>
      <c r="M5" s="198">
        <v>4.0</v>
      </c>
      <c r="N5" s="198">
        <v>3.0</v>
      </c>
      <c r="O5" s="198">
        <v>5.0</v>
      </c>
      <c r="P5" s="198">
        <v>5.0</v>
      </c>
      <c r="Q5" s="209">
        <f t="shared" si="1"/>
        <v>66</v>
      </c>
      <c r="R5" s="221" t="s">
        <v>368</v>
      </c>
      <c r="S5" s="213">
        <f>countcoloredcells(takasago!normalpoints,A5)</f>
        <v>49</v>
      </c>
      <c r="T5" s="193">
        <f>countcoloredcells(takasago!lastday,A5)</f>
        <v>0</v>
      </c>
      <c r="U5" s="203"/>
      <c r="V5" s="23"/>
      <c r="X5" s="197"/>
      <c r="Z5" s="23"/>
      <c r="AB5" s="157"/>
      <c r="AC5" s="23"/>
    </row>
    <row r="6">
      <c r="A6" s="222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209">
        <f t="shared" si="1"/>
        <v>0</v>
      </c>
      <c r="R6" s="204"/>
      <c r="S6" s="213">
        <f>countcoloredcells(takasago!normalpoints,A6)</f>
        <v>0</v>
      </c>
      <c r="T6" s="193">
        <f>countcoloredcells(takasago!lastday,A6)</f>
        <v>0</v>
      </c>
      <c r="U6" s="204"/>
      <c r="V6" s="23"/>
      <c r="X6" s="197"/>
      <c r="Z6" s="23"/>
      <c r="AB6" s="157"/>
      <c r="AC6" s="23"/>
    </row>
    <row r="7">
      <c r="A7" s="22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15">
        <f t="shared" si="1"/>
        <v>0</v>
      </c>
      <c r="R7" s="205"/>
      <c r="S7" s="213">
        <f>countcoloredcells(takasago!normalpoints,A7)</f>
        <v>0</v>
      </c>
      <c r="T7" s="193">
        <f>countcoloredcells(takasago!lastday,A7)</f>
        <v>0</v>
      </c>
      <c r="U7" s="205"/>
      <c r="V7" s="23"/>
      <c r="X7" s="197"/>
      <c r="Z7" s="23"/>
      <c r="AB7" s="157"/>
      <c r="AC7" s="23"/>
    </row>
    <row r="8">
      <c r="A8" s="172"/>
      <c r="B8" s="224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 t="s">
        <v>361</v>
      </c>
      <c r="R8" s="27"/>
      <c r="S8" s="27" t="s">
        <v>362</v>
      </c>
      <c r="T8" s="157" t="s">
        <v>348</v>
      </c>
      <c r="U8" s="23" t="s">
        <v>350</v>
      </c>
      <c r="V8" s="23"/>
      <c r="W8" s="157"/>
      <c r="Z8" s="23"/>
      <c r="AB8" s="157"/>
      <c r="AC8" s="23"/>
    </row>
    <row r="9">
      <c r="A9" s="23" t="s">
        <v>349</v>
      </c>
      <c r="B9" s="27">
        <f t="shared" ref="B9:P9" si="2">SUM(B1:B7)</f>
        <v>26</v>
      </c>
      <c r="C9" s="27">
        <f t="shared" si="2"/>
        <v>31</v>
      </c>
      <c r="D9" s="27">
        <f t="shared" si="2"/>
        <v>32</v>
      </c>
      <c r="E9" s="27">
        <f t="shared" si="2"/>
        <v>27</v>
      </c>
      <c r="F9" s="27">
        <f t="shared" si="2"/>
        <v>24</v>
      </c>
      <c r="G9" s="27">
        <f t="shared" si="2"/>
        <v>21</v>
      </c>
      <c r="H9" s="27">
        <f t="shared" si="2"/>
        <v>21</v>
      </c>
      <c r="I9" s="27">
        <f t="shared" si="2"/>
        <v>27</v>
      </c>
      <c r="J9" s="27">
        <f t="shared" si="2"/>
        <v>26</v>
      </c>
      <c r="K9" s="27">
        <f t="shared" si="2"/>
        <v>24</v>
      </c>
      <c r="L9" s="27">
        <f t="shared" si="2"/>
        <v>25</v>
      </c>
      <c r="M9" s="27">
        <f t="shared" si="2"/>
        <v>24</v>
      </c>
      <c r="N9" s="27">
        <f t="shared" si="2"/>
        <v>20</v>
      </c>
      <c r="O9" s="27">
        <f t="shared" si="2"/>
        <v>23</v>
      </c>
      <c r="P9" s="27">
        <f t="shared" si="2"/>
        <v>26</v>
      </c>
      <c r="Q9" s="27"/>
      <c r="R9" s="27"/>
      <c r="S9" s="27" t="s">
        <v>363</v>
      </c>
      <c r="T9" s="23"/>
      <c r="U9" s="23"/>
      <c r="V9" s="23"/>
      <c r="W9" s="23"/>
      <c r="X9" s="23"/>
      <c r="Y9" s="23" t="s">
        <v>353</v>
      </c>
      <c r="Z9">
        <f>(Z11-Z12)+sum(B72:P72)</f>
        <v>-101</v>
      </c>
      <c r="AB9" s="157"/>
      <c r="AC9" s="23"/>
    </row>
    <row r="10">
      <c r="A10" s="172"/>
      <c r="B10" s="224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T10" s="23"/>
      <c r="U10" s="23"/>
      <c r="V10" s="23"/>
      <c r="W10" s="23"/>
      <c r="X10" s="23"/>
      <c r="Z10" s="23"/>
      <c r="AB10" s="157"/>
      <c r="AC10" s="23"/>
    </row>
    <row r="11">
      <c r="A11" s="153" t="s">
        <v>337</v>
      </c>
      <c r="B11" s="154">
        <v>1.0</v>
      </c>
      <c r="C11" s="155">
        <v>2.0</v>
      </c>
      <c r="D11" s="155">
        <v>3.0</v>
      </c>
      <c r="E11" s="155">
        <v>4.0</v>
      </c>
      <c r="F11" s="155">
        <v>5.0</v>
      </c>
      <c r="G11" s="155">
        <v>6.0</v>
      </c>
      <c r="H11" s="155">
        <v>7.0</v>
      </c>
      <c r="I11" s="155">
        <v>8.0</v>
      </c>
      <c r="J11" s="155">
        <v>9.0</v>
      </c>
      <c r="K11" s="155">
        <v>10.0</v>
      </c>
      <c r="L11" s="155">
        <v>11.0</v>
      </c>
      <c r="M11" s="155">
        <v>12.0</v>
      </c>
      <c r="N11" s="155">
        <v>13.0</v>
      </c>
      <c r="O11" s="155">
        <v>14.0</v>
      </c>
      <c r="P11" s="155">
        <v>15.0</v>
      </c>
      <c r="Q11" s="154" t="s">
        <v>338</v>
      </c>
      <c r="R11" s="155" t="s">
        <v>339</v>
      </c>
      <c r="T11" s="23" t="s">
        <v>340</v>
      </c>
      <c r="U11" s="23" t="s">
        <v>341</v>
      </c>
      <c r="V11" s="23" t="s">
        <v>342</v>
      </c>
      <c r="W11" s="23" t="s">
        <v>343</v>
      </c>
      <c r="X11" s="156" t="s">
        <v>344</v>
      </c>
      <c r="Z11" s="23">
        <f>sum(R12:R53)</f>
        <v>283</v>
      </c>
      <c r="AB11" s="157" t="s">
        <v>345</v>
      </c>
      <c r="AC11" s="23" t="s">
        <v>346</v>
      </c>
    </row>
    <row r="12">
      <c r="A12" s="158" t="s">
        <v>15</v>
      </c>
      <c r="B12" s="159" t="s">
        <v>40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1" t="str">
        <f>(BanzukeTable!A2)</f>
        <v>0-0</v>
      </c>
      <c r="R12" s="23">
        <f t="shared" ref="R12:R53" si="3">sum(T12+U12)</f>
        <v>1</v>
      </c>
      <c r="S12" s="227" t="s">
        <v>364</v>
      </c>
      <c r="T12">
        <f t="shared" ref="T12:T13" si="4">countcoloredcells(B12:P12,A1)</f>
        <v>1</v>
      </c>
      <c r="U12">
        <f>COUNTIF(MASTER!bonuspoints2,"hakuho")</f>
        <v>0</v>
      </c>
      <c r="Z12" s="23">
        <f>sum(Q1:Q7)</f>
        <v>412</v>
      </c>
      <c r="AB12" s="163"/>
      <c r="AC12" s="164"/>
    </row>
    <row r="13">
      <c r="A13" s="167" t="s">
        <v>19</v>
      </c>
      <c r="B13" s="168"/>
      <c r="C13" s="160" t="s">
        <v>131</v>
      </c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9"/>
      <c r="Q13" s="170" t="str">
        <f>(BanzukeTable!E2)</f>
        <v>0-0</v>
      </c>
      <c r="R13" s="23">
        <f t="shared" si="3"/>
        <v>1</v>
      </c>
      <c r="S13" s="228" t="s">
        <v>365</v>
      </c>
      <c r="T13">
        <f t="shared" si="4"/>
        <v>1</v>
      </c>
      <c r="U13">
        <f>COUNTIF(MASTER!bonuspoints2,"kakuryu")</f>
        <v>0</v>
      </c>
      <c r="AB13" s="171"/>
      <c r="AC13" s="172"/>
    </row>
    <row r="14">
      <c r="A14" s="167" t="s">
        <v>27</v>
      </c>
      <c r="B14" s="168" t="s">
        <v>62</v>
      </c>
      <c r="C14" s="160"/>
      <c r="D14" s="160" t="s">
        <v>40</v>
      </c>
      <c r="E14" s="160" t="s">
        <v>48</v>
      </c>
      <c r="F14" s="160" t="s">
        <v>59</v>
      </c>
      <c r="G14" s="160" t="s">
        <v>36</v>
      </c>
      <c r="H14" s="160" t="s">
        <v>131</v>
      </c>
      <c r="I14" s="160" t="s">
        <v>45</v>
      </c>
      <c r="J14" s="160"/>
      <c r="K14" s="160" t="s">
        <v>100</v>
      </c>
      <c r="L14" s="160" t="s">
        <v>79</v>
      </c>
      <c r="M14" s="160" t="s">
        <v>72</v>
      </c>
      <c r="N14" s="160" t="s">
        <v>81</v>
      </c>
      <c r="O14" s="160"/>
      <c r="P14" s="229"/>
      <c r="Q14" s="170" t="str">
        <f>(BanzukeTable!A3)</f>
        <v>0-0</v>
      </c>
      <c r="R14" s="23">
        <f t="shared" si="3"/>
        <v>11</v>
      </c>
      <c r="S14" s="230" t="s">
        <v>369</v>
      </c>
      <c r="T14">
        <f>countcoloredcells(B14:P14,A4)</f>
        <v>11</v>
      </c>
      <c r="U14">
        <f>COUNTIF(MASTER!bonuspoints2,"takakeisho")</f>
        <v>0</v>
      </c>
      <c r="AB14" s="171"/>
      <c r="AC14" s="172"/>
    </row>
    <row r="15">
      <c r="A15" s="167" t="s">
        <v>236</v>
      </c>
      <c r="B15" s="168"/>
      <c r="C15" s="160"/>
      <c r="D15" s="160"/>
      <c r="E15" s="160" t="s">
        <v>40</v>
      </c>
      <c r="F15" s="160"/>
      <c r="G15" s="160" t="s">
        <v>59</v>
      </c>
      <c r="H15" s="160" t="s">
        <v>32</v>
      </c>
      <c r="I15" s="160"/>
      <c r="J15" s="160"/>
      <c r="K15" s="160"/>
      <c r="L15" s="160" t="s">
        <v>81</v>
      </c>
      <c r="M15" s="179"/>
      <c r="N15" s="160" t="s">
        <v>72</v>
      </c>
      <c r="O15" s="160"/>
      <c r="P15" s="169"/>
      <c r="Q15" s="170" t="str">
        <f>(BanzukeTable!E3)</f>
        <v>0-0</v>
      </c>
      <c r="R15" s="23">
        <f t="shared" si="3"/>
        <v>5</v>
      </c>
      <c r="S15" s="230" t="s">
        <v>369</v>
      </c>
      <c r="T15">
        <f t="shared" ref="T15:T16" si="5">countcoloredcells(B15:P15,A4)</f>
        <v>5</v>
      </c>
      <c r="U15">
        <f>COUNTIF(MASTER!bonuspoints2,"goeido")</f>
        <v>0</v>
      </c>
      <c r="AB15" s="174"/>
      <c r="AC15" s="172"/>
    </row>
    <row r="16">
      <c r="A16" s="167" t="s">
        <v>23</v>
      </c>
      <c r="B16" s="168" t="s">
        <v>36</v>
      </c>
      <c r="C16" s="160" t="s">
        <v>59</v>
      </c>
      <c r="D16" s="160" t="s">
        <v>45</v>
      </c>
      <c r="E16" s="160"/>
      <c r="F16" s="160"/>
      <c r="G16" s="160" t="s">
        <v>62</v>
      </c>
      <c r="H16" s="160" t="s">
        <v>57</v>
      </c>
      <c r="I16" s="160"/>
      <c r="J16" s="160" t="s">
        <v>40</v>
      </c>
      <c r="K16" s="160"/>
      <c r="L16" s="160"/>
      <c r="M16" s="160" t="s">
        <v>370</v>
      </c>
      <c r="N16" s="160" t="s">
        <v>79</v>
      </c>
      <c r="O16" s="160" t="s">
        <v>371</v>
      </c>
      <c r="P16" s="169" t="s">
        <v>88</v>
      </c>
      <c r="Q16" s="170" t="str">
        <f>(BanzukeTable!A4)</f>
        <v>0-0</v>
      </c>
      <c r="R16" s="23">
        <f t="shared" si="3"/>
        <v>10</v>
      </c>
      <c r="S16" s="231" t="s">
        <v>372</v>
      </c>
      <c r="T16">
        <f t="shared" si="5"/>
        <v>10</v>
      </c>
      <c r="U16">
        <f>COUNTIF(MASTER!bonuspoints2,"asanoyama")</f>
        <v>0</v>
      </c>
      <c r="AB16" s="171"/>
      <c r="AC16" s="172"/>
    </row>
    <row r="17">
      <c r="A17" s="167" t="s">
        <v>81</v>
      </c>
      <c r="B17" s="168"/>
      <c r="C17" s="160" t="s">
        <v>45</v>
      </c>
      <c r="D17" s="160" t="s">
        <v>373</v>
      </c>
      <c r="E17" s="160"/>
      <c r="F17" s="160"/>
      <c r="G17" s="160"/>
      <c r="H17" s="160" t="s">
        <v>62</v>
      </c>
      <c r="I17" s="160"/>
      <c r="J17" s="160"/>
      <c r="K17" s="160" t="s">
        <v>131</v>
      </c>
      <c r="L17" s="160"/>
      <c r="M17" s="160"/>
      <c r="N17" s="160"/>
      <c r="O17" s="160" t="s">
        <v>72</v>
      </c>
      <c r="P17" s="169" t="s">
        <v>90</v>
      </c>
      <c r="Q17" s="170" t="str">
        <f>(BanzukeTable!E4)</f>
        <v>0-0</v>
      </c>
      <c r="R17" s="23">
        <f t="shared" si="3"/>
        <v>6</v>
      </c>
      <c r="S17" s="232" t="s">
        <v>366</v>
      </c>
      <c r="T17">
        <f t="shared" ref="T17:T18" si="6">countcoloredcells(B17:P17,A3)</f>
        <v>6</v>
      </c>
      <c r="U17">
        <f>COUNTIF(MASTER!bonuspoints2,"takayasu")</f>
        <v>0</v>
      </c>
      <c r="AB17" s="171"/>
      <c r="AC17" s="172"/>
    </row>
    <row r="18">
      <c r="A18" s="167" t="s">
        <v>131</v>
      </c>
      <c r="B18" s="168"/>
      <c r="C18" s="160"/>
      <c r="D18" s="160"/>
      <c r="E18" s="160" t="s">
        <v>374</v>
      </c>
      <c r="F18" s="160" t="s">
        <v>62</v>
      </c>
      <c r="G18" s="160" t="s">
        <v>57</v>
      </c>
      <c r="H18" s="160"/>
      <c r="I18" s="160" t="s">
        <v>375</v>
      </c>
      <c r="J18" s="160" t="s">
        <v>48</v>
      </c>
      <c r="K18" s="160"/>
      <c r="L18" s="160"/>
      <c r="M18" s="179"/>
      <c r="N18" s="160"/>
      <c r="O18" s="160"/>
      <c r="P18" s="169"/>
      <c r="Q18" s="170" t="str">
        <f>(BanzukeTable!A5)</f>
        <v>0-0</v>
      </c>
      <c r="R18" s="23">
        <f t="shared" si="3"/>
        <v>5</v>
      </c>
      <c r="S18" s="230" t="s">
        <v>369</v>
      </c>
      <c r="T18">
        <f t="shared" si="6"/>
        <v>5</v>
      </c>
      <c r="U18">
        <f>COUNTIF(MASTER!bonuspoints2,"abi")</f>
        <v>0</v>
      </c>
      <c r="AB18" s="171"/>
      <c r="AC18" s="172"/>
    </row>
    <row r="19">
      <c r="A19" s="167" t="s">
        <v>40</v>
      </c>
      <c r="B19" s="168"/>
      <c r="C19" s="160" t="s">
        <v>62</v>
      </c>
      <c r="D19" s="160"/>
      <c r="E19" s="160"/>
      <c r="F19" s="160" t="s">
        <v>376</v>
      </c>
      <c r="G19" s="160"/>
      <c r="H19" s="160"/>
      <c r="I19" s="160" t="s">
        <v>59</v>
      </c>
      <c r="J19" s="160"/>
      <c r="K19" s="160"/>
      <c r="L19" s="160"/>
      <c r="M19" s="160" t="s">
        <v>79</v>
      </c>
      <c r="N19" s="160" t="s">
        <v>138</v>
      </c>
      <c r="O19" s="160" t="s">
        <v>100</v>
      </c>
      <c r="P19" s="169" t="s">
        <v>131</v>
      </c>
      <c r="Q19" s="170" t="str">
        <f>(BanzukeTable!E5)</f>
        <v/>
      </c>
      <c r="R19" s="23">
        <f t="shared" si="3"/>
        <v>7</v>
      </c>
      <c r="S19" s="227" t="s">
        <v>364</v>
      </c>
      <c r="T19">
        <f t="shared" ref="T19:T20" si="7">countcoloredcells(B19:P19,A1)</f>
        <v>7</v>
      </c>
      <c r="U19">
        <f>COUNTIF(MASTER!bonuspoints2,"daieisho")</f>
        <v>0</v>
      </c>
      <c r="AB19" s="171"/>
      <c r="AC19" s="172"/>
    </row>
    <row r="20">
      <c r="A20" s="167" t="s">
        <v>48</v>
      </c>
      <c r="B20" s="168" t="s">
        <v>377</v>
      </c>
      <c r="C20" s="160" t="s">
        <v>378</v>
      </c>
      <c r="D20" s="160" t="s">
        <v>379</v>
      </c>
      <c r="E20" s="160"/>
      <c r="F20" s="160" t="s">
        <v>380</v>
      </c>
      <c r="G20" s="160" t="s">
        <v>381</v>
      </c>
      <c r="H20" s="160" t="s">
        <v>59</v>
      </c>
      <c r="I20" s="160"/>
      <c r="J20" s="160"/>
      <c r="K20" s="160"/>
      <c r="L20" s="160" t="s">
        <v>62</v>
      </c>
      <c r="M20" s="179"/>
      <c r="N20" s="160" t="s">
        <v>45</v>
      </c>
      <c r="O20" s="160"/>
      <c r="P20" s="169" t="s">
        <v>138</v>
      </c>
      <c r="Q20" s="170" t="str">
        <f>(BanzukeTable!A6)</f>
        <v>0-0</v>
      </c>
      <c r="R20" s="23">
        <f t="shared" si="3"/>
        <v>9</v>
      </c>
      <c r="S20" s="228" t="s">
        <v>365</v>
      </c>
      <c r="T20">
        <f t="shared" si="7"/>
        <v>9</v>
      </c>
      <c r="U20">
        <f>COUNTIF(MASTER!bonuspoints2,"endo")</f>
        <v>0</v>
      </c>
      <c r="AB20" s="174"/>
      <c r="AC20" s="172"/>
    </row>
    <row r="21">
      <c r="A21" s="173" t="s">
        <v>62</v>
      </c>
      <c r="B21" s="168"/>
      <c r="C21" s="160"/>
      <c r="D21" s="160" t="s">
        <v>378</v>
      </c>
      <c r="E21" s="160" t="s">
        <v>377</v>
      </c>
      <c r="F21" s="160"/>
      <c r="G21" s="160"/>
      <c r="H21" s="160"/>
      <c r="I21" s="160" t="s">
        <v>36</v>
      </c>
      <c r="J21" s="160"/>
      <c r="K21" s="160"/>
      <c r="L21" s="160"/>
      <c r="M21" s="160" t="s">
        <v>45</v>
      </c>
      <c r="N21" s="160"/>
      <c r="O21" s="160"/>
      <c r="P21" s="169" t="s">
        <v>72</v>
      </c>
      <c r="Q21" s="170" t="str">
        <f>(BanzukeTable!E6)</f>
        <v>0-0</v>
      </c>
      <c r="R21" s="23">
        <f t="shared" si="3"/>
        <v>5</v>
      </c>
      <c r="S21" s="230" t="s">
        <v>369</v>
      </c>
      <c r="T21">
        <f>countcoloredcells(B21:P21,A4)</f>
        <v>5</v>
      </c>
      <c r="U21">
        <f>COUNTIF(MASTER!bonuspoints2,"myogiryu")</f>
        <v>0</v>
      </c>
      <c r="AB21" s="171"/>
      <c r="AC21" s="172"/>
    </row>
    <row r="22">
      <c r="A22" s="158" t="s">
        <v>57</v>
      </c>
      <c r="B22" s="168" t="s">
        <v>379</v>
      </c>
      <c r="C22" s="160" t="s">
        <v>382</v>
      </c>
      <c r="D22" s="160" t="s">
        <v>377</v>
      </c>
      <c r="E22" s="160" t="s">
        <v>15</v>
      </c>
      <c r="F22" s="160"/>
      <c r="G22" s="160"/>
      <c r="H22" s="160"/>
      <c r="I22" s="160" t="s">
        <v>381</v>
      </c>
      <c r="J22" s="160" t="s">
        <v>62</v>
      </c>
      <c r="K22" s="178" t="s">
        <v>383</v>
      </c>
      <c r="L22" s="160" t="s">
        <v>59</v>
      </c>
      <c r="M22" s="160" t="s">
        <v>48</v>
      </c>
      <c r="N22" s="160" t="s">
        <v>36</v>
      </c>
      <c r="O22" s="160" t="s">
        <v>84</v>
      </c>
      <c r="P22" s="169"/>
      <c r="Q22" s="161" t="str">
        <f>(BanzukeTable!A7)</f>
        <v>0-0</v>
      </c>
      <c r="R22" s="23">
        <f t="shared" si="3"/>
        <v>11</v>
      </c>
      <c r="S22" s="232" t="s">
        <v>366</v>
      </c>
      <c r="T22">
        <f>countcoloredcells(B22:P22,A3)</f>
        <v>11</v>
      </c>
      <c r="U22">
        <f>COUNTIF(MASTER!bonuspoints2,"hokutofuji")</f>
        <v>0</v>
      </c>
      <c r="AB22" s="171"/>
      <c r="AC22" s="172"/>
    </row>
    <row r="23">
      <c r="A23" s="158" t="s">
        <v>36</v>
      </c>
      <c r="B23" s="168"/>
      <c r="C23" s="160" t="s">
        <v>379</v>
      </c>
      <c r="D23" s="160"/>
      <c r="E23" s="160" t="s">
        <v>59</v>
      </c>
      <c r="F23" s="160" t="s">
        <v>19</v>
      </c>
      <c r="G23" s="160"/>
      <c r="H23" s="160" t="s">
        <v>383</v>
      </c>
      <c r="I23" s="160"/>
      <c r="J23" s="160" t="s">
        <v>45</v>
      </c>
      <c r="K23" s="160" t="s">
        <v>48</v>
      </c>
      <c r="L23" s="160" t="s">
        <v>384</v>
      </c>
      <c r="M23" s="175"/>
      <c r="N23" s="160"/>
      <c r="O23" s="160"/>
      <c r="P23" s="229"/>
      <c r="Q23" s="161" t="str">
        <f>(BanzukeTable!E7)</f>
        <v>0-0</v>
      </c>
      <c r="R23" s="23">
        <f t="shared" si="3"/>
        <v>7</v>
      </c>
      <c r="S23" s="231" t="s">
        <v>372</v>
      </c>
      <c r="T23">
        <f>countcoloredcells(B23:P23,A5)</f>
        <v>7</v>
      </c>
      <c r="U23">
        <f>COUNTIF(MASTER!bonuspoints2,"mitakeumi")</f>
        <v>0</v>
      </c>
      <c r="AB23" s="171"/>
      <c r="AC23" s="172"/>
    </row>
    <row r="24">
      <c r="A24" s="158" t="s">
        <v>59</v>
      </c>
      <c r="B24" s="168" t="s">
        <v>381</v>
      </c>
      <c r="C24" s="160"/>
      <c r="D24" s="160" t="s">
        <v>384</v>
      </c>
      <c r="E24" s="160"/>
      <c r="F24" s="160"/>
      <c r="G24" s="160"/>
      <c r="H24" s="160"/>
      <c r="I24" s="160"/>
      <c r="J24" s="160"/>
      <c r="K24" s="160" t="s">
        <v>62</v>
      </c>
      <c r="L24" s="160"/>
      <c r="M24" s="160"/>
      <c r="N24" s="160"/>
      <c r="O24" s="160" t="s">
        <v>107</v>
      </c>
      <c r="P24" s="169" t="s">
        <v>125</v>
      </c>
      <c r="Q24" s="161" t="str">
        <f>(BanzukeTable!A8)</f>
        <v>0-0</v>
      </c>
      <c r="R24" s="23">
        <f t="shared" si="3"/>
        <v>5</v>
      </c>
      <c r="S24" s="231" t="s">
        <v>372</v>
      </c>
      <c r="T24">
        <f>countcoloredcells(B24:P24,A5)</f>
        <v>5</v>
      </c>
      <c r="U24">
        <f>COUNTIF(MASTER!bonuspoints2,"tamawashi")</f>
        <v>0</v>
      </c>
      <c r="AB24" s="176"/>
      <c r="AC24" s="172"/>
    </row>
    <row r="25">
      <c r="A25" s="158" t="s">
        <v>157</v>
      </c>
      <c r="B25" s="168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9"/>
      <c r="Q25" s="161" t="str">
        <f>(BanzukeTable!E8)</f>
        <v>0-0</v>
      </c>
      <c r="R25" s="23">
        <f t="shared" si="3"/>
        <v>0</v>
      </c>
      <c r="T25">
        <f>countcoloredcells(B25:P25,A2)</f>
        <v>0</v>
      </c>
      <c r="U25">
        <f>COUNTIF(MASTER!bonuspoints2,"kotoyuki")</f>
        <v>0</v>
      </c>
      <c r="AB25" s="171"/>
      <c r="AC25" s="172"/>
    </row>
    <row r="26">
      <c r="A26" s="158" t="s">
        <v>45</v>
      </c>
      <c r="B26" s="168" t="s">
        <v>384</v>
      </c>
      <c r="C26" s="160"/>
      <c r="D26" s="160"/>
      <c r="E26" s="160" t="s">
        <v>122</v>
      </c>
      <c r="F26" s="160" t="s">
        <v>379</v>
      </c>
      <c r="G26" s="160" t="s">
        <v>383</v>
      </c>
      <c r="H26" s="160" t="s">
        <v>100</v>
      </c>
      <c r="I26" s="160"/>
      <c r="J26" s="160"/>
      <c r="K26" s="160" t="s">
        <v>102</v>
      </c>
      <c r="L26" s="160" t="s">
        <v>72</v>
      </c>
      <c r="M26" s="160"/>
      <c r="N26" s="160"/>
      <c r="O26" s="160"/>
      <c r="P26" s="169" t="s">
        <v>176</v>
      </c>
      <c r="Q26" s="161" t="str">
        <f>(BanzukeTable!A9)</f>
        <v>0-0</v>
      </c>
      <c r="R26" s="23">
        <f t="shared" si="3"/>
        <v>8</v>
      </c>
      <c r="S26" s="227" t="s">
        <v>364</v>
      </c>
      <c r="T26">
        <f>countcoloredcells(B26:P26,A1)</f>
        <v>8</v>
      </c>
      <c r="U26">
        <f>COUNTIF(MASTER!bonuspoints2,"okinoumi")</f>
        <v>0</v>
      </c>
      <c r="AB26" s="171"/>
      <c r="AC26" s="172"/>
    </row>
    <row r="27">
      <c r="A27" s="177" t="s">
        <v>32</v>
      </c>
      <c r="B27" s="168" t="s">
        <v>122</v>
      </c>
      <c r="C27" s="160" t="s">
        <v>100</v>
      </c>
      <c r="D27" s="160" t="s">
        <v>79</v>
      </c>
      <c r="E27" s="160" t="s">
        <v>381</v>
      </c>
      <c r="F27" s="160" t="s">
        <v>57</v>
      </c>
      <c r="G27" s="160" t="s">
        <v>72</v>
      </c>
      <c r="H27" s="160"/>
      <c r="I27" s="160" t="s">
        <v>380</v>
      </c>
      <c r="J27" s="160" t="s">
        <v>382</v>
      </c>
      <c r="K27" s="160" t="s">
        <v>138</v>
      </c>
      <c r="L27" s="160" t="s">
        <v>383</v>
      </c>
      <c r="M27" s="160" t="s">
        <v>384</v>
      </c>
      <c r="N27" s="160" t="s">
        <v>84</v>
      </c>
      <c r="O27" s="160"/>
      <c r="P27" s="169" t="s">
        <v>36</v>
      </c>
      <c r="Q27" s="161" t="str">
        <f>(BanzukeTable!E9)</f>
        <v>0-0</v>
      </c>
      <c r="R27" s="23">
        <f t="shared" si="3"/>
        <v>13</v>
      </c>
      <c r="S27" s="230" t="s">
        <v>369</v>
      </c>
      <c r="T27">
        <f t="shared" ref="T27:T28" si="8">countcoloredcells(B27:P27,A4)</f>
        <v>13</v>
      </c>
      <c r="U27">
        <f>COUNTIF(MASTER!bonuspoints2,"shodai")</f>
        <v>0</v>
      </c>
      <c r="AB27" s="174"/>
      <c r="AC27" s="172"/>
    </row>
    <row r="28">
      <c r="A28" s="158" t="s">
        <v>122</v>
      </c>
      <c r="B28" s="168"/>
      <c r="C28" s="160"/>
      <c r="D28" s="160"/>
      <c r="E28" s="160"/>
      <c r="F28" s="160" t="s">
        <v>72</v>
      </c>
      <c r="G28" s="160"/>
      <c r="H28" s="160"/>
      <c r="I28" s="160"/>
      <c r="J28" s="160"/>
      <c r="K28" s="160"/>
      <c r="L28" s="178"/>
      <c r="M28" s="179"/>
      <c r="N28" s="160"/>
      <c r="O28" s="160"/>
      <c r="P28" s="169"/>
      <c r="Q28" s="161" t="str">
        <f>(BanzukeTable!A10)</f>
        <v>0-0</v>
      </c>
      <c r="R28" s="23">
        <f t="shared" si="3"/>
        <v>1</v>
      </c>
      <c r="S28" s="231" t="s">
        <v>372</v>
      </c>
      <c r="T28">
        <f t="shared" si="8"/>
        <v>1</v>
      </c>
      <c r="U28">
        <f>COUNTIF(MASTER!bonuspoints2,"meisei")</f>
        <v>0</v>
      </c>
      <c r="AB28" s="171"/>
      <c r="AC28" s="172"/>
    </row>
    <row r="29">
      <c r="A29" s="158" t="s">
        <v>100</v>
      </c>
      <c r="B29" s="168" t="s">
        <v>79</v>
      </c>
      <c r="C29" s="160"/>
      <c r="D29" s="160" t="s">
        <v>122</v>
      </c>
      <c r="E29" s="160"/>
      <c r="F29" s="160" t="s">
        <v>138</v>
      </c>
      <c r="G29" s="160"/>
      <c r="H29" s="160"/>
      <c r="I29" s="160" t="s">
        <v>48</v>
      </c>
      <c r="J29" s="160" t="s">
        <v>379</v>
      </c>
      <c r="K29" s="160"/>
      <c r="L29" s="160" t="s">
        <v>380</v>
      </c>
      <c r="M29" s="160" t="s">
        <v>381</v>
      </c>
      <c r="N29" s="160" t="s">
        <v>384</v>
      </c>
      <c r="O29" s="160"/>
      <c r="P29" s="169"/>
      <c r="Q29" s="161" t="str">
        <f>(BanzukeTable!E10)</f>
        <v>0-0</v>
      </c>
      <c r="R29" s="23">
        <f t="shared" si="3"/>
        <v>8</v>
      </c>
      <c r="S29" s="232" t="s">
        <v>366</v>
      </c>
      <c r="T29">
        <f>countcoloredcells(B29:P29,A3)</f>
        <v>8</v>
      </c>
      <c r="U29">
        <f>COUNTIF(MASTER!bonuspoints2,"enho")</f>
        <v>0</v>
      </c>
      <c r="AB29" s="171"/>
      <c r="AC29" s="172"/>
    </row>
    <row r="30">
      <c r="A30" s="177" t="s">
        <v>79</v>
      </c>
      <c r="B30" s="168"/>
      <c r="C30" s="160" t="s">
        <v>122</v>
      </c>
      <c r="D30" s="160"/>
      <c r="E30" s="160" t="s">
        <v>138</v>
      </c>
      <c r="F30" s="160"/>
      <c r="G30" s="160"/>
      <c r="H30" s="160"/>
      <c r="I30" s="160" t="s">
        <v>105</v>
      </c>
      <c r="J30" s="160" t="s">
        <v>381</v>
      </c>
      <c r="K30" s="160" t="s">
        <v>379</v>
      </c>
      <c r="L30" s="160"/>
      <c r="M30" s="160"/>
      <c r="N30" s="160"/>
      <c r="O30" s="160" t="s">
        <v>384</v>
      </c>
      <c r="P30" s="169" t="s">
        <v>135</v>
      </c>
      <c r="Q30" s="161" t="str">
        <f>(BanzukeTable!A11)</f>
        <v>0-0</v>
      </c>
      <c r="R30" s="23">
        <f t="shared" si="3"/>
        <v>7</v>
      </c>
      <c r="S30" s="227" t="s">
        <v>364</v>
      </c>
      <c r="T30">
        <f t="shared" ref="T30:T31" si="9">countcoloredcells(B30:P30,A1)</f>
        <v>7</v>
      </c>
      <c r="U30">
        <f>COUNTIF(MASTER!bonuspoints2,"takarafuji")</f>
        <v>0</v>
      </c>
      <c r="AB30" s="171"/>
      <c r="AC30" s="172"/>
    </row>
    <row r="31">
      <c r="A31" s="158" t="s">
        <v>72</v>
      </c>
      <c r="B31" s="168"/>
      <c r="C31" s="160" t="s">
        <v>102</v>
      </c>
      <c r="D31" s="160"/>
      <c r="E31" s="160" t="s">
        <v>100</v>
      </c>
      <c r="F31" s="160"/>
      <c r="G31" s="160"/>
      <c r="H31" s="233" t="s">
        <v>79</v>
      </c>
      <c r="I31" s="160"/>
      <c r="J31" s="160" t="s">
        <v>59</v>
      </c>
      <c r="K31" s="160" t="s">
        <v>380</v>
      </c>
      <c r="L31" s="160"/>
      <c r="M31" s="160"/>
      <c r="N31" s="160"/>
      <c r="O31" s="160"/>
      <c r="P31" s="169"/>
      <c r="Q31" s="161" t="str">
        <f>(BanzukeTable!E11)</f>
        <v>0-0</v>
      </c>
      <c r="R31" s="23">
        <f t="shared" si="3"/>
        <v>5</v>
      </c>
      <c r="S31" s="228" t="s">
        <v>365</v>
      </c>
      <c r="T31">
        <f t="shared" si="9"/>
        <v>5</v>
      </c>
      <c r="U31">
        <f>COUNTIF(MASTER!bonuspoints2,"tochinoshin")</f>
        <v>0</v>
      </c>
      <c r="AB31" s="174"/>
      <c r="AC31" s="172"/>
    </row>
    <row r="32">
      <c r="A32" s="158" t="s">
        <v>138</v>
      </c>
      <c r="B32" s="168" t="s">
        <v>72</v>
      </c>
      <c r="C32" s="160"/>
      <c r="D32" s="160" t="s">
        <v>102</v>
      </c>
      <c r="E32" s="160"/>
      <c r="F32" s="160"/>
      <c r="G32" s="160" t="s">
        <v>122</v>
      </c>
      <c r="H32" s="160"/>
      <c r="I32" s="160" t="s">
        <v>111</v>
      </c>
      <c r="J32" s="160" t="s">
        <v>54</v>
      </c>
      <c r="K32" s="160"/>
      <c r="L32" s="160"/>
      <c r="M32" s="160" t="s">
        <v>36</v>
      </c>
      <c r="N32" s="160"/>
      <c r="O32" s="160" t="s">
        <v>379</v>
      </c>
      <c r="P32" s="169"/>
      <c r="Q32" s="161" t="str">
        <f>(BanzukeTable!A12)</f>
        <v>0-0</v>
      </c>
      <c r="R32" s="23">
        <f t="shared" si="3"/>
        <v>7</v>
      </c>
      <c r="S32" s="227" t="s">
        <v>364</v>
      </c>
      <c r="T32">
        <f>countcoloredcells(B32:P32,A1)</f>
        <v>7</v>
      </c>
      <c r="U32">
        <f>COUNTIF(MASTER!bonuspoints2,"shohozan")</f>
        <v>0</v>
      </c>
      <c r="AB32" s="171"/>
      <c r="AC32" s="172"/>
    </row>
    <row r="33">
      <c r="A33" s="158" t="s">
        <v>102</v>
      </c>
      <c r="B33" s="168"/>
      <c r="C33" s="160"/>
      <c r="D33" s="160"/>
      <c r="E33" s="160"/>
      <c r="F33" s="160" t="s">
        <v>79</v>
      </c>
      <c r="G33" s="160" t="s">
        <v>100</v>
      </c>
      <c r="H33" s="160" t="s">
        <v>122</v>
      </c>
      <c r="I33" s="160" t="s">
        <v>125</v>
      </c>
      <c r="J33" s="160"/>
      <c r="K33" s="160"/>
      <c r="L33" s="160" t="s">
        <v>119</v>
      </c>
      <c r="M33" s="160" t="s">
        <v>59</v>
      </c>
      <c r="N33" s="160" t="s">
        <v>107</v>
      </c>
      <c r="O33" s="160" t="s">
        <v>62</v>
      </c>
      <c r="P33" s="169" t="s">
        <v>379</v>
      </c>
      <c r="Q33" s="161" t="str">
        <f>(BanzukeTable!E12)</f>
        <v>0-0</v>
      </c>
      <c r="R33" s="23">
        <f t="shared" si="3"/>
        <v>9</v>
      </c>
      <c r="S33" s="232" t="s">
        <v>366</v>
      </c>
      <c r="T33">
        <f>countcoloredcells(B33:P33,A3)</f>
        <v>9</v>
      </c>
      <c r="U33">
        <f>COUNTIF(MASTER!bonuspoints2,"onosho")</f>
        <v>0</v>
      </c>
      <c r="AB33" s="171"/>
      <c r="AC33" s="172"/>
    </row>
    <row r="34">
      <c r="A34" s="158" t="s">
        <v>90</v>
      </c>
      <c r="B34" s="168" t="s">
        <v>102</v>
      </c>
      <c r="C34" s="160" t="s">
        <v>138</v>
      </c>
      <c r="D34" s="160"/>
      <c r="E34" s="160"/>
      <c r="F34" s="160" t="s">
        <v>88</v>
      </c>
      <c r="G34" s="160" t="s">
        <v>79</v>
      </c>
      <c r="H34" s="160"/>
      <c r="I34" s="160"/>
      <c r="J34" s="160"/>
      <c r="K34" s="160"/>
      <c r="L34" s="160"/>
      <c r="M34" s="179"/>
      <c r="N34" s="160"/>
      <c r="O34" s="160"/>
      <c r="P34" s="169"/>
      <c r="Q34" s="161" t="str">
        <f>(BanzukeTable!A13)</f>
        <v>0-0</v>
      </c>
      <c r="R34" s="23">
        <f t="shared" si="3"/>
        <v>4</v>
      </c>
      <c r="S34" s="232" t="s">
        <v>366</v>
      </c>
      <c r="T34">
        <f>countcoloredcells(B34:P34,A3)</f>
        <v>4</v>
      </c>
      <c r="U34">
        <f>COUNTIF(MASTER!bonuspoints2,"aoiyama")</f>
        <v>0</v>
      </c>
      <c r="AB34" s="171"/>
      <c r="AC34" s="172"/>
    </row>
    <row r="35">
      <c r="A35" s="158" t="s">
        <v>88</v>
      </c>
      <c r="B35" s="168"/>
      <c r="C35" s="160" t="s">
        <v>70</v>
      </c>
      <c r="D35" s="160" t="s">
        <v>72</v>
      </c>
      <c r="E35" s="160" t="s">
        <v>102</v>
      </c>
      <c r="F35" s="160"/>
      <c r="G35" s="160"/>
      <c r="H35" s="160" t="s">
        <v>138</v>
      </c>
      <c r="I35" s="160" t="s">
        <v>122</v>
      </c>
      <c r="J35" s="160" t="s">
        <v>111</v>
      </c>
      <c r="K35" s="160"/>
      <c r="L35" s="160" t="s">
        <v>180</v>
      </c>
      <c r="M35" s="160" t="s">
        <v>163</v>
      </c>
      <c r="N35" s="160" t="s">
        <v>65</v>
      </c>
      <c r="O35" s="160" t="s">
        <v>36</v>
      </c>
      <c r="P35" s="169"/>
      <c r="Q35" s="161" t="str">
        <f>(BanzukeTable!E13)</f>
        <v>0-0</v>
      </c>
      <c r="R35" s="23">
        <f t="shared" si="3"/>
        <v>10</v>
      </c>
      <c r="S35" s="228" t="s">
        <v>365</v>
      </c>
      <c r="T35">
        <f>countcoloredcells(B35:P35,A2)</f>
        <v>10</v>
      </c>
      <c r="U35">
        <f>COUNTIF(MASTER!bonuspoints2,"ryuden")</f>
        <v>0</v>
      </c>
      <c r="AB35" s="171"/>
      <c r="AC35" s="172"/>
    </row>
    <row r="36">
      <c r="A36" s="177" t="s">
        <v>54</v>
      </c>
      <c r="B36" s="168" t="s">
        <v>88</v>
      </c>
      <c r="C36" s="160"/>
      <c r="D36" s="160" t="s">
        <v>90</v>
      </c>
      <c r="E36" s="160"/>
      <c r="F36" s="160"/>
      <c r="G36" s="160"/>
      <c r="H36" s="160" t="s">
        <v>84</v>
      </c>
      <c r="I36" s="160" t="s">
        <v>72</v>
      </c>
      <c r="J36" s="160"/>
      <c r="K36" s="160" t="s">
        <v>119</v>
      </c>
      <c r="L36" s="160"/>
      <c r="M36" s="160" t="s">
        <v>114</v>
      </c>
      <c r="N36" s="160"/>
      <c r="O36" s="160" t="s">
        <v>45</v>
      </c>
      <c r="P36" s="169"/>
      <c r="Q36" s="161" t="str">
        <f>(BanzukeTable!A14)</f>
        <v>0-0</v>
      </c>
      <c r="R36" s="23">
        <f t="shared" si="3"/>
        <v>7</v>
      </c>
      <c r="S36" s="230" t="s">
        <v>369</v>
      </c>
      <c r="T36">
        <f t="shared" ref="T36:T37" si="10">countcoloredcells(B36:P36,A4)</f>
        <v>7</v>
      </c>
      <c r="U36">
        <f>COUNTIF(MASTER!bonuspoints2,"takanosho")</f>
        <v>0</v>
      </c>
      <c r="AB36" s="171"/>
      <c r="AC36" s="172"/>
    </row>
    <row r="37">
      <c r="A37" s="158" t="s">
        <v>70</v>
      </c>
      <c r="B37" s="168" t="s">
        <v>105</v>
      </c>
      <c r="C37" s="160"/>
      <c r="D37" s="160" t="s">
        <v>125</v>
      </c>
      <c r="E37" s="160" t="s">
        <v>90</v>
      </c>
      <c r="F37" s="160" t="s">
        <v>54</v>
      </c>
      <c r="G37" s="160" t="s">
        <v>84</v>
      </c>
      <c r="H37" s="160"/>
      <c r="I37" s="160" t="s">
        <v>65</v>
      </c>
      <c r="J37" s="160" t="s">
        <v>102</v>
      </c>
      <c r="K37" s="160" t="s">
        <v>176</v>
      </c>
      <c r="L37" s="160" t="s">
        <v>138</v>
      </c>
      <c r="M37" s="160"/>
      <c r="N37" s="160"/>
      <c r="O37" s="160" t="s">
        <v>48</v>
      </c>
      <c r="P37" s="169" t="s">
        <v>57</v>
      </c>
      <c r="Q37" s="161" t="str">
        <f>(BanzukeTable!E14)</f>
        <v>0-0</v>
      </c>
      <c r="R37" s="23">
        <f t="shared" si="3"/>
        <v>11</v>
      </c>
      <c r="S37" s="231" t="s">
        <v>372</v>
      </c>
      <c r="T37">
        <f t="shared" si="10"/>
        <v>11</v>
      </c>
      <c r="U37">
        <f>COUNTIF(MASTER!bonuspoints2,"yutakayama")</f>
        <v>0</v>
      </c>
      <c r="AB37" s="171"/>
      <c r="AC37" s="172"/>
    </row>
    <row r="38">
      <c r="A38" s="158" t="s">
        <v>105</v>
      </c>
      <c r="B38" s="168"/>
      <c r="C38" s="160" t="s">
        <v>54</v>
      </c>
      <c r="D38" s="160" t="s">
        <v>111</v>
      </c>
      <c r="E38" s="160"/>
      <c r="F38" s="160"/>
      <c r="G38" s="160" t="s">
        <v>88</v>
      </c>
      <c r="H38" s="160" t="s">
        <v>90</v>
      </c>
      <c r="I38" s="160"/>
      <c r="J38" s="160" t="s">
        <v>176</v>
      </c>
      <c r="K38" s="160" t="s">
        <v>114</v>
      </c>
      <c r="L38" s="160"/>
      <c r="M38" s="160"/>
      <c r="N38" s="160"/>
      <c r="O38" s="160"/>
      <c r="P38" s="169" t="s">
        <v>107</v>
      </c>
      <c r="Q38" s="161" t="str">
        <f>(BanzukeTable!A15)</f>
        <v>0-0</v>
      </c>
      <c r="R38" s="23">
        <f t="shared" si="3"/>
        <v>7</v>
      </c>
      <c r="S38" s="230" t="s">
        <v>369</v>
      </c>
      <c r="T38">
        <f t="shared" ref="T38:T39" si="11">countcoloredcells(B38:P38,A4)</f>
        <v>7</v>
      </c>
      <c r="U38">
        <f>COUNTIF(MASTER!bonuspoints2,"sadanoumi")</f>
        <v>0</v>
      </c>
      <c r="AB38" s="171"/>
      <c r="AC38" s="172"/>
    </row>
    <row r="39">
      <c r="A39" s="158" t="s">
        <v>125</v>
      </c>
      <c r="B39" s="168"/>
      <c r="C39" s="160"/>
      <c r="D39" s="160"/>
      <c r="E39" s="160" t="s">
        <v>54</v>
      </c>
      <c r="F39" s="160" t="s">
        <v>105</v>
      </c>
      <c r="G39" s="160"/>
      <c r="H39" s="160"/>
      <c r="I39" s="160"/>
      <c r="J39" s="160" t="s">
        <v>90</v>
      </c>
      <c r="K39" s="160" t="s">
        <v>88</v>
      </c>
      <c r="L39" s="160" t="s">
        <v>150</v>
      </c>
      <c r="M39" s="160" t="s">
        <v>119</v>
      </c>
      <c r="N39" s="160"/>
      <c r="O39" s="160"/>
      <c r="P39" s="169"/>
      <c r="Q39" s="161" t="str">
        <f>(BanzukeTable!E15)</f>
        <v>0-0</v>
      </c>
      <c r="R39" s="23">
        <f t="shared" si="3"/>
        <v>6</v>
      </c>
      <c r="S39" s="231" t="s">
        <v>372</v>
      </c>
      <c r="T39">
        <f t="shared" si="11"/>
        <v>6</v>
      </c>
      <c r="U39">
        <f>COUNTIF(MASTER!bonuspoints2,"ishiura")</f>
        <v>0</v>
      </c>
      <c r="AB39" s="171"/>
      <c r="AC39" s="172"/>
    </row>
    <row r="40">
      <c r="A40" s="158" t="s">
        <v>111</v>
      </c>
      <c r="B40" s="168" t="s">
        <v>125</v>
      </c>
      <c r="C40" s="160"/>
      <c r="D40" s="160"/>
      <c r="E40" s="160"/>
      <c r="F40" s="160"/>
      <c r="G40" s="160" t="s">
        <v>54</v>
      </c>
      <c r="H40" s="160" t="s">
        <v>70</v>
      </c>
      <c r="I40" s="160"/>
      <c r="J40" s="160"/>
      <c r="K40" s="160"/>
      <c r="L40" s="160" t="s">
        <v>107</v>
      </c>
      <c r="M40" s="160" t="s">
        <v>90</v>
      </c>
      <c r="N40" s="160" t="s">
        <v>238</v>
      </c>
      <c r="O40" s="160" t="s">
        <v>135</v>
      </c>
      <c r="P40" s="229"/>
      <c r="Q40" s="161" t="str">
        <f>(BanzukeTable!A16)</f>
        <v>0-0</v>
      </c>
      <c r="R40" s="23">
        <f t="shared" si="3"/>
        <v>7</v>
      </c>
      <c r="S40" s="227" t="s">
        <v>364</v>
      </c>
      <c r="T40">
        <f t="shared" ref="T40:T41" si="12">countcoloredcells(B40:P40,A1)</f>
        <v>7</v>
      </c>
      <c r="U40">
        <f>COUNTIF(MASTER!bonuspoints2,"chiyotairyu")</f>
        <v>0</v>
      </c>
      <c r="AB40" s="171"/>
      <c r="AC40" s="172"/>
    </row>
    <row r="41">
      <c r="A41" s="158" t="s">
        <v>84</v>
      </c>
      <c r="B41" s="168" t="s">
        <v>180</v>
      </c>
      <c r="C41" s="160" t="s">
        <v>125</v>
      </c>
      <c r="D41" s="160" t="s">
        <v>163</v>
      </c>
      <c r="E41" s="160" t="s">
        <v>105</v>
      </c>
      <c r="F41" s="160" t="s">
        <v>111</v>
      </c>
      <c r="G41" s="178"/>
      <c r="H41" s="160"/>
      <c r="I41" s="160" t="s">
        <v>90</v>
      </c>
      <c r="J41" s="160" t="s">
        <v>135</v>
      </c>
      <c r="K41" s="160" t="s">
        <v>107</v>
      </c>
      <c r="L41" s="160" t="s">
        <v>238</v>
      </c>
      <c r="M41" s="179"/>
      <c r="N41" s="160"/>
      <c r="O41" s="160"/>
      <c r="P41" s="169" t="s">
        <v>100</v>
      </c>
      <c r="Q41" s="161" t="str">
        <f>(BanzukeTable!E16)</f>
        <v>0-0</v>
      </c>
      <c r="R41" s="23">
        <f t="shared" si="3"/>
        <v>10</v>
      </c>
      <c r="S41" s="228" t="s">
        <v>365</v>
      </c>
      <c r="T41">
        <f t="shared" si="12"/>
        <v>10</v>
      </c>
      <c r="U41">
        <f>COUNTIF(MASTER!bonuspoints2,"kagayaki")</f>
        <v>0</v>
      </c>
      <c r="AB41" s="171"/>
      <c r="AC41" s="172"/>
    </row>
    <row r="42">
      <c r="A42" s="177" t="s">
        <v>180</v>
      </c>
      <c r="B42" s="168"/>
      <c r="C42" s="160" t="s">
        <v>111</v>
      </c>
      <c r="D42" s="160"/>
      <c r="E42" s="160" t="s">
        <v>163</v>
      </c>
      <c r="F42" s="160"/>
      <c r="G42" s="160"/>
      <c r="H42" s="160" t="s">
        <v>125</v>
      </c>
      <c r="I42" s="160"/>
      <c r="J42" s="160"/>
      <c r="K42" s="160"/>
      <c r="L42" s="160"/>
      <c r="M42" s="160" t="s">
        <v>107</v>
      </c>
      <c r="N42" s="160"/>
      <c r="O42" s="160" t="s">
        <v>105</v>
      </c>
      <c r="P42" s="169" t="s">
        <v>65</v>
      </c>
      <c r="Q42" s="161" t="str">
        <f>(BanzukeTable!A17)</f>
        <v>0-0</v>
      </c>
      <c r="R42" s="23">
        <f t="shared" si="3"/>
        <v>6</v>
      </c>
      <c r="S42" s="228" t="s">
        <v>365</v>
      </c>
      <c r="T42">
        <f>countcoloredcells(B42:P42,A2)</f>
        <v>6</v>
      </c>
      <c r="U42">
        <f>COUNTIF(MASTER!bonuspoints2,"tsurugisho")</f>
        <v>0</v>
      </c>
      <c r="AB42" s="174"/>
      <c r="AC42" s="172"/>
    </row>
    <row r="43">
      <c r="A43" s="158" t="s">
        <v>163</v>
      </c>
      <c r="B43" s="168" t="s">
        <v>114</v>
      </c>
      <c r="C43" s="160"/>
      <c r="D43" s="160"/>
      <c r="E43" s="160"/>
      <c r="F43" s="160"/>
      <c r="G43" s="160" t="s">
        <v>125</v>
      </c>
      <c r="H43" s="160" t="s">
        <v>135</v>
      </c>
      <c r="I43" s="160" t="s">
        <v>176</v>
      </c>
      <c r="J43" s="160"/>
      <c r="K43" s="160"/>
      <c r="L43" s="160" t="s">
        <v>105</v>
      </c>
      <c r="M43" s="160"/>
      <c r="N43" s="160" t="s">
        <v>54</v>
      </c>
      <c r="O43" s="160"/>
      <c r="P43" s="169"/>
      <c r="Q43" s="161" t="str">
        <f>(BanzukeTable!E17)</f>
        <v>0-0</v>
      </c>
      <c r="R43" s="23">
        <f t="shared" si="3"/>
        <v>5</v>
      </c>
      <c r="S43" s="227" t="s">
        <v>364</v>
      </c>
      <c r="T43">
        <f>countcoloredcells(B43:P43,A1)</f>
        <v>5</v>
      </c>
      <c r="U43">
        <f>COUNTIF(MASTER!bonuspoints2,"chiyomaru")</f>
        <v>0</v>
      </c>
      <c r="AB43" s="171"/>
      <c r="AC43" s="172"/>
    </row>
    <row r="44">
      <c r="A44" s="158" t="s">
        <v>114</v>
      </c>
      <c r="B44" s="168"/>
      <c r="C44" s="160"/>
      <c r="D44" s="160" t="s">
        <v>180</v>
      </c>
      <c r="E44" s="160" t="s">
        <v>111</v>
      </c>
      <c r="F44" s="160" t="s">
        <v>119</v>
      </c>
      <c r="G44" s="160"/>
      <c r="H44" s="160" t="s">
        <v>150</v>
      </c>
      <c r="I44" s="160"/>
      <c r="J44" s="160"/>
      <c r="K44" s="160"/>
      <c r="L44" s="160"/>
      <c r="M44" s="179"/>
      <c r="N44" s="160" t="s">
        <v>62</v>
      </c>
      <c r="O44" s="160" t="s">
        <v>125</v>
      </c>
      <c r="P44" s="169" t="s">
        <v>238</v>
      </c>
      <c r="Q44" s="161" t="str">
        <f>(BanzukeTable!A18)</f>
        <v>0-0</v>
      </c>
      <c r="R44" s="23">
        <f t="shared" si="3"/>
        <v>7</v>
      </c>
      <c r="S44" s="231" t="s">
        <v>372</v>
      </c>
      <c r="T44">
        <f>countcoloredcells(B44:P44,A5)</f>
        <v>7</v>
      </c>
      <c r="U44">
        <f>COUNTIF(MASTER!bonuspoints2,"kotoshogiku")</f>
        <v>0</v>
      </c>
      <c r="AB44" s="171"/>
      <c r="AC44" s="172"/>
    </row>
    <row r="45">
      <c r="A45" s="158" t="s">
        <v>107</v>
      </c>
      <c r="B45" s="168"/>
      <c r="C45" s="160" t="s">
        <v>163</v>
      </c>
      <c r="D45" s="160" t="s">
        <v>135</v>
      </c>
      <c r="E45" s="160"/>
      <c r="F45" s="160"/>
      <c r="G45" s="160"/>
      <c r="H45" s="160"/>
      <c r="I45" s="160"/>
      <c r="J45" s="160"/>
      <c r="K45" s="160"/>
      <c r="L45" s="160"/>
      <c r="M45" s="179"/>
      <c r="N45" s="160"/>
      <c r="O45" s="160"/>
      <c r="P45" s="229"/>
      <c r="Q45" s="161" t="str">
        <f>(BanzukeTable!E18)</f>
        <v>0-0</v>
      </c>
      <c r="R45" s="23">
        <f t="shared" si="3"/>
        <v>2</v>
      </c>
      <c r="S45" s="232" t="s">
        <v>366</v>
      </c>
      <c r="T45">
        <f>countcoloredcells(B45:P45,A3)</f>
        <v>2</v>
      </c>
      <c r="U45">
        <f>COUNTIF(MASTER!bonuspoints2,"kotoeko")</f>
        <v>0</v>
      </c>
      <c r="AB45" s="171"/>
      <c r="AC45" s="172"/>
    </row>
    <row r="46">
      <c r="A46" s="158" t="s">
        <v>65</v>
      </c>
      <c r="B46" s="168" t="s">
        <v>107</v>
      </c>
      <c r="C46" s="160" t="s">
        <v>114</v>
      </c>
      <c r="D46" s="160" t="s">
        <v>176</v>
      </c>
      <c r="E46" s="160" t="s">
        <v>150</v>
      </c>
      <c r="F46" s="160" t="s">
        <v>163</v>
      </c>
      <c r="G46" s="160"/>
      <c r="H46" s="160" t="s">
        <v>76</v>
      </c>
      <c r="I46" s="160"/>
      <c r="J46" s="160"/>
      <c r="K46" s="160" t="s">
        <v>90</v>
      </c>
      <c r="L46" s="160" t="s">
        <v>54</v>
      </c>
      <c r="M46" s="160"/>
      <c r="N46" s="160"/>
      <c r="O46" s="160"/>
      <c r="P46" s="169"/>
      <c r="Q46" s="161" t="str">
        <f>(BanzukeTable!A19)</f>
        <v>0-0</v>
      </c>
      <c r="R46" s="23">
        <f t="shared" si="3"/>
        <v>2</v>
      </c>
      <c r="S46" s="231" t="s">
        <v>372</v>
      </c>
      <c r="T46">
        <f>countcoloredcells(B46:P46,A5)</f>
        <v>2</v>
      </c>
      <c r="U46">
        <f>COUNTIF(MASTER!bonuspoints2,"terutsuyoshi")</f>
        <v>0</v>
      </c>
      <c r="AB46" s="171"/>
      <c r="AC46" s="172"/>
    </row>
    <row r="47">
      <c r="A47" s="158" t="s">
        <v>135</v>
      </c>
      <c r="B47" s="168"/>
      <c r="C47" s="160" t="s">
        <v>150</v>
      </c>
      <c r="D47" s="160"/>
      <c r="E47" s="160" t="s">
        <v>119</v>
      </c>
      <c r="F47" s="160"/>
      <c r="G47" s="160" t="s">
        <v>180</v>
      </c>
      <c r="H47" s="160"/>
      <c r="I47" s="160"/>
      <c r="J47" s="160"/>
      <c r="K47" s="160"/>
      <c r="L47" s="160" t="s">
        <v>114</v>
      </c>
      <c r="M47" s="160" t="s">
        <v>65</v>
      </c>
      <c r="N47" s="160" t="s">
        <v>59</v>
      </c>
      <c r="O47" s="160"/>
      <c r="P47" s="229"/>
      <c r="Q47" s="161" t="str">
        <f>(BanzukeTable!E19)</f>
        <v>0-0</v>
      </c>
      <c r="R47" s="23">
        <f t="shared" si="3"/>
        <v>6</v>
      </c>
      <c r="S47" s="228" t="s">
        <v>365</v>
      </c>
      <c r="T47">
        <f>countcoloredcells(B47:P47,A2)</f>
        <v>6</v>
      </c>
      <c r="U47">
        <f>COUNTIF(MASTER!bonuspoints2,"shimanoumi")</f>
        <v>0</v>
      </c>
      <c r="V47">
        <f>COUNTIF(KIMARITE!B37:P37,"JW")</f>
        <v>0</v>
      </c>
      <c r="W47">
        <f>COUNTIF(KIMARITE!B37:P37,"Jl")</f>
        <v>0</v>
      </c>
      <c r="AB47" s="171"/>
      <c r="AC47" s="172"/>
    </row>
    <row r="48">
      <c r="A48" s="158" t="s">
        <v>176</v>
      </c>
      <c r="B48" s="168" t="s">
        <v>135</v>
      </c>
      <c r="C48" s="160" t="s">
        <v>238</v>
      </c>
      <c r="D48" s="160"/>
      <c r="E48" s="160" t="s">
        <v>107</v>
      </c>
      <c r="F48" s="160"/>
      <c r="G48" s="160" t="s">
        <v>114</v>
      </c>
      <c r="H48" s="160" t="s">
        <v>153</v>
      </c>
      <c r="I48" s="160"/>
      <c r="J48" s="160"/>
      <c r="K48" s="160"/>
      <c r="L48" s="160"/>
      <c r="M48" s="160"/>
      <c r="N48" s="160" t="s">
        <v>180</v>
      </c>
      <c r="O48" s="160" t="s">
        <v>119</v>
      </c>
      <c r="P48" s="160"/>
      <c r="Q48" s="161" t="str">
        <f>(BanzukeTable!A20)</f>
        <v>0-0</v>
      </c>
      <c r="R48" s="23">
        <f t="shared" si="3"/>
        <v>0</v>
      </c>
      <c r="T48">
        <f>countcoloredcells(B48:P48,A1)</f>
        <v>0</v>
      </c>
      <c r="V48">
        <f>COUNTIF(KIMARITE!B38:P38,"JW")</f>
        <v>0</v>
      </c>
      <c r="W48">
        <f>COUNTIF(KIMARITE!B38:P38,"Jl")</f>
        <v>0</v>
      </c>
      <c r="AB48" s="171"/>
      <c r="AC48" s="172"/>
    </row>
    <row r="49">
      <c r="A49" s="181" t="s">
        <v>150</v>
      </c>
      <c r="B49" s="168"/>
      <c r="C49" s="160"/>
      <c r="D49" s="160"/>
      <c r="E49" s="160"/>
      <c r="F49" s="160" t="s">
        <v>180</v>
      </c>
      <c r="G49" s="160" t="s">
        <v>385</v>
      </c>
      <c r="H49" s="160"/>
      <c r="I49" s="160"/>
      <c r="J49" s="160" t="s">
        <v>107</v>
      </c>
      <c r="K49" s="160" t="s">
        <v>111</v>
      </c>
      <c r="L49" s="160"/>
      <c r="M49" s="160" t="s">
        <v>176</v>
      </c>
      <c r="N49" s="160" t="s">
        <v>90</v>
      </c>
      <c r="O49" s="160" t="s">
        <v>163</v>
      </c>
      <c r="P49" s="160" t="s">
        <v>54</v>
      </c>
      <c r="Q49" s="161" t="str">
        <f>(BanzukeTable!E20)</f>
        <v>0-0</v>
      </c>
      <c r="R49" s="23">
        <f t="shared" si="3"/>
        <v>0</v>
      </c>
      <c r="T49">
        <f>countcoloredcells(B49:P49,A1)</f>
        <v>0</v>
      </c>
      <c r="V49">
        <f>COUNTIF(KIMARITE!B39:P39,"JW")</f>
        <v>0</v>
      </c>
      <c r="W49">
        <f>COUNTIF(KIMARITE!B39:P39,"Jl")</f>
        <v>0</v>
      </c>
      <c r="AB49" s="171"/>
      <c r="AC49" s="172"/>
    </row>
    <row r="50">
      <c r="A50" s="158" t="s">
        <v>238</v>
      </c>
      <c r="B50" s="168" t="s">
        <v>150</v>
      </c>
      <c r="C50" s="160"/>
      <c r="D50" s="160"/>
      <c r="E50" s="160" t="s">
        <v>173</v>
      </c>
      <c r="F50" s="160" t="s">
        <v>107</v>
      </c>
      <c r="G50" s="160" t="s">
        <v>76</v>
      </c>
      <c r="H50" s="160"/>
      <c r="I50" s="160" t="s">
        <v>180</v>
      </c>
      <c r="J50" s="160" t="s">
        <v>163</v>
      </c>
      <c r="K50" s="160" t="s">
        <v>135</v>
      </c>
      <c r="L50" s="160"/>
      <c r="M50" s="178" t="s">
        <v>70</v>
      </c>
      <c r="N50" s="160"/>
      <c r="O50" s="160" t="s">
        <v>65</v>
      </c>
      <c r="P50" s="179"/>
      <c r="Q50" s="161" t="str">
        <f>(BanzukeTable!A21)</f>
        <v>0-0</v>
      </c>
      <c r="R50" s="23">
        <f t="shared" si="3"/>
        <v>0</v>
      </c>
      <c r="T50">
        <f>countcoloredcells(B50:P50,A3)</f>
        <v>0</v>
      </c>
      <c r="V50">
        <f>COUNTIF(KIMARITE!B40:P40,"JW")</f>
        <v>0</v>
      </c>
      <c r="W50">
        <f>COUNTIF(KIMARITE!B40:P40,"Jl")</f>
        <v>0</v>
      </c>
      <c r="AB50" s="171"/>
      <c r="AC50" s="172"/>
    </row>
    <row r="51">
      <c r="A51" s="158" t="s">
        <v>119</v>
      </c>
      <c r="B51" s="168"/>
      <c r="C51" s="160" t="s">
        <v>92</v>
      </c>
      <c r="D51" s="160" t="s">
        <v>183</v>
      </c>
      <c r="E51" s="160"/>
      <c r="F51" s="160"/>
      <c r="G51" s="160" t="s">
        <v>107</v>
      </c>
      <c r="H51" s="160" t="s">
        <v>238</v>
      </c>
      <c r="I51" s="160" t="s">
        <v>150</v>
      </c>
      <c r="J51" s="160" t="s">
        <v>65</v>
      </c>
      <c r="K51" s="160"/>
      <c r="L51" s="160"/>
      <c r="M51" s="179"/>
      <c r="N51" s="160" t="s">
        <v>105</v>
      </c>
      <c r="O51" s="160"/>
      <c r="P51" s="160" t="s">
        <v>111</v>
      </c>
      <c r="Q51" s="161" t="str">
        <f>(BanzukeTable!E21)</f>
        <v>0-0</v>
      </c>
      <c r="R51" s="23">
        <f t="shared" si="3"/>
        <v>8</v>
      </c>
      <c r="S51" s="232" t="s">
        <v>366</v>
      </c>
      <c r="T51">
        <f>countcoloredcells(B51:P51,A3)</f>
        <v>8</v>
      </c>
      <c r="V51">
        <f>COUNTIF(KIMARITE!B41:P41,"JW")</f>
        <v>0</v>
      </c>
      <c r="W51">
        <f>COUNTIF(KIMARITE!B41:P41,"Jl")</f>
        <v>0</v>
      </c>
      <c r="AB51" s="171"/>
      <c r="AC51" s="172"/>
    </row>
    <row r="52">
      <c r="A52" s="177" t="s">
        <v>76</v>
      </c>
      <c r="B52" s="168" t="s">
        <v>119</v>
      </c>
      <c r="C52" s="160"/>
      <c r="D52" s="178" t="s">
        <v>150</v>
      </c>
      <c r="E52" s="160"/>
      <c r="F52" s="160" t="s">
        <v>135</v>
      </c>
      <c r="G52" s="160"/>
      <c r="H52" s="160"/>
      <c r="I52" s="178" t="s">
        <v>107</v>
      </c>
      <c r="J52" s="160" t="s">
        <v>114</v>
      </c>
      <c r="K52" s="160" t="s">
        <v>180</v>
      </c>
      <c r="L52" s="160" t="s">
        <v>176</v>
      </c>
      <c r="M52" s="160" t="s">
        <v>105</v>
      </c>
      <c r="N52" s="160" t="s">
        <v>125</v>
      </c>
      <c r="O52" s="160" t="s">
        <v>90</v>
      </c>
      <c r="P52" s="160" t="s">
        <v>163</v>
      </c>
      <c r="Q52" s="161" t="str">
        <f>(BanzukeTable!A22)</f>
        <v>0-0</v>
      </c>
      <c r="R52" s="23">
        <f t="shared" si="3"/>
        <v>16</v>
      </c>
      <c r="S52" s="227" t="s">
        <v>364</v>
      </c>
      <c r="T52">
        <f t="shared" ref="T52:T53" si="13">countcoloredcells(B52:P52,A1)</f>
        <v>11</v>
      </c>
      <c r="U52" s="234">
        <f>COUNTIF(tokitsukaze!bonuspoints2,"kiribayama")</f>
        <v>5</v>
      </c>
      <c r="V52">
        <f>COUNTIF(KIMARITE!B42:P42,"JW")</f>
        <v>0</v>
      </c>
      <c r="W52">
        <f>COUNTIF(KIMARITE!B42:P42,"Jl")</f>
        <v>0</v>
      </c>
      <c r="AB52" s="171"/>
      <c r="AC52" s="172"/>
    </row>
    <row r="53">
      <c r="A53" s="158" t="s">
        <v>92</v>
      </c>
      <c r="B53" s="185" t="s">
        <v>167</v>
      </c>
      <c r="C53" s="160"/>
      <c r="D53" s="160" t="s">
        <v>238</v>
      </c>
      <c r="E53" s="160" t="s">
        <v>76</v>
      </c>
      <c r="F53" s="160" t="s">
        <v>176</v>
      </c>
      <c r="G53" s="160" t="s">
        <v>65</v>
      </c>
      <c r="H53" s="160" t="s">
        <v>107</v>
      </c>
      <c r="I53" s="160" t="s">
        <v>114</v>
      </c>
      <c r="J53" s="160" t="s">
        <v>180</v>
      </c>
      <c r="K53" s="160" t="s">
        <v>163</v>
      </c>
      <c r="L53" s="160" t="s">
        <v>90</v>
      </c>
      <c r="M53" s="160" t="s">
        <v>84</v>
      </c>
      <c r="N53" s="160" t="s">
        <v>70</v>
      </c>
      <c r="O53" s="160" t="s">
        <v>32</v>
      </c>
      <c r="P53" s="160" t="s">
        <v>382</v>
      </c>
      <c r="Q53" s="161" t="str">
        <f>(BanzukeTable!E22)</f>
        <v>0-0</v>
      </c>
      <c r="R53" s="23">
        <f t="shared" si="3"/>
        <v>28</v>
      </c>
      <c r="S53" s="228" t="s">
        <v>365</v>
      </c>
      <c r="T53">
        <f t="shared" si="13"/>
        <v>10</v>
      </c>
      <c r="U53" s="234">
        <f>COUNTIF(tokitsukaze!bonuspoints2,"tokushoryu")</f>
        <v>18</v>
      </c>
      <c r="V53">
        <f>COUNTIF(KIMARITE!B43:P43,"JW")</f>
        <v>0</v>
      </c>
      <c r="W53">
        <f>COUNTIF(KIMARITE!B43:P43,"Jl")</f>
        <v>0</v>
      </c>
      <c r="AB53" s="226"/>
      <c r="AC53" s="184"/>
    </row>
    <row r="54">
      <c r="A54" s="187" t="s">
        <v>341</v>
      </c>
      <c r="B54" s="235" t="s">
        <v>48</v>
      </c>
      <c r="C54" s="235" t="s">
        <v>48</v>
      </c>
      <c r="D54" s="235" t="s">
        <v>48</v>
      </c>
      <c r="E54" s="236" t="s">
        <v>131</v>
      </c>
      <c r="F54" s="237" t="s">
        <v>40</v>
      </c>
      <c r="G54" s="235" t="s">
        <v>48</v>
      </c>
      <c r="H54" s="238" t="s">
        <v>36</v>
      </c>
      <c r="I54" s="236" t="s">
        <v>131</v>
      </c>
      <c r="J54" s="236" t="s">
        <v>32</v>
      </c>
      <c r="K54" s="239" t="s">
        <v>57</v>
      </c>
      <c r="L54" s="238" t="s">
        <v>36</v>
      </c>
      <c r="M54" s="238" t="s">
        <v>23</v>
      </c>
      <c r="N54" s="239" t="s">
        <v>100</v>
      </c>
      <c r="O54" s="238" t="s">
        <v>23</v>
      </c>
      <c r="P54" s="239" t="s">
        <v>102</v>
      </c>
      <c r="Q54" s="240" t="s">
        <v>48</v>
      </c>
      <c r="R54" s="241" t="s">
        <v>32</v>
      </c>
      <c r="S54" s="242" t="s">
        <v>92</v>
      </c>
      <c r="T54" s="243" t="s">
        <v>92</v>
      </c>
      <c r="U54" s="190"/>
      <c r="V54" s="192"/>
      <c r="W54" s="192"/>
      <c r="X54" s="192"/>
      <c r="Y54" s="192"/>
      <c r="Z54" s="192"/>
      <c r="AA54" s="192"/>
      <c r="AB54" s="193"/>
      <c r="AC54" s="193"/>
    </row>
    <row r="55">
      <c r="A55" s="194"/>
      <c r="B55" s="244" t="s">
        <v>48</v>
      </c>
      <c r="C55" s="244" t="s">
        <v>48</v>
      </c>
      <c r="D55" s="244" t="s">
        <v>48</v>
      </c>
      <c r="E55" s="245" t="s">
        <v>62</v>
      </c>
      <c r="F55" s="244" t="s">
        <v>48</v>
      </c>
      <c r="G55" s="244" t="s">
        <v>48</v>
      </c>
      <c r="H55" s="160" t="s">
        <v>167</v>
      </c>
      <c r="I55" s="245" t="s">
        <v>131</v>
      </c>
      <c r="J55" s="245" t="s">
        <v>32</v>
      </c>
      <c r="K55" s="246" t="s">
        <v>79</v>
      </c>
      <c r="L55" s="245" t="s">
        <v>32</v>
      </c>
      <c r="M55" s="245" t="s">
        <v>32</v>
      </c>
      <c r="N55" s="160" t="s">
        <v>167</v>
      </c>
      <c r="O55" s="246" t="s">
        <v>79</v>
      </c>
      <c r="P55" s="247" t="s">
        <v>102</v>
      </c>
      <c r="Q55" s="248" t="s">
        <v>48</v>
      </c>
      <c r="R55" s="249" t="s">
        <v>32</v>
      </c>
      <c r="S55" s="250" t="s">
        <v>92</v>
      </c>
      <c r="T55" s="251" t="s">
        <v>92</v>
      </c>
      <c r="U55" s="196"/>
      <c r="V55" s="198"/>
      <c r="W55" s="193"/>
      <c r="X55" s="193"/>
      <c r="Y55" s="193"/>
      <c r="Z55" s="193"/>
      <c r="AA55" s="193"/>
      <c r="AB55" s="193"/>
      <c r="AC55" s="193"/>
    </row>
    <row r="56">
      <c r="A56" s="194"/>
      <c r="B56" s="244" t="s">
        <v>48</v>
      </c>
      <c r="C56" s="244" t="s">
        <v>48</v>
      </c>
      <c r="D56" s="244" t="s">
        <v>48</v>
      </c>
      <c r="E56" s="245" t="s">
        <v>62</v>
      </c>
      <c r="F56" s="244" t="s">
        <v>48</v>
      </c>
      <c r="G56" s="246" t="s">
        <v>45</v>
      </c>
      <c r="H56" s="160" t="s">
        <v>159</v>
      </c>
      <c r="I56" s="247" t="s">
        <v>57</v>
      </c>
      <c r="J56" s="245" t="s">
        <v>32</v>
      </c>
      <c r="K56" s="246" t="s">
        <v>79</v>
      </c>
      <c r="L56" s="247" t="s">
        <v>100</v>
      </c>
      <c r="M56" s="247" t="s">
        <v>100</v>
      </c>
      <c r="N56" s="160" t="s">
        <v>51</v>
      </c>
      <c r="O56" s="246" t="s">
        <v>138</v>
      </c>
      <c r="P56" s="247" t="s">
        <v>102</v>
      </c>
      <c r="Q56" s="248" t="s">
        <v>48</v>
      </c>
      <c r="R56" s="249" t="s">
        <v>32</v>
      </c>
      <c r="S56" s="250" t="s">
        <v>92</v>
      </c>
      <c r="T56" s="251" t="s">
        <v>92</v>
      </c>
      <c r="U56" s="196"/>
      <c r="V56" s="198"/>
      <c r="W56" s="193"/>
      <c r="X56" s="193"/>
      <c r="Y56" s="193"/>
      <c r="Z56" s="193"/>
      <c r="AA56" s="193"/>
      <c r="AB56" s="193"/>
      <c r="AC56" s="193"/>
    </row>
    <row r="57">
      <c r="A57" s="194"/>
      <c r="B57" s="244" t="s">
        <v>48</v>
      </c>
      <c r="C57" s="244" t="s">
        <v>48</v>
      </c>
      <c r="D57" s="245" t="s">
        <v>62</v>
      </c>
      <c r="E57" s="245" t="s">
        <v>62</v>
      </c>
      <c r="F57" s="246" t="s">
        <v>45</v>
      </c>
      <c r="G57" s="160" t="s">
        <v>153</v>
      </c>
      <c r="H57" s="160" t="s">
        <v>183</v>
      </c>
      <c r="I57" s="247" t="s">
        <v>57</v>
      </c>
      <c r="J57" s="247" t="s">
        <v>100</v>
      </c>
      <c r="K57" s="252" t="s">
        <v>79</v>
      </c>
      <c r="L57" s="247" t="s">
        <v>100</v>
      </c>
      <c r="M57" s="247" t="s">
        <v>100</v>
      </c>
      <c r="N57" s="160" t="s">
        <v>183</v>
      </c>
      <c r="O57" s="246" t="s">
        <v>138</v>
      </c>
      <c r="P57" s="244" t="s">
        <v>92</v>
      </c>
      <c r="Q57" s="248" t="s">
        <v>48</v>
      </c>
      <c r="R57" s="249" t="s">
        <v>32</v>
      </c>
      <c r="S57" s="250" t="s">
        <v>92</v>
      </c>
      <c r="T57" s="251" t="s">
        <v>92</v>
      </c>
      <c r="U57" s="196"/>
      <c r="X57" s="193"/>
      <c r="Y57" s="193"/>
      <c r="Z57" s="193"/>
      <c r="AA57" s="193"/>
      <c r="AB57" s="193"/>
      <c r="AC57" s="193"/>
    </row>
    <row r="58">
      <c r="A58" s="194"/>
      <c r="B58" s="247" t="s">
        <v>57</v>
      </c>
      <c r="C58" s="247" t="s">
        <v>57</v>
      </c>
      <c r="D58" s="245" t="s">
        <v>62</v>
      </c>
      <c r="E58" s="245" t="s">
        <v>62</v>
      </c>
      <c r="F58" s="246" t="s">
        <v>45</v>
      </c>
      <c r="G58" s="160" t="s">
        <v>183</v>
      </c>
      <c r="H58" s="160" t="s">
        <v>51</v>
      </c>
      <c r="I58" s="245" t="s">
        <v>32</v>
      </c>
      <c r="J58" s="247" t="s">
        <v>100</v>
      </c>
      <c r="K58" s="244" t="s">
        <v>72</v>
      </c>
      <c r="L58" s="160" t="s">
        <v>159</v>
      </c>
      <c r="M58" s="160" t="s">
        <v>167</v>
      </c>
      <c r="N58" s="160" t="s">
        <v>385</v>
      </c>
      <c r="O58" s="246" t="s">
        <v>138</v>
      </c>
      <c r="P58" s="244" t="s">
        <v>92</v>
      </c>
      <c r="Q58" s="248" t="s">
        <v>48</v>
      </c>
      <c r="R58" s="249" t="s">
        <v>32</v>
      </c>
      <c r="S58" s="250" t="s">
        <v>92</v>
      </c>
      <c r="T58" s="251" t="s">
        <v>92</v>
      </c>
      <c r="U58" s="196"/>
      <c r="X58" s="193"/>
      <c r="Y58" s="193"/>
      <c r="Z58" s="193"/>
      <c r="AA58" s="193"/>
      <c r="AB58" s="193"/>
      <c r="AC58" s="193"/>
    </row>
    <row r="59">
      <c r="A59" s="194"/>
      <c r="B59" s="247" t="s">
        <v>57</v>
      </c>
      <c r="C59" s="247" t="s">
        <v>57</v>
      </c>
      <c r="D59" s="245" t="s">
        <v>62</v>
      </c>
      <c r="E59" s="245" t="s">
        <v>32</v>
      </c>
      <c r="F59" s="246" t="s">
        <v>45</v>
      </c>
      <c r="G59" s="160" t="s">
        <v>96</v>
      </c>
      <c r="H59" s="160"/>
      <c r="I59" s="245" t="s">
        <v>32</v>
      </c>
      <c r="J59" s="247" t="s">
        <v>100</v>
      </c>
      <c r="K59" s="252" t="s">
        <v>72</v>
      </c>
      <c r="L59" s="160" t="s">
        <v>153</v>
      </c>
      <c r="M59" s="160" t="s">
        <v>183</v>
      </c>
      <c r="N59" s="178" t="s">
        <v>153</v>
      </c>
      <c r="O59" s="160" t="s">
        <v>386</v>
      </c>
      <c r="P59" s="244" t="s">
        <v>92</v>
      </c>
      <c r="Q59" s="253" t="s">
        <v>76</v>
      </c>
      <c r="R59" s="254" t="s">
        <v>57</v>
      </c>
      <c r="S59" s="251" t="s">
        <v>92</v>
      </c>
      <c r="T59" s="196" t="s">
        <v>51</v>
      </c>
      <c r="U59" s="196"/>
      <c r="X59" s="193"/>
      <c r="Y59" s="193"/>
      <c r="Z59" s="193"/>
      <c r="AA59" s="193"/>
      <c r="AB59" s="193"/>
      <c r="AC59" s="193"/>
    </row>
    <row r="60">
      <c r="A60" s="194"/>
      <c r="B60" s="247" t="s">
        <v>57</v>
      </c>
      <c r="C60" s="247" t="s">
        <v>57</v>
      </c>
      <c r="D60" s="245" t="s">
        <v>62</v>
      </c>
      <c r="E60" s="245" t="s">
        <v>32</v>
      </c>
      <c r="F60" s="160" t="s">
        <v>159</v>
      </c>
      <c r="G60" s="160" t="s">
        <v>199</v>
      </c>
      <c r="H60" s="160"/>
      <c r="I60" s="160" t="s">
        <v>96</v>
      </c>
      <c r="J60" s="246" t="s">
        <v>79</v>
      </c>
      <c r="K60" s="178" t="s">
        <v>167</v>
      </c>
      <c r="L60" s="160" t="s">
        <v>199</v>
      </c>
      <c r="M60" s="160" t="s">
        <v>159</v>
      </c>
      <c r="N60" s="178" t="s">
        <v>96</v>
      </c>
      <c r="O60" s="160" t="s">
        <v>385</v>
      </c>
      <c r="P60" s="160" t="s">
        <v>167</v>
      </c>
      <c r="Q60" s="253" t="s">
        <v>76</v>
      </c>
      <c r="R60" s="254" t="s">
        <v>57</v>
      </c>
      <c r="S60" s="251" t="s">
        <v>92</v>
      </c>
      <c r="T60" s="196" t="s">
        <v>51</v>
      </c>
      <c r="U60" s="196"/>
      <c r="X60" s="193"/>
      <c r="Y60" s="193"/>
      <c r="Z60" s="193"/>
      <c r="AA60" s="193"/>
      <c r="AB60" s="193"/>
      <c r="AC60" s="193"/>
    </row>
    <row r="61">
      <c r="A61" s="194"/>
      <c r="B61" s="255" t="s">
        <v>59</v>
      </c>
      <c r="C61" s="255" t="s">
        <v>36</v>
      </c>
      <c r="D61" s="247" t="s">
        <v>57</v>
      </c>
      <c r="E61" s="160" t="s">
        <v>167</v>
      </c>
      <c r="F61" s="160" t="s">
        <v>183</v>
      </c>
      <c r="G61" s="160" t="s">
        <v>51</v>
      </c>
      <c r="H61" s="160"/>
      <c r="I61" s="160" t="s">
        <v>159</v>
      </c>
      <c r="J61" s="246" t="s">
        <v>79</v>
      </c>
      <c r="K61" s="178" t="s">
        <v>183</v>
      </c>
      <c r="L61" s="160" t="s">
        <v>51</v>
      </c>
      <c r="M61" s="160" t="s">
        <v>96</v>
      </c>
      <c r="N61" s="175"/>
      <c r="O61" s="160" t="s">
        <v>153</v>
      </c>
      <c r="P61" s="178" t="s">
        <v>159</v>
      </c>
      <c r="Q61" s="253" t="s">
        <v>76</v>
      </c>
      <c r="R61" s="254" t="s">
        <v>57</v>
      </c>
      <c r="S61" s="251" t="s">
        <v>92</v>
      </c>
      <c r="T61" s="196" t="s">
        <v>51</v>
      </c>
      <c r="U61" s="196"/>
      <c r="X61" s="193"/>
      <c r="Y61" s="193"/>
      <c r="Z61" s="193"/>
      <c r="AA61" s="193"/>
      <c r="AB61" s="193"/>
      <c r="AC61" s="193"/>
    </row>
    <row r="62">
      <c r="A62" s="194"/>
      <c r="B62" s="255" t="s">
        <v>59</v>
      </c>
      <c r="C62" s="255" t="s">
        <v>36</v>
      </c>
      <c r="D62" s="247" t="s">
        <v>57</v>
      </c>
      <c r="E62" s="160" t="s">
        <v>153</v>
      </c>
      <c r="F62" s="160" t="s">
        <v>96</v>
      </c>
      <c r="G62" s="160"/>
      <c r="H62" s="160"/>
      <c r="I62" s="160" t="s">
        <v>385</v>
      </c>
      <c r="J62" s="160" t="s">
        <v>146</v>
      </c>
      <c r="K62" s="160" t="s">
        <v>96</v>
      </c>
      <c r="L62" s="160" t="s">
        <v>386</v>
      </c>
      <c r="M62" s="160" t="s">
        <v>153</v>
      </c>
      <c r="N62" s="160"/>
      <c r="O62" s="160" t="s">
        <v>96</v>
      </c>
      <c r="P62" s="160" t="s">
        <v>183</v>
      </c>
      <c r="Q62" s="253" t="s">
        <v>76</v>
      </c>
      <c r="R62" s="254" t="s">
        <v>57</v>
      </c>
      <c r="S62" s="251" t="s">
        <v>92</v>
      </c>
      <c r="T62" s="196" t="s">
        <v>51</v>
      </c>
      <c r="U62" s="196"/>
      <c r="X62" s="193"/>
      <c r="Y62" s="193"/>
      <c r="Z62" s="193"/>
      <c r="AA62" s="193"/>
      <c r="AB62" s="193"/>
      <c r="AC62" s="193"/>
    </row>
    <row r="63">
      <c r="A63" s="194"/>
      <c r="B63" s="246" t="s">
        <v>45</v>
      </c>
      <c r="C63" s="255" t="s">
        <v>36</v>
      </c>
      <c r="D63" s="247" t="s">
        <v>57</v>
      </c>
      <c r="E63" s="178" t="s">
        <v>146</v>
      </c>
      <c r="F63" s="160" t="s">
        <v>146</v>
      </c>
      <c r="G63" s="160"/>
      <c r="H63" s="160"/>
      <c r="I63" s="178" t="s">
        <v>146</v>
      </c>
      <c r="J63" s="160" t="s">
        <v>96</v>
      </c>
      <c r="K63" s="178" t="s">
        <v>51</v>
      </c>
      <c r="L63" s="160"/>
      <c r="M63" s="160" t="s">
        <v>51</v>
      </c>
      <c r="N63" s="175"/>
      <c r="O63" s="160" t="s">
        <v>146</v>
      </c>
      <c r="P63" s="178" t="s">
        <v>153</v>
      </c>
      <c r="Q63" s="253" t="s">
        <v>76</v>
      </c>
      <c r="R63" s="254" t="s">
        <v>57</v>
      </c>
      <c r="S63" s="251" t="s">
        <v>92</v>
      </c>
      <c r="T63" s="196" t="s">
        <v>51</v>
      </c>
      <c r="U63" s="196"/>
      <c r="X63" s="193"/>
      <c r="Y63" s="193"/>
      <c r="Z63" s="193"/>
      <c r="AA63" s="193"/>
      <c r="AB63" s="193"/>
      <c r="AC63" s="193"/>
    </row>
    <row r="64">
      <c r="A64" s="194"/>
      <c r="B64" s="160" t="s">
        <v>183</v>
      </c>
      <c r="C64" s="160" t="s">
        <v>167</v>
      </c>
      <c r="D64" s="247" t="s">
        <v>57</v>
      </c>
      <c r="E64" s="178" t="s">
        <v>199</v>
      </c>
      <c r="F64" s="160" t="s">
        <v>51</v>
      </c>
      <c r="G64" s="160"/>
      <c r="H64" s="160"/>
      <c r="I64" s="178" t="s">
        <v>386</v>
      </c>
      <c r="J64" s="160" t="s">
        <v>153</v>
      </c>
      <c r="K64" s="178" t="s">
        <v>153</v>
      </c>
      <c r="L64" s="160"/>
      <c r="M64" s="160" t="s">
        <v>199</v>
      </c>
      <c r="N64" s="175"/>
      <c r="O64" s="160"/>
      <c r="P64" s="178" t="s">
        <v>386</v>
      </c>
      <c r="Q64" s="195"/>
      <c r="R64" s="196"/>
      <c r="S64" s="196"/>
      <c r="T64" s="196"/>
      <c r="U64" s="196"/>
      <c r="V64" s="193"/>
      <c r="W64" s="197"/>
      <c r="X64" s="193"/>
      <c r="Y64" s="193"/>
      <c r="Z64" s="193"/>
      <c r="AA64" s="193"/>
      <c r="AB64" s="193"/>
      <c r="AC64" s="193"/>
    </row>
    <row r="65">
      <c r="A65" s="194"/>
      <c r="B65" s="160" t="s">
        <v>153</v>
      </c>
      <c r="C65" s="160" t="s">
        <v>159</v>
      </c>
      <c r="D65" s="255" t="s">
        <v>59</v>
      </c>
      <c r="E65" s="178" t="s">
        <v>386</v>
      </c>
      <c r="F65" s="160"/>
      <c r="G65" s="160"/>
      <c r="H65" s="160"/>
      <c r="I65" s="178" t="s">
        <v>51</v>
      </c>
      <c r="J65" s="160" t="s">
        <v>386</v>
      </c>
      <c r="K65" s="178" t="s">
        <v>386</v>
      </c>
      <c r="L65" s="160"/>
      <c r="M65" s="160"/>
      <c r="N65" s="175"/>
      <c r="O65" s="175"/>
      <c r="P65" s="175"/>
      <c r="Q65" s="195"/>
      <c r="R65" s="196"/>
      <c r="S65" s="196"/>
      <c r="T65" s="196"/>
      <c r="U65" s="196"/>
      <c r="V65" s="193"/>
      <c r="W65" s="197"/>
      <c r="X65" s="193"/>
      <c r="Y65" s="193"/>
      <c r="Z65" s="193"/>
      <c r="AA65" s="193"/>
      <c r="AB65" s="193"/>
      <c r="AC65" s="193"/>
    </row>
    <row r="66">
      <c r="A66" s="194"/>
      <c r="B66" s="160" t="s">
        <v>51</v>
      </c>
      <c r="C66" s="160" t="s">
        <v>146</v>
      </c>
      <c r="D66" s="160" t="s">
        <v>159</v>
      </c>
      <c r="E66" s="178" t="s">
        <v>51</v>
      </c>
      <c r="F66" s="160"/>
      <c r="G66" s="160"/>
      <c r="H66" s="160"/>
      <c r="I66" s="175"/>
      <c r="J66" s="160" t="s">
        <v>51</v>
      </c>
      <c r="K66" s="175"/>
      <c r="L66" s="175"/>
      <c r="M66" s="160"/>
      <c r="N66" s="175"/>
      <c r="O66" s="175"/>
      <c r="P66" s="175"/>
      <c r="Q66" s="195"/>
      <c r="R66" s="196"/>
      <c r="S66" s="196"/>
      <c r="T66" s="196"/>
      <c r="U66" s="196"/>
      <c r="V66" s="193"/>
      <c r="W66" s="197"/>
      <c r="X66" s="193"/>
      <c r="Y66" s="193"/>
      <c r="Z66" s="193"/>
      <c r="AA66" s="193"/>
      <c r="AB66" s="193"/>
      <c r="AC66" s="193"/>
    </row>
    <row r="67">
      <c r="A67" s="194"/>
      <c r="B67" s="160"/>
      <c r="C67" s="160" t="s">
        <v>386</v>
      </c>
      <c r="D67" s="160" t="s">
        <v>153</v>
      </c>
      <c r="E67" s="175"/>
      <c r="F67" s="160"/>
      <c r="G67" s="160"/>
      <c r="H67" s="160"/>
      <c r="I67" s="175"/>
      <c r="J67" s="160"/>
      <c r="K67" s="175"/>
      <c r="L67" s="175"/>
      <c r="M67" s="160"/>
      <c r="N67" s="175"/>
      <c r="O67" s="175"/>
      <c r="P67" s="175"/>
      <c r="Q67" s="195"/>
      <c r="R67" s="196"/>
      <c r="S67" s="196"/>
      <c r="T67" s="196"/>
      <c r="U67" s="196"/>
      <c r="V67" s="193"/>
      <c r="W67" s="197"/>
      <c r="X67" s="193"/>
      <c r="Y67" s="193"/>
      <c r="Z67" s="193"/>
      <c r="AA67" s="193"/>
      <c r="AB67" s="193"/>
      <c r="AC67" s="193"/>
    </row>
    <row r="68">
      <c r="A68" s="194"/>
      <c r="B68" s="160"/>
      <c r="C68" s="160" t="s">
        <v>51</v>
      </c>
      <c r="D68" s="160" t="s">
        <v>96</v>
      </c>
      <c r="E68" s="175"/>
      <c r="F68" s="160"/>
      <c r="G68" s="160"/>
      <c r="H68" s="160"/>
      <c r="I68" s="175"/>
      <c r="J68" s="160"/>
      <c r="K68" s="175"/>
      <c r="L68" s="175"/>
      <c r="M68" s="160"/>
      <c r="N68" s="175"/>
      <c r="O68" s="175"/>
      <c r="P68" s="175"/>
      <c r="Q68" s="195"/>
      <c r="R68" s="196"/>
      <c r="S68" s="196"/>
      <c r="T68" s="196"/>
      <c r="U68" s="196"/>
      <c r="V68" s="193"/>
      <c r="W68" s="197"/>
      <c r="X68" s="193"/>
      <c r="Y68" s="193"/>
      <c r="Z68" s="193"/>
      <c r="AA68" s="193"/>
      <c r="AB68" s="193"/>
      <c r="AC68" s="193"/>
    </row>
    <row r="69">
      <c r="A69" s="194"/>
      <c r="B69" s="160"/>
      <c r="C69" s="160"/>
      <c r="D69" s="160" t="s">
        <v>386</v>
      </c>
      <c r="E69" s="175"/>
      <c r="F69" s="160"/>
      <c r="G69" s="160"/>
      <c r="H69" s="160"/>
      <c r="I69" s="175"/>
      <c r="J69" s="160"/>
      <c r="K69" s="175"/>
      <c r="L69" s="175"/>
      <c r="M69" s="160"/>
      <c r="N69" s="175"/>
      <c r="O69" s="175"/>
      <c r="P69" s="175"/>
      <c r="Q69" s="195"/>
      <c r="R69" s="196"/>
      <c r="S69" s="196"/>
      <c r="T69" s="196"/>
      <c r="U69" s="196"/>
      <c r="V69" s="193"/>
      <c r="W69" s="197"/>
      <c r="X69" s="193"/>
      <c r="Y69" s="193"/>
      <c r="Z69" s="193"/>
      <c r="AA69" s="193"/>
      <c r="AB69" s="193"/>
      <c r="AC69" s="193"/>
    </row>
    <row r="70">
      <c r="A70" s="194"/>
      <c r="B70" s="160"/>
      <c r="C70" s="160"/>
      <c r="D70" s="160" t="s">
        <v>51</v>
      </c>
      <c r="E70" s="175"/>
      <c r="F70" s="160"/>
      <c r="G70" s="160"/>
      <c r="H70" s="160"/>
      <c r="I70" s="175"/>
      <c r="J70" s="160"/>
      <c r="K70" s="175"/>
      <c r="L70" s="175"/>
      <c r="M70" s="160"/>
      <c r="N70" s="175"/>
      <c r="O70" s="175"/>
      <c r="P70" s="175"/>
      <c r="Q70" s="195"/>
      <c r="R70" s="196"/>
      <c r="S70" s="196"/>
      <c r="T70" s="196"/>
      <c r="U70" s="196"/>
      <c r="V70" s="193"/>
      <c r="W70" s="197"/>
      <c r="X70" s="193"/>
      <c r="Y70" s="193"/>
      <c r="Z70" s="193"/>
      <c r="AA70" s="193"/>
      <c r="AB70" s="193"/>
      <c r="AC70" s="193"/>
    </row>
    <row r="71">
      <c r="A71" s="206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207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</row>
    <row r="72">
      <c r="A72" s="197"/>
      <c r="B72" s="23">
        <v>0.0</v>
      </c>
      <c r="C72" s="23">
        <v>3.0</v>
      </c>
      <c r="D72" s="23">
        <v>1.0</v>
      </c>
      <c r="E72" s="23">
        <v>3.0</v>
      </c>
      <c r="F72" s="23">
        <v>2.0</v>
      </c>
      <c r="G72" s="23">
        <v>1.0</v>
      </c>
      <c r="H72" s="23">
        <v>2.0</v>
      </c>
      <c r="I72" s="23">
        <v>3.0</v>
      </c>
      <c r="J72" s="23">
        <v>1.0</v>
      </c>
      <c r="K72" s="23">
        <v>1.0</v>
      </c>
      <c r="L72" s="23">
        <v>2.0</v>
      </c>
      <c r="M72" s="23">
        <v>3.0</v>
      </c>
      <c r="N72" s="23">
        <v>2.0</v>
      </c>
      <c r="O72" s="23">
        <v>2.0</v>
      </c>
      <c r="P72" s="23">
        <v>2.0</v>
      </c>
      <c r="Q72" s="197"/>
      <c r="T72" s="210"/>
      <c r="V72" s="197"/>
    </row>
    <row r="73">
      <c r="A73" s="197"/>
      <c r="B73" s="227" t="s">
        <v>387</v>
      </c>
      <c r="C73" s="228" t="s">
        <v>388</v>
      </c>
      <c r="D73" s="232" t="s">
        <v>389</v>
      </c>
      <c r="E73" s="230" t="s">
        <v>390</v>
      </c>
      <c r="F73" s="231" t="s">
        <v>391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170"/>
      <c r="V73" s="197"/>
    </row>
    <row r="74">
      <c r="A74" s="197"/>
      <c r="B74" s="23">
        <v>6.0</v>
      </c>
      <c r="C74" s="23">
        <v>3.0</v>
      </c>
      <c r="D74" s="23">
        <v>4.0</v>
      </c>
      <c r="E74" s="23">
        <v>8.0</v>
      </c>
      <c r="F74" s="23">
        <v>7.0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V74" s="197"/>
    </row>
    <row r="75">
      <c r="A75" s="197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170"/>
      <c r="V75" s="197"/>
    </row>
    <row r="76">
      <c r="A76" s="197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170"/>
      <c r="V76" s="197"/>
    </row>
    <row r="77">
      <c r="A77" s="197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V77" s="197"/>
    </row>
    <row r="78">
      <c r="A78" s="197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V78" s="197"/>
    </row>
    <row r="79">
      <c r="A79" s="23"/>
      <c r="B79" s="23"/>
    </row>
    <row r="80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R80" s="193"/>
    </row>
    <row r="81">
      <c r="B81" s="23"/>
    </row>
    <row r="82">
      <c r="B82" s="23"/>
    </row>
    <row r="83">
      <c r="B83" s="198"/>
    </row>
    <row r="84">
      <c r="B84" s="198"/>
    </row>
  </sheetData>
  <conditionalFormatting sqref="B13:P13 B20:P20 B31:P31 B35:P35 B41:P42 B47:P47 G53:P53">
    <cfRule type="notContainsBlanks" dxfId="0" priority="1">
      <formula>LEN(TRIM(B13))&gt;0</formula>
    </cfRule>
  </conditionalFormatting>
  <conditionalFormatting sqref="B16:P16 B23:P24 B28:P28 B37:P37 B39:P39 B44:P44 J46:P46">
    <cfRule type="notContainsBlanks" dxfId="3" priority="2">
      <formula>LEN(TRIM(B16))&gt;0</formula>
    </cfRule>
  </conditionalFormatting>
  <conditionalFormatting sqref="B17:P17 B22:P22 B29:P29 B33:P34 B45:P45 B51:P51">
    <cfRule type="notContainsBlanks" dxfId="4" priority="3">
      <formula>LEN(TRIM(B17))&gt;0</formula>
    </cfRule>
  </conditionalFormatting>
  <conditionalFormatting sqref="B14:P15 B18:P18 B21:P21 B27:P27 B36:P36 B38:P38">
    <cfRule type="notContainsBlanks" dxfId="5" priority="4">
      <formula>LEN(TRIM(B14))&gt;0</formula>
    </cfRule>
  </conditionalFormatting>
  <conditionalFormatting sqref="B12:P12 B19:P19 B26:P26 B30:P30 B32:P32 B40:P40 B52:P52 F43:P43">
    <cfRule type="notContainsBlanks" dxfId="6" priority="5">
      <formula>LEN(TRIM(B12))&gt;0</formula>
    </cfRule>
  </conditionalFormatting>
  <conditionalFormatting sqref="B54:P70">
    <cfRule type="containsText" dxfId="6" priority="6" operator="containsText" text="ichinojo">
      <formula>NOT(ISERROR(SEARCH(("ichinojo"),(B54))))</formula>
    </cfRule>
  </conditionalFormatting>
  <conditionalFormatting sqref="B54:P70">
    <cfRule type="containsText" dxfId="0" priority="7" operator="containsText" text="kizakiumi">
      <formula>NOT(ISERROR(SEARCH(("kizakiumi"),(B54))))</formula>
    </cfRule>
  </conditionalFormatting>
  <conditionalFormatting sqref="B54:P70">
    <cfRule type="containsText" dxfId="4" priority="8" operator="containsText" text="yago">
      <formula>NOT(ISERROR(SEARCH(("yago"),(B54))))</formula>
    </cfRule>
  </conditionalFormatting>
  <conditionalFormatting sqref="B54:P70">
    <cfRule type="containsText" dxfId="5" priority="9" operator="containsText" text="kotonowaka">
      <formula>NOT(ISERROR(SEARCH(("kotonowaka"),(B54))))</formula>
    </cfRule>
  </conditionalFormatting>
  <conditionalFormatting sqref="B54:P70">
    <cfRule type="containsText" dxfId="3" priority="10" operator="containsText" text="chiyoshoma">
      <formula>NOT(ISERROR(SEARCH(("chiyoshoma"),(B54))))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217" t="s">
        <v>392</v>
      </c>
      <c r="B1" s="198">
        <v>2.0</v>
      </c>
      <c r="C1" s="198">
        <v>5.0</v>
      </c>
      <c r="D1" s="198">
        <v>2.0</v>
      </c>
      <c r="E1" s="198">
        <v>2.0</v>
      </c>
      <c r="F1" s="198">
        <v>6.0</v>
      </c>
      <c r="G1" s="198">
        <v>3.0</v>
      </c>
      <c r="H1" s="198">
        <v>3.0</v>
      </c>
      <c r="I1" s="198">
        <v>6.0</v>
      </c>
      <c r="J1" s="198">
        <v>7.0</v>
      </c>
      <c r="K1" s="198">
        <v>1.0</v>
      </c>
      <c r="L1" s="198">
        <v>6.0</v>
      </c>
      <c r="M1" s="198">
        <v>7.0</v>
      </c>
      <c r="N1" s="198">
        <v>6.0</v>
      </c>
      <c r="O1" s="198">
        <v>5.0</v>
      </c>
      <c r="P1" s="198">
        <v>9.0</v>
      </c>
      <c r="Q1" s="209">
        <f t="shared" ref="Q1:Q7" si="1">sum(B1:P1)+T1</f>
        <v>85</v>
      </c>
      <c r="R1" s="217" t="s">
        <v>392</v>
      </c>
      <c r="S1" s="213">
        <f>countcoloredcells(tokitsukaze!normalpoints,A1)</f>
        <v>49</v>
      </c>
      <c r="T1" s="193">
        <f>countcoloredcells(tokitsukaze!lastday,A1)</f>
        <v>15</v>
      </c>
      <c r="U1" s="199"/>
      <c r="V1" s="23"/>
      <c r="X1" s="197"/>
      <c r="Z1" s="23"/>
      <c r="AB1" s="157"/>
      <c r="AC1" s="23"/>
    </row>
    <row r="2">
      <c r="A2" s="218" t="s">
        <v>393</v>
      </c>
      <c r="B2" s="198">
        <v>3.0</v>
      </c>
      <c r="C2" s="198">
        <v>3.0</v>
      </c>
      <c r="D2" s="198">
        <v>3.0</v>
      </c>
      <c r="E2" s="198">
        <v>7.0</v>
      </c>
      <c r="F2" s="198">
        <v>4.0</v>
      </c>
      <c r="G2" s="198">
        <v>5.0</v>
      </c>
      <c r="H2" s="198">
        <v>2.0</v>
      </c>
      <c r="I2" s="198">
        <v>6.0</v>
      </c>
      <c r="J2" s="198">
        <v>11.0</v>
      </c>
      <c r="K2" s="198">
        <v>8.0</v>
      </c>
      <c r="L2" s="198">
        <v>4.0</v>
      </c>
      <c r="M2" s="198">
        <v>7.0</v>
      </c>
      <c r="N2" s="198">
        <v>4.0</v>
      </c>
      <c r="O2" s="198">
        <v>6.0</v>
      </c>
      <c r="P2" s="198">
        <v>3.0</v>
      </c>
      <c r="Q2" s="209">
        <f t="shared" si="1"/>
        <v>81</v>
      </c>
      <c r="R2" s="218" t="s">
        <v>393</v>
      </c>
      <c r="S2" s="213">
        <f>countcoloredcells(tokitsukaze!normalpoints,A2)</f>
        <v>50</v>
      </c>
      <c r="T2" s="193">
        <f>countcoloredcells(tokitsukaze!lastday,A2)</f>
        <v>5</v>
      </c>
      <c r="U2" s="200"/>
      <c r="V2" s="23"/>
      <c r="X2" s="197"/>
      <c r="Z2" s="23"/>
      <c r="AB2" s="157"/>
      <c r="AC2" s="23"/>
    </row>
    <row r="3">
      <c r="A3" s="219" t="s">
        <v>394</v>
      </c>
      <c r="B3" s="198">
        <v>3.0</v>
      </c>
      <c r="C3" s="198">
        <v>6.0</v>
      </c>
      <c r="D3" s="198">
        <v>5.0</v>
      </c>
      <c r="E3" s="198">
        <v>4.0</v>
      </c>
      <c r="F3" s="198">
        <v>4.0</v>
      </c>
      <c r="G3" s="198">
        <v>4.0</v>
      </c>
      <c r="H3" s="198">
        <v>4.0</v>
      </c>
      <c r="I3" s="198">
        <v>2.0</v>
      </c>
      <c r="J3" s="198">
        <v>4.0</v>
      </c>
      <c r="K3" s="198">
        <v>5.0</v>
      </c>
      <c r="L3" s="198">
        <v>6.0</v>
      </c>
      <c r="M3" s="198">
        <v>3.0</v>
      </c>
      <c r="N3" s="198">
        <v>3.0</v>
      </c>
      <c r="O3" s="198">
        <v>2.0</v>
      </c>
      <c r="P3" s="198">
        <v>3.0</v>
      </c>
      <c r="Q3" s="209">
        <f t="shared" si="1"/>
        <v>58</v>
      </c>
      <c r="R3" s="219" t="s">
        <v>394</v>
      </c>
      <c r="S3" s="213">
        <f>countcoloredcells(tokitsukaze!normalpoints,A3)</f>
        <v>42</v>
      </c>
      <c r="T3" s="193">
        <f>countcoloredcells(tokitsukaze!lastday,A3)</f>
        <v>0</v>
      </c>
      <c r="U3" s="201"/>
      <c r="V3" s="23"/>
      <c r="X3" s="197"/>
      <c r="Z3" s="23"/>
      <c r="AB3" s="157"/>
      <c r="AC3" s="23"/>
    </row>
    <row r="4">
      <c r="A4" s="220" t="s">
        <v>357</v>
      </c>
      <c r="B4" s="198">
        <v>6.0</v>
      </c>
      <c r="C4" s="198">
        <v>3.0</v>
      </c>
      <c r="D4" s="198">
        <v>10.0</v>
      </c>
      <c r="E4" s="198">
        <v>7.0</v>
      </c>
      <c r="F4" s="198">
        <v>2.0</v>
      </c>
      <c r="G4" s="198">
        <v>3.0</v>
      </c>
      <c r="H4" s="198">
        <v>4.0</v>
      </c>
      <c r="I4" s="198">
        <v>4.0</v>
      </c>
      <c r="J4" s="198">
        <v>3.0</v>
      </c>
      <c r="K4" s="198">
        <v>3.0</v>
      </c>
      <c r="L4" s="198">
        <v>3.0</v>
      </c>
      <c r="M4" s="198">
        <v>5.0</v>
      </c>
      <c r="N4" s="198">
        <v>4.0</v>
      </c>
      <c r="O4" s="198">
        <v>4.0</v>
      </c>
      <c r="P4" s="198">
        <v>5.0</v>
      </c>
      <c r="Q4" s="209">
        <f t="shared" si="1"/>
        <v>76</v>
      </c>
      <c r="R4" s="220" t="s">
        <v>357</v>
      </c>
      <c r="S4" s="213">
        <f>countcoloredcells(tokitsukaze!normalpoints,A4)</f>
        <v>42</v>
      </c>
      <c r="T4" s="193">
        <f>countcoloredcells(tokitsukaze!lastday,A4)</f>
        <v>10</v>
      </c>
      <c r="U4" s="202"/>
      <c r="V4" s="23"/>
      <c r="X4" s="197"/>
      <c r="Z4" s="23"/>
      <c r="AB4" s="157"/>
      <c r="AC4" s="23"/>
    </row>
    <row r="5">
      <c r="A5" s="221" t="s">
        <v>395</v>
      </c>
      <c r="B5" s="198">
        <v>6.0</v>
      </c>
      <c r="C5" s="198">
        <v>7.0</v>
      </c>
      <c r="D5" s="198">
        <v>8.0</v>
      </c>
      <c r="E5" s="198">
        <v>6.0</v>
      </c>
      <c r="F5" s="198">
        <v>3.0</v>
      </c>
      <c r="G5" s="198">
        <v>2.0</v>
      </c>
      <c r="H5" s="198">
        <v>3.0</v>
      </c>
      <c r="I5" s="198">
        <v>8.0</v>
      </c>
      <c r="J5" s="198">
        <v>5.0</v>
      </c>
      <c r="K5" s="198">
        <v>9.0</v>
      </c>
      <c r="L5" s="198">
        <v>3.0</v>
      </c>
      <c r="M5" s="198">
        <v>3.0</v>
      </c>
      <c r="N5" s="198">
        <v>2.0</v>
      </c>
      <c r="O5" s="198">
        <v>4.0</v>
      </c>
      <c r="P5" s="198">
        <v>2.0</v>
      </c>
      <c r="Q5" s="209">
        <f t="shared" si="1"/>
        <v>76</v>
      </c>
      <c r="R5" s="221" t="s">
        <v>395</v>
      </c>
      <c r="S5" s="213">
        <f>countcoloredcells(tokitsukaze!normalpoints,A5)</f>
        <v>44</v>
      </c>
      <c r="T5" s="193">
        <f>countcoloredcells(tokitsukaze!lastday,A5)</f>
        <v>5</v>
      </c>
      <c r="U5" s="203"/>
      <c r="V5" s="23"/>
      <c r="X5" s="197"/>
      <c r="Z5" s="23"/>
      <c r="AB5" s="157"/>
      <c r="AC5" s="23"/>
    </row>
    <row r="6">
      <c r="A6" s="222" t="s">
        <v>396</v>
      </c>
      <c r="B6" s="198">
        <v>10.0</v>
      </c>
      <c r="C6" s="198">
        <v>7.0</v>
      </c>
      <c r="D6" s="198">
        <v>7.0</v>
      </c>
      <c r="E6" s="198">
        <v>3.0</v>
      </c>
      <c r="F6" s="198">
        <v>8.0</v>
      </c>
      <c r="G6" s="198">
        <v>8.0</v>
      </c>
      <c r="H6" s="198">
        <v>4.0</v>
      </c>
      <c r="I6" s="198">
        <v>3.0</v>
      </c>
      <c r="J6" s="198">
        <v>2.0</v>
      </c>
      <c r="K6" s="198">
        <v>3.0</v>
      </c>
      <c r="L6" s="198">
        <v>5.0</v>
      </c>
      <c r="M6" s="198">
        <v>2.0</v>
      </c>
      <c r="N6" s="198">
        <v>2.0</v>
      </c>
      <c r="O6" s="198">
        <v>5.0</v>
      </c>
      <c r="P6" s="198">
        <v>4.0</v>
      </c>
      <c r="Q6" s="209">
        <f t="shared" si="1"/>
        <v>78</v>
      </c>
      <c r="R6" s="222" t="s">
        <v>396</v>
      </c>
      <c r="S6" s="213">
        <f>countcoloredcells(tokitsukaze!normalpoints,A6)</f>
        <v>46</v>
      </c>
      <c r="T6" s="193">
        <f>countcoloredcells(tokitsukaze!lastday,A6)</f>
        <v>5</v>
      </c>
      <c r="U6" s="204"/>
      <c r="V6" s="23"/>
      <c r="X6" s="197"/>
      <c r="Z6" s="23"/>
      <c r="AB6" s="157"/>
      <c r="AC6" s="23"/>
    </row>
    <row r="7">
      <c r="A7" s="223"/>
      <c r="B7" s="256">
        <f>countcoloredcells(B12:B71,A7)</f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15">
        <f t="shared" si="1"/>
        <v>0</v>
      </c>
      <c r="R7" s="205"/>
      <c r="S7" s="213">
        <f>countcoloredcells(tokitsukaze!normalpoints,A7)</f>
        <v>0</v>
      </c>
      <c r="T7" s="193">
        <f>countcoloredcells(tokitsukaze!lastday,A7)</f>
        <v>0</v>
      </c>
      <c r="U7" s="205"/>
      <c r="V7" s="23"/>
      <c r="X7" s="197"/>
      <c r="Z7" s="23"/>
      <c r="AB7" s="157"/>
      <c r="AC7" s="23"/>
    </row>
    <row r="8">
      <c r="A8" s="172"/>
      <c r="B8" s="224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 t="s">
        <v>361</v>
      </c>
      <c r="R8" s="27"/>
      <c r="S8" s="27" t="s">
        <v>362</v>
      </c>
      <c r="T8" s="157" t="s">
        <v>348</v>
      </c>
      <c r="U8" s="23" t="s">
        <v>350</v>
      </c>
      <c r="V8" s="23"/>
      <c r="W8" s="157"/>
      <c r="Z8" s="23"/>
      <c r="AB8" s="157"/>
      <c r="AC8" s="23"/>
    </row>
    <row r="9">
      <c r="A9" s="23" t="s">
        <v>349</v>
      </c>
      <c r="B9" s="27">
        <f t="shared" ref="B9:P9" si="2">SUM(B1:B7)</f>
        <v>30</v>
      </c>
      <c r="C9" s="27">
        <f t="shared" si="2"/>
        <v>31</v>
      </c>
      <c r="D9" s="27">
        <f t="shared" si="2"/>
        <v>35</v>
      </c>
      <c r="E9" s="27">
        <f t="shared" si="2"/>
        <v>29</v>
      </c>
      <c r="F9" s="27">
        <f t="shared" si="2"/>
        <v>27</v>
      </c>
      <c r="G9" s="27">
        <f t="shared" si="2"/>
        <v>25</v>
      </c>
      <c r="H9" s="27">
        <f t="shared" si="2"/>
        <v>20</v>
      </c>
      <c r="I9" s="27">
        <f t="shared" si="2"/>
        <v>29</v>
      </c>
      <c r="J9" s="27">
        <f t="shared" si="2"/>
        <v>32</v>
      </c>
      <c r="K9" s="27">
        <f t="shared" si="2"/>
        <v>29</v>
      </c>
      <c r="L9" s="27">
        <f t="shared" si="2"/>
        <v>27</v>
      </c>
      <c r="M9" s="27">
        <f t="shared" si="2"/>
        <v>27</v>
      </c>
      <c r="N9" s="27">
        <f t="shared" si="2"/>
        <v>21</v>
      </c>
      <c r="O9" s="27">
        <f t="shared" si="2"/>
        <v>26</v>
      </c>
      <c r="P9" s="27">
        <f t="shared" si="2"/>
        <v>26</v>
      </c>
      <c r="Q9" s="27"/>
      <c r="R9" s="27"/>
      <c r="S9" s="27" t="s">
        <v>363</v>
      </c>
      <c r="T9" s="23"/>
      <c r="U9" s="23"/>
      <c r="V9" s="23"/>
      <c r="W9" s="23"/>
      <c r="X9" s="23"/>
      <c r="Y9" s="23" t="s">
        <v>353</v>
      </c>
      <c r="Z9">
        <f>(Z11-Z12)+sum(B72:P72)</f>
        <v>-106</v>
      </c>
      <c r="AB9" s="157"/>
      <c r="AC9" s="23"/>
    </row>
    <row r="10">
      <c r="A10" s="172"/>
      <c r="B10" s="224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T10" s="23"/>
      <c r="U10" s="23"/>
      <c r="V10" s="23"/>
      <c r="W10" s="23"/>
      <c r="X10" s="23"/>
      <c r="Z10" s="23"/>
      <c r="AB10" s="157"/>
      <c r="AC10" s="23"/>
    </row>
    <row r="11">
      <c r="A11" s="153" t="s">
        <v>337</v>
      </c>
      <c r="B11" s="154">
        <v>1.0</v>
      </c>
      <c r="C11" s="155">
        <v>2.0</v>
      </c>
      <c r="D11" s="155">
        <v>3.0</v>
      </c>
      <c r="E11" s="155">
        <v>4.0</v>
      </c>
      <c r="F11" s="155">
        <v>5.0</v>
      </c>
      <c r="G11" s="155">
        <v>6.0</v>
      </c>
      <c r="H11" s="155">
        <v>7.0</v>
      </c>
      <c r="I11" s="155">
        <v>8.0</v>
      </c>
      <c r="J11" s="155">
        <v>9.0</v>
      </c>
      <c r="K11" s="155">
        <v>10.0</v>
      </c>
      <c r="L11" s="155">
        <v>11.0</v>
      </c>
      <c r="M11" s="155">
        <v>12.0</v>
      </c>
      <c r="N11" s="155">
        <v>13.0</v>
      </c>
      <c r="O11" s="155">
        <v>14.0</v>
      </c>
      <c r="P11" s="155">
        <v>15.0</v>
      </c>
      <c r="Q11" s="154" t="s">
        <v>338</v>
      </c>
      <c r="R11" s="155" t="s">
        <v>339</v>
      </c>
      <c r="T11" s="23" t="s">
        <v>340</v>
      </c>
      <c r="U11" s="23" t="s">
        <v>341</v>
      </c>
      <c r="V11" s="23" t="s">
        <v>342</v>
      </c>
      <c r="W11" s="23" t="s">
        <v>343</v>
      </c>
      <c r="X11" s="156" t="s">
        <v>344</v>
      </c>
      <c r="Z11" s="23">
        <f>sum(R12:R53)</f>
        <v>296</v>
      </c>
      <c r="AB11" s="157" t="s">
        <v>345</v>
      </c>
      <c r="AC11" s="23" t="s">
        <v>346</v>
      </c>
    </row>
    <row r="12">
      <c r="A12" s="158" t="s">
        <v>15</v>
      </c>
      <c r="B12" s="159" t="s">
        <v>40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1" t="str">
        <f>(BanzukeTable!A2)</f>
        <v>0-0</v>
      </c>
      <c r="R12" s="23">
        <f t="shared" ref="R12:R53" si="3">sum(T12+U12)</f>
        <v>1</v>
      </c>
      <c r="S12" s="230" t="s">
        <v>397</v>
      </c>
      <c r="T12">
        <f>countcoloredcells(B12:P12,A4)</f>
        <v>1</v>
      </c>
      <c r="U12">
        <f>COUNTIF(MASTER!bonuspoints2,"hakuho")</f>
        <v>0</v>
      </c>
      <c r="Z12" s="23">
        <f>sum(Q1:Q7)</f>
        <v>454</v>
      </c>
      <c r="AB12" s="163"/>
      <c r="AC12" s="164"/>
    </row>
    <row r="13">
      <c r="A13" s="167" t="s">
        <v>19</v>
      </c>
      <c r="B13" s="168"/>
      <c r="C13" s="160" t="s">
        <v>131</v>
      </c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9"/>
      <c r="Q13" s="170" t="str">
        <f>(BanzukeTable!E2)</f>
        <v>0-0</v>
      </c>
      <c r="R13" s="23">
        <f t="shared" si="3"/>
        <v>1</v>
      </c>
      <c r="S13" s="227" t="s">
        <v>392</v>
      </c>
      <c r="T13">
        <f>countcoloredcells(B13:P13,A1)</f>
        <v>1</v>
      </c>
      <c r="U13">
        <f>COUNTIF(MASTER!bonuspoints2,"kakuryu")</f>
        <v>0</v>
      </c>
      <c r="AB13" s="171"/>
      <c r="AC13" s="172"/>
    </row>
    <row r="14">
      <c r="A14" s="167" t="s">
        <v>27</v>
      </c>
      <c r="B14" s="168" t="s">
        <v>62</v>
      </c>
      <c r="C14" s="160"/>
      <c r="D14" s="160" t="s">
        <v>40</v>
      </c>
      <c r="E14" s="160" t="s">
        <v>48</v>
      </c>
      <c r="F14" s="160" t="s">
        <v>59</v>
      </c>
      <c r="G14" s="160" t="s">
        <v>36</v>
      </c>
      <c r="H14" s="160" t="s">
        <v>131</v>
      </c>
      <c r="I14" s="160" t="s">
        <v>45</v>
      </c>
      <c r="J14" s="160"/>
      <c r="K14" s="160" t="s">
        <v>100</v>
      </c>
      <c r="L14" s="160" t="s">
        <v>79</v>
      </c>
      <c r="M14" s="160" t="s">
        <v>72</v>
      </c>
      <c r="N14" s="160" t="s">
        <v>81</v>
      </c>
      <c r="O14" s="160"/>
      <c r="P14" s="229"/>
      <c r="Q14" s="170" t="str">
        <f>(BanzukeTable!A3)</f>
        <v>0-0</v>
      </c>
      <c r="R14" s="23">
        <f t="shared" si="3"/>
        <v>11</v>
      </c>
      <c r="S14" s="232" t="s">
        <v>398</v>
      </c>
      <c r="T14">
        <f>countcoloredcells(B14:P14,A3)</f>
        <v>11</v>
      </c>
      <c r="U14">
        <f>COUNTIF(MASTER!bonuspoints2,"takakeisho")</f>
        <v>0</v>
      </c>
      <c r="AB14" s="171"/>
      <c r="AC14" s="172"/>
    </row>
    <row r="15">
      <c r="A15" s="167" t="s">
        <v>236</v>
      </c>
      <c r="B15" s="168"/>
      <c r="C15" s="160"/>
      <c r="D15" s="160"/>
      <c r="E15" s="160" t="s">
        <v>40</v>
      </c>
      <c r="F15" s="160"/>
      <c r="G15" s="160" t="s">
        <v>59</v>
      </c>
      <c r="H15" s="160" t="s">
        <v>32</v>
      </c>
      <c r="I15" s="160"/>
      <c r="J15" s="160"/>
      <c r="K15" s="160"/>
      <c r="L15" s="160" t="s">
        <v>81</v>
      </c>
      <c r="M15" s="179"/>
      <c r="N15" s="160" t="s">
        <v>72</v>
      </c>
      <c r="O15" s="160"/>
      <c r="P15" s="169"/>
      <c r="Q15" s="170" t="str">
        <f>(BanzukeTable!E3)</f>
        <v>0-0</v>
      </c>
      <c r="R15" s="23">
        <f t="shared" si="3"/>
        <v>5</v>
      </c>
      <c r="S15" s="228" t="s">
        <v>393</v>
      </c>
      <c r="T15">
        <f>countcoloredcells(B15:P15,A2)</f>
        <v>5</v>
      </c>
      <c r="U15">
        <f>COUNTIF(MASTER!bonuspoints2,"goeido")</f>
        <v>0</v>
      </c>
      <c r="AB15" s="174"/>
      <c r="AC15" s="172"/>
    </row>
    <row r="16">
      <c r="A16" s="167" t="s">
        <v>23</v>
      </c>
      <c r="B16" s="168" t="s">
        <v>36</v>
      </c>
      <c r="C16" s="160" t="s">
        <v>59</v>
      </c>
      <c r="D16" s="160" t="s">
        <v>45</v>
      </c>
      <c r="E16" s="160"/>
      <c r="F16" s="160"/>
      <c r="G16" s="160" t="s">
        <v>62</v>
      </c>
      <c r="H16" s="160" t="s">
        <v>57</v>
      </c>
      <c r="I16" s="160"/>
      <c r="J16" s="160" t="s">
        <v>40</v>
      </c>
      <c r="K16" s="160"/>
      <c r="L16" s="160"/>
      <c r="M16" s="160" t="s">
        <v>370</v>
      </c>
      <c r="N16" s="160" t="s">
        <v>79</v>
      </c>
      <c r="O16" s="160" t="s">
        <v>371</v>
      </c>
      <c r="P16" s="169" t="s">
        <v>88</v>
      </c>
      <c r="Q16" s="170" t="str">
        <f>(BanzukeTable!A4)</f>
        <v>0-0</v>
      </c>
      <c r="R16" s="23">
        <f t="shared" si="3"/>
        <v>10</v>
      </c>
      <c r="S16" s="228" t="s">
        <v>393</v>
      </c>
      <c r="T16">
        <f>countcoloredcells(B16:P16,A2)</f>
        <v>10</v>
      </c>
      <c r="U16">
        <f>COUNTIF(MASTER!bonuspoints2,"asanoyama")</f>
        <v>0</v>
      </c>
      <c r="AB16" s="171"/>
      <c r="AC16" s="172"/>
    </row>
    <row r="17">
      <c r="A17" s="167" t="s">
        <v>81</v>
      </c>
      <c r="B17" s="168"/>
      <c r="C17" s="160" t="s">
        <v>45</v>
      </c>
      <c r="D17" s="160" t="s">
        <v>373</v>
      </c>
      <c r="E17" s="160"/>
      <c r="F17" s="160"/>
      <c r="G17" s="160"/>
      <c r="H17" s="160" t="s">
        <v>62</v>
      </c>
      <c r="I17" s="160"/>
      <c r="J17" s="160"/>
      <c r="K17" s="160" t="s">
        <v>131</v>
      </c>
      <c r="L17" s="160"/>
      <c r="M17" s="160"/>
      <c r="N17" s="160"/>
      <c r="O17" s="160" t="s">
        <v>72</v>
      </c>
      <c r="P17" s="169" t="s">
        <v>90</v>
      </c>
      <c r="Q17" s="170" t="str">
        <f>(BanzukeTable!E4)</f>
        <v>0-0</v>
      </c>
      <c r="R17" s="23">
        <f t="shared" si="3"/>
        <v>6</v>
      </c>
      <c r="S17" s="257" t="s">
        <v>396</v>
      </c>
      <c r="T17">
        <f>countcoloredcells(B17:P17,A6)</f>
        <v>6</v>
      </c>
      <c r="U17">
        <f>COUNTIF(MASTER!bonuspoints2,"takayasu")</f>
        <v>0</v>
      </c>
      <c r="AB17" s="171"/>
      <c r="AC17" s="172"/>
    </row>
    <row r="18">
      <c r="A18" s="167" t="s">
        <v>131</v>
      </c>
      <c r="B18" s="168"/>
      <c r="C18" s="160"/>
      <c r="D18" s="160"/>
      <c r="E18" s="160" t="s">
        <v>374</v>
      </c>
      <c r="F18" s="160" t="s">
        <v>62</v>
      </c>
      <c r="G18" s="160" t="s">
        <v>57</v>
      </c>
      <c r="H18" s="160"/>
      <c r="I18" s="160" t="s">
        <v>375</v>
      </c>
      <c r="J18" s="160" t="s">
        <v>48</v>
      </c>
      <c r="K18" s="160"/>
      <c r="L18" s="160"/>
      <c r="M18" s="179"/>
      <c r="N18" s="160"/>
      <c r="O18" s="160"/>
      <c r="P18" s="169"/>
      <c r="Q18" s="170" t="str">
        <f>(BanzukeTable!A5)</f>
        <v>0-0</v>
      </c>
      <c r="R18" s="23">
        <f t="shared" si="3"/>
        <v>5</v>
      </c>
      <c r="S18" s="231" t="s">
        <v>395</v>
      </c>
      <c r="T18">
        <f>countcoloredcells(B18:P18,A5)</f>
        <v>5</v>
      </c>
      <c r="U18">
        <f>COUNTIF(MASTER!bonuspoints2,"abi")</f>
        <v>0</v>
      </c>
      <c r="AB18" s="171"/>
      <c r="AC18" s="172"/>
    </row>
    <row r="19">
      <c r="A19" s="167" t="s">
        <v>40</v>
      </c>
      <c r="B19" s="168"/>
      <c r="C19" s="160" t="s">
        <v>62</v>
      </c>
      <c r="D19" s="160"/>
      <c r="E19" s="160"/>
      <c r="F19" s="160" t="s">
        <v>376</v>
      </c>
      <c r="G19" s="160"/>
      <c r="H19" s="160"/>
      <c r="I19" s="160" t="s">
        <v>59</v>
      </c>
      <c r="J19" s="160"/>
      <c r="K19" s="160"/>
      <c r="L19" s="160"/>
      <c r="M19" s="160" t="s">
        <v>79</v>
      </c>
      <c r="N19" s="160" t="s">
        <v>138</v>
      </c>
      <c r="O19" s="160" t="s">
        <v>100</v>
      </c>
      <c r="P19" s="169" t="s">
        <v>131</v>
      </c>
      <c r="Q19" s="170" t="str">
        <f>(BanzukeTable!E5)</f>
        <v/>
      </c>
      <c r="R19" s="23">
        <f t="shared" si="3"/>
        <v>7</v>
      </c>
      <c r="S19" s="227" t="s">
        <v>392</v>
      </c>
      <c r="T19">
        <f>countcoloredcells(B19:P19,A1)</f>
        <v>7</v>
      </c>
      <c r="U19">
        <f>COUNTIF(MASTER!bonuspoints2,"daieisho")</f>
        <v>0</v>
      </c>
      <c r="AB19" s="171"/>
      <c r="AC19" s="172"/>
    </row>
    <row r="20">
      <c r="A20" s="167" t="s">
        <v>48</v>
      </c>
      <c r="B20" s="168" t="s">
        <v>377</v>
      </c>
      <c r="C20" s="160" t="s">
        <v>378</v>
      </c>
      <c r="D20" s="160" t="s">
        <v>379</v>
      </c>
      <c r="E20" s="160"/>
      <c r="F20" s="160" t="s">
        <v>380</v>
      </c>
      <c r="G20" s="160" t="s">
        <v>381</v>
      </c>
      <c r="H20" s="160" t="s">
        <v>59</v>
      </c>
      <c r="I20" s="160"/>
      <c r="J20" s="160"/>
      <c r="K20" s="160"/>
      <c r="L20" s="160" t="s">
        <v>62</v>
      </c>
      <c r="M20" s="179"/>
      <c r="N20" s="160" t="s">
        <v>45</v>
      </c>
      <c r="O20" s="160"/>
      <c r="P20" s="169" t="s">
        <v>138</v>
      </c>
      <c r="Q20" s="170" t="str">
        <f>(BanzukeTable!A6)</f>
        <v>0-0</v>
      </c>
      <c r="R20" s="23">
        <f t="shared" si="3"/>
        <v>9</v>
      </c>
      <c r="S20" s="257" t="s">
        <v>396</v>
      </c>
      <c r="T20">
        <f>countcoloredcells(B20:P20,A6)</f>
        <v>9</v>
      </c>
      <c r="U20">
        <f>COUNTIF(MASTER!bonuspoints2,"endo")</f>
        <v>0</v>
      </c>
      <c r="AB20" s="174"/>
      <c r="AC20" s="172"/>
    </row>
    <row r="21">
      <c r="A21" s="173" t="s">
        <v>62</v>
      </c>
      <c r="B21" s="168"/>
      <c r="C21" s="160"/>
      <c r="D21" s="160" t="s">
        <v>378</v>
      </c>
      <c r="E21" s="160" t="s">
        <v>377</v>
      </c>
      <c r="F21" s="160"/>
      <c r="G21" s="160"/>
      <c r="H21" s="160"/>
      <c r="I21" s="160" t="s">
        <v>36</v>
      </c>
      <c r="J21" s="160"/>
      <c r="K21" s="160"/>
      <c r="L21" s="160"/>
      <c r="M21" s="160" t="s">
        <v>45</v>
      </c>
      <c r="N21" s="160"/>
      <c r="O21" s="160"/>
      <c r="P21" s="169" t="s">
        <v>72</v>
      </c>
      <c r="Q21" s="170" t="str">
        <f>(BanzukeTable!E6)</f>
        <v>0-0</v>
      </c>
      <c r="R21" s="23">
        <f t="shared" si="3"/>
        <v>5</v>
      </c>
      <c r="S21" s="230" t="s">
        <v>397</v>
      </c>
      <c r="T21">
        <f t="shared" ref="T21:T22" si="4">countcoloredcells(B21:P21,A4)</f>
        <v>5</v>
      </c>
      <c r="U21">
        <f>COUNTIF(MASTER!bonuspoints2,"myogiryu")</f>
        <v>0</v>
      </c>
      <c r="AB21" s="171"/>
      <c r="AC21" s="172"/>
    </row>
    <row r="22">
      <c r="A22" s="158" t="s">
        <v>57</v>
      </c>
      <c r="B22" s="168" t="s">
        <v>379</v>
      </c>
      <c r="C22" s="160" t="s">
        <v>382</v>
      </c>
      <c r="D22" s="160" t="s">
        <v>377</v>
      </c>
      <c r="E22" s="160" t="s">
        <v>15</v>
      </c>
      <c r="F22" s="160"/>
      <c r="G22" s="160"/>
      <c r="H22" s="160"/>
      <c r="I22" s="160" t="s">
        <v>381</v>
      </c>
      <c r="J22" s="160" t="s">
        <v>62</v>
      </c>
      <c r="K22" s="178" t="s">
        <v>383</v>
      </c>
      <c r="L22" s="160" t="s">
        <v>59</v>
      </c>
      <c r="M22" s="160" t="s">
        <v>48</v>
      </c>
      <c r="N22" s="160" t="s">
        <v>36</v>
      </c>
      <c r="O22" s="160" t="s">
        <v>84</v>
      </c>
      <c r="P22" s="169"/>
      <c r="Q22" s="161" t="str">
        <f>(BanzukeTable!A7)</f>
        <v>0-0</v>
      </c>
      <c r="R22" s="23">
        <f t="shared" si="3"/>
        <v>11</v>
      </c>
      <c r="S22" s="231" t="s">
        <v>395</v>
      </c>
      <c r="T22">
        <f t="shared" si="4"/>
        <v>11</v>
      </c>
      <c r="U22">
        <f>COUNTIF(MASTER!bonuspoints2,"hokutofuji")</f>
        <v>0</v>
      </c>
      <c r="AB22" s="171"/>
      <c r="AC22" s="172"/>
    </row>
    <row r="23">
      <c r="A23" s="158" t="s">
        <v>36</v>
      </c>
      <c r="B23" s="168"/>
      <c r="C23" s="160" t="s">
        <v>379</v>
      </c>
      <c r="D23" s="160"/>
      <c r="E23" s="160" t="s">
        <v>59</v>
      </c>
      <c r="F23" s="160" t="s">
        <v>19</v>
      </c>
      <c r="G23" s="160"/>
      <c r="H23" s="160" t="s">
        <v>383</v>
      </c>
      <c r="I23" s="160"/>
      <c r="J23" s="160" t="s">
        <v>45</v>
      </c>
      <c r="K23" s="160" t="s">
        <v>48</v>
      </c>
      <c r="L23" s="160" t="s">
        <v>384</v>
      </c>
      <c r="M23" s="175"/>
      <c r="N23" s="160"/>
      <c r="O23" s="160"/>
      <c r="P23" s="229"/>
      <c r="Q23" s="161" t="str">
        <f>(BanzukeTable!E7)</f>
        <v>0-0</v>
      </c>
      <c r="R23" s="23">
        <f t="shared" si="3"/>
        <v>7</v>
      </c>
      <c r="S23" s="232" t="s">
        <v>398</v>
      </c>
      <c r="T23">
        <f t="shared" ref="T23:T24" si="5">countcoloredcells(B23:P23,A3)</f>
        <v>7</v>
      </c>
      <c r="U23">
        <f>COUNTIF(MASTER!bonuspoints2,"mitakeumi")</f>
        <v>0</v>
      </c>
      <c r="AB23" s="171"/>
      <c r="AC23" s="172"/>
    </row>
    <row r="24">
      <c r="A24" s="158" t="s">
        <v>59</v>
      </c>
      <c r="B24" s="168" t="s">
        <v>381</v>
      </c>
      <c r="C24" s="160"/>
      <c r="D24" s="160" t="s">
        <v>384</v>
      </c>
      <c r="E24" s="160"/>
      <c r="F24" s="160"/>
      <c r="G24" s="160"/>
      <c r="H24" s="160"/>
      <c r="I24" s="160"/>
      <c r="J24" s="160"/>
      <c r="K24" s="160" t="s">
        <v>62</v>
      </c>
      <c r="L24" s="160"/>
      <c r="M24" s="160"/>
      <c r="N24" s="160"/>
      <c r="O24" s="160" t="s">
        <v>107</v>
      </c>
      <c r="P24" s="169" t="s">
        <v>125</v>
      </c>
      <c r="Q24" s="161" t="str">
        <f>(BanzukeTable!A8)</f>
        <v>0-0</v>
      </c>
      <c r="R24" s="23">
        <f t="shared" si="3"/>
        <v>5</v>
      </c>
      <c r="S24" s="230" t="s">
        <v>397</v>
      </c>
      <c r="T24">
        <f t="shared" si="5"/>
        <v>5</v>
      </c>
      <c r="U24">
        <f>COUNTIF(MASTER!bonuspoints2,"tamawashi")</f>
        <v>0</v>
      </c>
      <c r="AB24" s="176"/>
      <c r="AC24" s="172"/>
    </row>
    <row r="25">
      <c r="A25" s="158" t="s">
        <v>157</v>
      </c>
      <c r="B25" s="168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9"/>
      <c r="Q25" s="161" t="str">
        <f>(BanzukeTable!E8)</f>
        <v>0-0</v>
      </c>
      <c r="R25" s="23">
        <f t="shared" si="3"/>
        <v>0</v>
      </c>
      <c r="T25">
        <f>countcoloredcells(B25:P25,A2)</f>
        <v>0</v>
      </c>
      <c r="U25">
        <f>COUNTIF(MASTER!bonuspoints2,"kotoyuki")</f>
        <v>0</v>
      </c>
      <c r="AB25" s="171"/>
      <c r="AC25" s="172"/>
    </row>
    <row r="26">
      <c r="A26" s="158" t="s">
        <v>45</v>
      </c>
      <c r="B26" s="168" t="s">
        <v>384</v>
      </c>
      <c r="C26" s="160"/>
      <c r="D26" s="160"/>
      <c r="E26" s="160" t="s">
        <v>122</v>
      </c>
      <c r="F26" s="160" t="s">
        <v>379</v>
      </c>
      <c r="G26" s="160" t="s">
        <v>383</v>
      </c>
      <c r="H26" s="160" t="s">
        <v>100</v>
      </c>
      <c r="I26" s="160"/>
      <c r="J26" s="160"/>
      <c r="K26" s="160" t="s">
        <v>102</v>
      </c>
      <c r="L26" s="160" t="s">
        <v>72</v>
      </c>
      <c r="M26" s="160"/>
      <c r="N26" s="160"/>
      <c r="O26" s="160"/>
      <c r="P26" s="169" t="s">
        <v>176</v>
      </c>
      <c r="Q26" s="161" t="str">
        <f>(BanzukeTable!A9)</f>
        <v>0-0</v>
      </c>
      <c r="R26" s="23">
        <f t="shared" si="3"/>
        <v>8</v>
      </c>
      <c r="S26" s="257" t="s">
        <v>396</v>
      </c>
      <c r="T26">
        <f>countcoloredcells(B26:P26,A6)</f>
        <v>8</v>
      </c>
      <c r="U26">
        <f>COUNTIF(MASTER!bonuspoints2,"okinoumi")</f>
        <v>0</v>
      </c>
      <c r="AB26" s="171"/>
      <c r="AC26" s="172"/>
    </row>
    <row r="27">
      <c r="A27" s="177" t="s">
        <v>32</v>
      </c>
      <c r="B27" s="168" t="s">
        <v>122</v>
      </c>
      <c r="C27" s="160" t="s">
        <v>100</v>
      </c>
      <c r="D27" s="160" t="s">
        <v>79</v>
      </c>
      <c r="E27" s="160" t="s">
        <v>381</v>
      </c>
      <c r="F27" s="160" t="s">
        <v>57</v>
      </c>
      <c r="G27" s="160" t="s">
        <v>72</v>
      </c>
      <c r="H27" s="160"/>
      <c r="I27" s="160" t="s">
        <v>380</v>
      </c>
      <c r="J27" s="160" t="s">
        <v>382</v>
      </c>
      <c r="K27" s="160" t="s">
        <v>138</v>
      </c>
      <c r="L27" s="160" t="s">
        <v>383</v>
      </c>
      <c r="M27" s="160" t="s">
        <v>384</v>
      </c>
      <c r="N27" s="160" t="s">
        <v>84</v>
      </c>
      <c r="O27" s="160"/>
      <c r="P27" s="169" t="s">
        <v>36</v>
      </c>
      <c r="Q27" s="161" t="str">
        <f>(BanzukeTable!E9)</f>
        <v>0-0</v>
      </c>
      <c r="R27" s="23">
        <f t="shared" si="3"/>
        <v>13</v>
      </c>
      <c r="S27" s="228" t="s">
        <v>393</v>
      </c>
      <c r="T27">
        <f t="shared" ref="T27:T28" si="6">countcoloredcells(B27:P27,A2)</f>
        <v>13</v>
      </c>
      <c r="U27">
        <f>COUNTIF(MASTER!bonuspoints2,"shodai")</f>
        <v>0</v>
      </c>
      <c r="AB27" s="174"/>
      <c r="AC27" s="172"/>
    </row>
    <row r="28">
      <c r="A28" s="158" t="s">
        <v>122</v>
      </c>
      <c r="B28" s="168"/>
      <c r="C28" s="160"/>
      <c r="D28" s="160"/>
      <c r="E28" s="160"/>
      <c r="F28" s="160" t="s">
        <v>72</v>
      </c>
      <c r="G28" s="160"/>
      <c r="H28" s="160"/>
      <c r="I28" s="160"/>
      <c r="J28" s="160"/>
      <c r="K28" s="160"/>
      <c r="L28" s="178"/>
      <c r="M28" s="179"/>
      <c r="N28" s="160"/>
      <c r="O28" s="160"/>
      <c r="P28" s="169"/>
      <c r="Q28" s="161" t="str">
        <f>(BanzukeTable!A10)</f>
        <v>0-0</v>
      </c>
      <c r="R28" s="23">
        <f t="shared" si="3"/>
        <v>1</v>
      </c>
      <c r="S28" s="232" t="s">
        <v>398</v>
      </c>
      <c r="T28">
        <f t="shared" si="6"/>
        <v>1</v>
      </c>
      <c r="U28">
        <f>COUNTIF(MASTER!bonuspoints2,"meisei")</f>
        <v>0</v>
      </c>
      <c r="AB28" s="171"/>
      <c r="AC28" s="172"/>
    </row>
    <row r="29">
      <c r="A29" s="158" t="s">
        <v>100</v>
      </c>
      <c r="B29" s="168" t="s">
        <v>79</v>
      </c>
      <c r="C29" s="160"/>
      <c r="D29" s="160" t="s">
        <v>122</v>
      </c>
      <c r="E29" s="160"/>
      <c r="F29" s="160" t="s">
        <v>138</v>
      </c>
      <c r="G29" s="160"/>
      <c r="H29" s="160"/>
      <c r="I29" s="160" t="s">
        <v>48</v>
      </c>
      <c r="J29" s="160" t="s">
        <v>379</v>
      </c>
      <c r="K29" s="160"/>
      <c r="L29" s="160" t="s">
        <v>380</v>
      </c>
      <c r="M29" s="160" t="s">
        <v>381</v>
      </c>
      <c r="N29" s="160" t="s">
        <v>384</v>
      </c>
      <c r="O29" s="160"/>
      <c r="P29" s="169"/>
      <c r="Q29" s="161" t="str">
        <f>(BanzukeTable!E10)</f>
        <v>0-0</v>
      </c>
      <c r="R29" s="23">
        <f t="shared" si="3"/>
        <v>8</v>
      </c>
      <c r="S29" s="227" t="s">
        <v>392</v>
      </c>
      <c r="T29">
        <f t="shared" ref="T29:T30" si="7">countcoloredcells(B29:P29,A1)</f>
        <v>8</v>
      </c>
      <c r="U29">
        <f>COUNTIF(MASTER!bonuspoints2,"enho")</f>
        <v>0</v>
      </c>
      <c r="AB29" s="171"/>
      <c r="AC29" s="172"/>
    </row>
    <row r="30">
      <c r="A30" s="177" t="s">
        <v>79</v>
      </c>
      <c r="B30" s="168"/>
      <c r="C30" s="160" t="s">
        <v>122</v>
      </c>
      <c r="D30" s="160"/>
      <c r="E30" s="160" t="s">
        <v>138</v>
      </c>
      <c r="F30" s="160"/>
      <c r="G30" s="160"/>
      <c r="H30" s="160"/>
      <c r="I30" s="160" t="s">
        <v>105</v>
      </c>
      <c r="J30" s="160" t="s">
        <v>381</v>
      </c>
      <c r="K30" s="160" t="s">
        <v>379</v>
      </c>
      <c r="L30" s="160"/>
      <c r="M30" s="160"/>
      <c r="N30" s="160"/>
      <c r="O30" s="160" t="s">
        <v>384</v>
      </c>
      <c r="P30" s="169" t="s">
        <v>135</v>
      </c>
      <c r="Q30" s="161" t="str">
        <f>(BanzukeTable!A11)</f>
        <v>0-0</v>
      </c>
      <c r="R30" s="23">
        <f t="shared" si="3"/>
        <v>7</v>
      </c>
      <c r="S30" s="228" t="s">
        <v>393</v>
      </c>
      <c r="T30">
        <f t="shared" si="7"/>
        <v>7</v>
      </c>
      <c r="U30">
        <f>COUNTIF(MASTER!bonuspoints2,"takarafuji")</f>
        <v>0</v>
      </c>
      <c r="AB30" s="171"/>
      <c r="AC30" s="172"/>
    </row>
    <row r="31">
      <c r="A31" s="158" t="s">
        <v>72</v>
      </c>
      <c r="B31" s="168"/>
      <c r="C31" s="160" t="s">
        <v>102</v>
      </c>
      <c r="D31" s="160"/>
      <c r="E31" s="160" t="s">
        <v>100</v>
      </c>
      <c r="F31" s="160"/>
      <c r="G31" s="160"/>
      <c r="H31" s="233" t="s">
        <v>79</v>
      </c>
      <c r="I31" s="160"/>
      <c r="J31" s="160" t="s">
        <v>59</v>
      </c>
      <c r="K31" s="160" t="s">
        <v>380</v>
      </c>
      <c r="L31" s="160"/>
      <c r="M31" s="160"/>
      <c r="N31" s="160"/>
      <c r="O31" s="160"/>
      <c r="P31" s="169"/>
      <c r="Q31" s="161" t="str">
        <f>(BanzukeTable!E11)</f>
        <v>0-0</v>
      </c>
      <c r="R31" s="23">
        <f t="shared" si="3"/>
        <v>5</v>
      </c>
      <c r="S31" s="231" t="s">
        <v>395</v>
      </c>
      <c r="T31">
        <f t="shared" ref="T31:T32" si="8">countcoloredcells(B31:P31,A5)</f>
        <v>5</v>
      </c>
      <c r="U31">
        <f>COUNTIF(MASTER!bonuspoints2,"tochinoshin")</f>
        <v>0</v>
      </c>
      <c r="AB31" s="174"/>
      <c r="AC31" s="172"/>
    </row>
    <row r="32">
      <c r="A32" s="158" t="s">
        <v>138</v>
      </c>
      <c r="B32" s="168" t="s">
        <v>72</v>
      </c>
      <c r="C32" s="160"/>
      <c r="D32" s="160" t="s">
        <v>102</v>
      </c>
      <c r="E32" s="160"/>
      <c r="F32" s="160"/>
      <c r="G32" s="160" t="s">
        <v>122</v>
      </c>
      <c r="H32" s="160"/>
      <c r="I32" s="160" t="s">
        <v>111</v>
      </c>
      <c r="J32" s="160" t="s">
        <v>54</v>
      </c>
      <c r="K32" s="160"/>
      <c r="L32" s="160"/>
      <c r="M32" s="160" t="s">
        <v>36</v>
      </c>
      <c r="N32" s="160"/>
      <c r="O32" s="160" t="s">
        <v>379</v>
      </c>
      <c r="P32" s="169"/>
      <c r="Q32" s="161" t="str">
        <f>(BanzukeTable!A12)</f>
        <v>0-0</v>
      </c>
      <c r="R32" s="23">
        <f t="shared" si="3"/>
        <v>7</v>
      </c>
      <c r="S32" s="257" t="s">
        <v>396</v>
      </c>
      <c r="T32">
        <f t="shared" si="8"/>
        <v>7</v>
      </c>
      <c r="U32">
        <f>COUNTIF(MASTER!bonuspoints2,"shohozan")</f>
        <v>0</v>
      </c>
      <c r="AB32" s="171"/>
      <c r="AC32" s="172"/>
    </row>
    <row r="33">
      <c r="A33" s="158" t="s">
        <v>102</v>
      </c>
      <c r="B33" s="168"/>
      <c r="C33" s="160"/>
      <c r="D33" s="160"/>
      <c r="E33" s="160"/>
      <c r="F33" s="160" t="s">
        <v>79</v>
      </c>
      <c r="G33" s="160" t="s">
        <v>100</v>
      </c>
      <c r="H33" s="160" t="s">
        <v>122</v>
      </c>
      <c r="I33" s="160" t="s">
        <v>125</v>
      </c>
      <c r="J33" s="160"/>
      <c r="K33" s="160"/>
      <c r="L33" s="160" t="s">
        <v>119</v>
      </c>
      <c r="M33" s="160" t="s">
        <v>59</v>
      </c>
      <c r="N33" s="160" t="s">
        <v>107</v>
      </c>
      <c r="O33" s="160" t="s">
        <v>62</v>
      </c>
      <c r="P33" s="169" t="s">
        <v>379</v>
      </c>
      <c r="Q33" s="161" t="str">
        <f>(BanzukeTable!E12)</f>
        <v>0-0</v>
      </c>
      <c r="R33" s="23">
        <f t="shared" si="3"/>
        <v>9</v>
      </c>
      <c r="S33" s="227" t="s">
        <v>392</v>
      </c>
      <c r="T33">
        <f>countcoloredcells(B33:P33,A1)</f>
        <v>9</v>
      </c>
      <c r="U33">
        <f>COUNTIF(MASTER!bonuspoints2,"onosho")</f>
        <v>0</v>
      </c>
      <c r="AB33" s="171"/>
      <c r="AC33" s="172"/>
    </row>
    <row r="34">
      <c r="A34" s="158" t="s">
        <v>90</v>
      </c>
      <c r="B34" s="168" t="s">
        <v>102</v>
      </c>
      <c r="C34" s="160" t="s">
        <v>138</v>
      </c>
      <c r="D34" s="160"/>
      <c r="E34" s="160"/>
      <c r="F34" s="160" t="s">
        <v>88</v>
      </c>
      <c r="G34" s="160" t="s">
        <v>79</v>
      </c>
      <c r="H34" s="160"/>
      <c r="I34" s="160"/>
      <c r="J34" s="160"/>
      <c r="K34" s="160"/>
      <c r="L34" s="160"/>
      <c r="M34" s="179"/>
      <c r="N34" s="160"/>
      <c r="O34" s="160"/>
      <c r="P34" s="169"/>
      <c r="Q34" s="161" t="str">
        <f>(BanzukeTable!A13)</f>
        <v>0-0</v>
      </c>
      <c r="R34" s="23">
        <f t="shared" si="3"/>
        <v>4</v>
      </c>
      <c r="S34" s="227" t="s">
        <v>392</v>
      </c>
      <c r="T34">
        <f>countcoloredcells(B34:P34,A1)</f>
        <v>4</v>
      </c>
      <c r="U34">
        <f>COUNTIF(MASTER!bonuspoints2,"aoiyama")</f>
        <v>0</v>
      </c>
      <c r="AB34" s="171"/>
      <c r="AC34" s="172"/>
    </row>
    <row r="35">
      <c r="A35" s="158" t="s">
        <v>88</v>
      </c>
      <c r="B35" s="168"/>
      <c r="C35" s="160" t="s">
        <v>70</v>
      </c>
      <c r="D35" s="160" t="s">
        <v>72</v>
      </c>
      <c r="E35" s="160" t="s">
        <v>102</v>
      </c>
      <c r="F35" s="160"/>
      <c r="G35" s="160"/>
      <c r="H35" s="160" t="s">
        <v>138</v>
      </c>
      <c r="I35" s="160" t="s">
        <v>122</v>
      </c>
      <c r="J35" s="160" t="s">
        <v>111</v>
      </c>
      <c r="K35" s="160"/>
      <c r="L35" s="160" t="s">
        <v>180</v>
      </c>
      <c r="M35" s="160" t="s">
        <v>163</v>
      </c>
      <c r="N35" s="160" t="s">
        <v>65</v>
      </c>
      <c r="O35" s="160" t="s">
        <v>36</v>
      </c>
      <c r="P35" s="169"/>
      <c r="Q35" s="161" t="str">
        <f>(BanzukeTable!E13)</f>
        <v>0-0</v>
      </c>
      <c r="R35" s="23">
        <f t="shared" si="3"/>
        <v>10</v>
      </c>
      <c r="S35" s="227" t="s">
        <v>392</v>
      </c>
      <c r="T35">
        <f>countcoloredcells(B35:P35,A1)</f>
        <v>10</v>
      </c>
      <c r="U35">
        <f>COUNTIF(MASTER!bonuspoints2,"ryuden")</f>
        <v>0</v>
      </c>
      <c r="AB35" s="171"/>
      <c r="AC35" s="172"/>
    </row>
    <row r="36">
      <c r="A36" s="177" t="s">
        <v>54</v>
      </c>
      <c r="B36" s="168" t="s">
        <v>88</v>
      </c>
      <c r="C36" s="160"/>
      <c r="D36" s="160" t="s">
        <v>90</v>
      </c>
      <c r="E36" s="160"/>
      <c r="F36" s="160"/>
      <c r="G36" s="160"/>
      <c r="H36" s="160" t="s">
        <v>84</v>
      </c>
      <c r="I36" s="160" t="s">
        <v>72</v>
      </c>
      <c r="J36" s="160"/>
      <c r="K36" s="160" t="s">
        <v>119</v>
      </c>
      <c r="L36" s="160"/>
      <c r="M36" s="160" t="s">
        <v>114</v>
      </c>
      <c r="N36" s="160"/>
      <c r="O36" s="160" t="s">
        <v>45</v>
      </c>
      <c r="P36" s="169"/>
      <c r="Q36" s="161" t="str">
        <f>(BanzukeTable!A14)</f>
        <v>0-0</v>
      </c>
      <c r="R36" s="23">
        <f t="shared" si="3"/>
        <v>7</v>
      </c>
      <c r="S36" s="231" t="s">
        <v>395</v>
      </c>
      <c r="T36">
        <f>countcoloredcells(B36:P36,A5)</f>
        <v>7</v>
      </c>
      <c r="U36">
        <f>COUNTIF(MASTER!bonuspoints2,"takanosho")</f>
        <v>0</v>
      </c>
      <c r="AB36" s="171"/>
      <c r="AC36" s="172"/>
    </row>
    <row r="37">
      <c r="A37" s="158" t="s">
        <v>70</v>
      </c>
      <c r="B37" s="168" t="s">
        <v>105</v>
      </c>
      <c r="C37" s="160"/>
      <c r="D37" s="160" t="s">
        <v>125</v>
      </c>
      <c r="E37" s="160" t="s">
        <v>90</v>
      </c>
      <c r="F37" s="160" t="s">
        <v>54</v>
      </c>
      <c r="G37" s="160" t="s">
        <v>84</v>
      </c>
      <c r="H37" s="160"/>
      <c r="I37" s="160" t="s">
        <v>65</v>
      </c>
      <c r="J37" s="160" t="s">
        <v>102</v>
      </c>
      <c r="K37" s="160" t="s">
        <v>176</v>
      </c>
      <c r="L37" s="160" t="s">
        <v>138</v>
      </c>
      <c r="M37" s="160"/>
      <c r="N37" s="160"/>
      <c r="O37" s="160" t="s">
        <v>48</v>
      </c>
      <c r="P37" s="169" t="s">
        <v>57</v>
      </c>
      <c r="Q37" s="161" t="str">
        <f>(BanzukeTable!E14)</f>
        <v>0-0</v>
      </c>
      <c r="R37" s="23">
        <f t="shared" si="3"/>
        <v>11</v>
      </c>
      <c r="S37" s="232" t="s">
        <v>398</v>
      </c>
      <c r="T37">
        <f>countcoloredcells(B37:P37,A3)</f>
        <v>11</v>
      </c>
      <c r="U37">
        <f>COUNTIF(MASTER!bonuspoints2,"yutakayama")</f>
        <v>0</v>
      </c>
      <c r="AB37" s="171"/>
      <c r="AC37" s="172"/>
    </row>
    <row r="38">
      <c r="A38" s="158" t="s">
        <v>105</v>
      </c>
      <c r="B38" s="168"/>
      <c r="C38" s="160" t="s">
        <v>54</v>
      </c>
      <c r="D38" s="160" t="s">
        <v>111</v>
      </c>
      <c r="E38" s="160"/>
      <c r="F38" s="160"/>
      <c r="G38" s="160" t="s">
        <v>88</v>
      </c>
      <c r="H38" s="160" t="s">
        <v>90</v>
      </c>
      <c r="I38" s="160"/>
      <c r="J38" s="160" t="s">
        <v>176</v>
      </c>
      <c r="K38" s="160" t="s">
        <v>114</v>
      </c>
      <c r="L38" s="160"/>
      <c r="M38" s="160"/>
      <c r="N38" s="160"/>
      <c r="O38" s="160"/>
      <c r="P38" s="169" t="s">
        <v>107</v>
      </c>
      <c r="Q38" s="161" t="str">
        <f>(BanzukeTable!A15)</f>
        <v>0-0</v>
      </c>
      <c r="R38" s="23">
        <f t="shared" si="3"/>
        <v>7</v>
      </c>
      <c r="S38" s="232" t="s">
        <v>398</v>
      </c>
      <c r="T38">
        <f>countcoloredcells(B38:P38,A3)</f>
        <v>7</v>
      </c>
      <c r="U38">
        <f>COUNTIF(MASTER!bonuspoints2,"sadanoumi")</f>
        <v>0</v>
      </c>
      <c r="AB38" s="171"/>
      <c r="AC38" s="172"/>
    </row>
    <row r="39">
      <c r="A39" s="158" t="s">
        <v>125</v>
      </c>
      <c r="B39" s="168"/>
      <c r="C39" s="160"/>
      <c r="D39" s="160"/>
      <c r="E39" s="160" t="s">
        <v>54</v>
      </c>
      <c r="F39" s="160" t="s">
        <v>105</v>
      </c>
      <c r="G39" s="160"/>
      <c r="H39" s="160"/>
      <c r="I39" s="160"/>
      <c r="J39" s="160" t="s">
        <v>90</v>
      </c>
      <c r="K39" s="160" t="s">
        <v>88</v>
      </c>
      <c r="L39" s="160" t="s">
        <v>150</v>
      </c>
      <c r="M39" s="160" t="s">
        <v>119</v>
      </c>
      <c r="N39" s="160"/>
      <c r="O39" s="160"/>
      <c r="P39" s="169"/>
      <c r="Q39" s="161" t="str">
        <f>(BanzukeTable!E15)</f>
        <v>0-0</v>
      </c>
      <c r="R39" s="23">
        <f t="shared" si="3"/>
        <v>6</v>
      </c>
      <c r="S39" s="228" t="s">
        <v>393</v>
      </c>
      <c r="T39">
        <f>countcoloredcells(B39:P39,A2)</f>
        <v>6</v>
      </c>
      <c r="U39">
        <f>COUNTIF(MASTER!bonuspoints2,"ishiura")</f>
        <v>0</v>
      </c>
      <c r="AB39" s="171"/>
      <c r="AC39" s="172"/>
    </row>
    <row r="40">
      <c r="A40" s="158" t="s">
        <v>111</v>
      </c>
      <c r="B40" s="168" t="s">
        <v>125</v>
      </c>
      <c r="C40" s="160"/>
      <c r="D40" s="160"/>
      <c r="E40" s="160"/>
      <c r="F40" s="160"/>
      <c r="G40" s="160" t="s">
        <v>54</v>
      </c>
      <c r="H40" s="160" t="s">
        <v>70</v>
      </c>
      <c r="I40" s="160"/>
      <c r="J40" s="160"/>
      <c r="K40" s="160"/>
      <c r="L40" s="160" t="s">
        <v>107</v>
      </c>
      <c r="M40" s="160" t="s">
        <v>90</v>
      </c>
      <c r="N40" s="160" t="s">
        <v>238</v>
      </c>
      <c r="O40" s="160" t="s">
        <v>135</v>
      </c>
      <c r="P40" s="229"/>
      <c r="Q40" s="161" t="str">
        <f>(BanzukeTable!A16)</f>
        <v>0-0</v>
      </c>
      <c r="R40" s="23">
        <f t="shared" si="3"/>
        <v>6</v>
      </c>
      <c r="S40" s="230" t="s">
        <v>397</v>
      </c>
      <c r="T40">
        <f>countcoloredcells(B40:P40,A4)</f>
        <v>6</v>
      </c>
      <c r="U40">
        <f>COUNTIF(MASTER!bonuspoints2,"chiyotairyu")</f>
        <v>0</v>
      </c>
      <c r="AB40" s="171"/>
      <c r="AC40" s="172"/>
    </row>
    <row r="41">
      <c r="A41" s="158" t="s">
        <v>84</v>
      </c>
      <c r="B41" s="168" t="s">
        <v>180</v>
      </c>
      <c r="C41" s="160" t="s">
        <v>125</v>
      </c>
      <c r="D41" s="160" t="s">
        <v>163</v>
      </c>
      <c r="E41" s="160" t="s">
        <v>105</v>
      </c>
      <c r="F41" s="160" t="s">
        <v>111</v>
      </c>
      <c r="G41" s="178"/>
      <c r="H41" s="160"/>
      <c r="I41" s="160" t="s">
        <v>90</v>
      </c>
      <c r="J41" s="160" t="s">
        <v>135</v>
      </c>
      <c r="K41" s="160" t="s">
        <v>107</v>
      </c>
      <c r="L41" s="160" t="s">
        <v>238</v>
      </c>
      <c r="M41" s="179"/>
      <c r="N41" s="160"/>
      <c r="O41" s="160"/>
      <c r="P41" s="169" t="s">
        <v>100</v>
      </c>
      <c r="Q41" s="161" t="str">
        <f>(BanzukeTable!E16)</f>
        <v>0-0</v>
      </c>
      <c r="R41" s="23">
        <f t="shared" si="3"/>
        <v>10</v>
      </c>
      <c r="S41" s="257" t="s">
        <v>396</v>
      </c>
      <c r="T41">
        <f>countcoloredcells(B41:P41,A6)</f>
        <v>10</v>
      </c>
      <c r="U41">
        <f>COUNTIF(MASTER!bonuspoints2,"kagayaki")</f>
        <v>0</v>
      </c>
      <c r="AB41" s="171"/>
      <c r="AC41" s="172"/>
    </row>
    <row r="42">
      <c r="A42" s="177" t="s">
        <v>180</v>
      </c>
      <c r="B42" s="168"/>
      <c r="C42" s="160" t="s">
        <v>111</v>
      </c>
      <c r="D42" s="160"/>
      <c r="E42" s="160" t="s">
        <v>163</v>
      </c>
      <c r="F42" s="160"/>
      <c r="G42" s="160"/>
      <c r="H42" s="160" t="s">
        <v>125</v>
      </c>
      <c r="I42" s="160"/>
      <c r="J42" s="160"/>
      <c r="K42" s="160"/>
      <c r="L42" s="160"/>
      <c r="M42" s="160" t="s">
        <v>107</v>
      </c>
      <c r="N42" s="160"/>
      <c r="O42" s="160" t="s">
        <v>105</v>
      </c>
      <c r="P42" s="169" t="s">
        <v>65</v>
      </c>
      <c r="Q42" s="161" t="str">
        <f>(BanzukeTable!A17)</f>
        <v>0-0</v>
      </c>
      <c r="R42" s="23">
        <f t="shared" si="3"/>
        <v>6</v>
      </c>
      <c r="S42" s="230" t="s">
        <v>397</v>
      </c>
      <c r="T42">
        <f>countcoloredcells(B42:P42,A4)</f>
        <v>6</v>
      </c>
      <c r="U42">
        <f>COUNTIF(MASTER!bonuspoints2,"tsurugisho")</f>
        <v>0</v>
      </c>
      <c r="AB42" s="174"/>
      <c r="AC42" s="172"/>
    </row>
    <row r="43">
      <c r="A43" s="158" t="s">
        <v>163</v>
      </c>
      <c r="B43" s="168" t="s">
        <v>114</v>
      </c>
      <c r="C43" s="160"/>
      <c r="D43" s="160"/>
      <c r="E43" s="160"/>
      <c r="F43" s="160"/>
      <c r="G43" s="160" t="s">
        <v>125</v>
      </c>
      <c r="H43" s="160" t="s">
        <v>135</v>
      </c>
      <c r="I43" s="160" t="s">
        <v>176</v>
      </c>
      <c r="J43" s="160"/>
      <c r="K43" s="160"/>
      <c r="L43" s="160" t="s">
        <v>105</v>
      </c>
      <c r="M43" s="160"/>
      <c r="N43" s="160" t="s">
        <v>54</v>
      </c>
      <c r="O43" s="160"/>
      <c r="P43" s="169"/>
      <c r="Q43" s="161" t="str">
        <f>(BanzukeTable!E17)</f>
        <v>0-0</v>
      </c>
      <c r="R43" s="23">
        <f t="shared" si="3"/>
        <v>6</v>
      </c>
      <c r="S43" s="257" t="s">
        <v>396</v>
      </c>
      <c r="T43">
        <f>countcoloredcells(B43:P43,A6)</f>
        <v>6</v>
      </c>
      <c r="U43">
        <f>COUNTIF(MASTER!bonuspoints2,"chiyomaru")</f>
        <v>0</v>
      </c>
      <c r="AB43" s="171"/>
      <c r="AC43" s="172"/>
    </row>
    <row r="44">
      <c r="A44" s="158" t="s">
        <v>114</v>
      </c>
      <c r="B44" s="168"/>
      <c r="C44" s="160"/>
      <c r="D44" s="160" t="s">
        <v>180</v>
      </c>
      <c r="E44" s="160" t="s">
        <v>111</v>
      </c>
      <c r="F44" s="160" t="s">
        <v>119</v>
      </c>
      <c r="G44" s="160"/>
      <c r="H44" s="160" t="s">
        <v>150</v>
      </c>
      <c r="I44" s="160"/>
      <c r="J44" s="160"/>
      <c r="K44" s="160"/>
      <c r="L44" s="160"/>
      <c r="M44" s="179"/>
      <c r="N44" s="160" t="s">
        <v>62</v>
      </c>
      <c r="O44" s="160" t="s">
        <v>125</v>
      </c>
      <c r="P44" s="169" t="s">
        <v>238</v>
      </c>
      <c r="Q44" s="161" t="str">
        <f>(BanzukeTable!A18)</f>
        <v>0-0</v>
      </c>
      <c r="R44" s="23">
        <f t="shared" si="3"/>
        <v>0</v>
      </c>
      <c r="T44">
        <f>countcoloredcells(B44:P44,A5)</f>
        <v>0</v>
      </c>
      <c r="U44">
        <f>COUNTIF(MASTER!bonuspoints2,"kotoshogiku")</f>
        <v>0</v>
      </c>
      <c r="AB44" s="171"/>
      <c r="AC44" s="172"/>
    </row>
    <row r="45">
      <c r="A45" s="158" t="s">
        <v>107</v>
      </c>
      <c r="B45" s="168"/>
      <c r="C45" s="160" t="s">
        <v>163</v>
      </c>
      <c r="D45" s="160" t="s">
        <v>135</v>
      </c>
      <c r="E45" s="160"/>
      <c r="F45" s="160"/>
      <c r="G45" s="160"/>
      <c r="H45" s="160"/>
      <c r="I45" s="160"/>
      <c r="J45" s="160"/>
      <c r="K45" s="160"/>
      <c r="L45" s="160"/>
      <c r="M45" s="179"/>
      <c r="N45" s="160"/>
      <c r="O45" s="160"/>
      <c r="P45" s="229"/>
      <c r="Q45" s="161" t="str">
        <f>(BanzukeTable!E18)</f>
        <v>0-0</v>
      </c>
      <c r="R45" s="23">
        <f t="shared" si="3"/>
        <v>2</v>
      </c>
      <c r="S45" s="232" t="s">
        <v>398</v>
      </c>
      <c r="T45">
        <f>countcoloredcells(B45:P45,A3)</f>
        <v>2</v>
      </c>
      <c r="U45">
        <f>COUNTIF(MASTER!bonuspoints2,"kotoeko")</f>
        <v>0</v>
      </c>
      <c r="AB45" s="171"/>
      <c r="AC45" s="172"/>
    </row>
    <row r="46">
      <c r="A46" s="158" t="s">
        <v>65</v>
      </c>
      <c r="B46" s="168" t="s">
        <v>107</v>
      </c>
      <c r="C46" s="160" t="s">
        <v>114</v>
      </c>
      <c r="D46" s="160" t="s">
        <v>176</v>
      </c>
      <c r="E46" s="160" t="s">
        <v>150</v>
      </c>
      <c r="F46" s="160" t="s">
        <v>163</v>
      </c>
      <c r="G46" s="160"/>
      <c r="H46" s="160" t="s">
        <v>76</v>
      </c>
      <c r="I46" s="160"/>
      <c r="J46" s="160"/>
      <c r="K46" s="160" t="s">
        <v>90</v>
      </c>
      <c r="L46" s="160" t="s">
        <v>54</v>
      </c>
      <c r="M46" s="160"/>
      <c r="N46" s="160"/>
      <c r="O46" s="160"/>
      <c r="P46" s="169"/>
      <c r="Q46" s="161" t="str">
        <f>(BanzukeTable!A19)</f>
        <v>0-0</v>
      </c>
      <c r="R46" s="23">
        <f t="shared" si="3"/>
        <v>8</v>
      </c>
      <c r="S46" s="231" t="s">
        <v>395</v>
      </c>
      <c r="T46">
        <f>countcoloredcells(B46:P46,A5)</f>
        <v>8</v>
      </c>
      <c r="U46">
        <f>COUNTIF(MASTER!bonuspoints2,"terutsuyoshi")</f>
        <v>0</v>
      </c>
      <c r="AB46" s="171"/>
      <c r="AC46" s="172"/>
    </row>
    <row r="47">
      <c r="A47" s="158" t="s">
        <v>135</v>
      </c>
      <c r="B47" s="168"/>
      <c r="C47" s="160" t="s">
        <v>150</v>
      </c>
      <c r="D47" s="160"/>
      <c r="E47" s="160" t="s">
        <v>119</v>
      </c>
      <c r="F47" s="160"/>
      <c r="G47" s="160" t="s">
        <v>180</v>
      </c>
      <c r="H47" s="160"/>
      <c r="I47" s="160"/>
      <c r="J47" s="160"/>
      <c r="K47" s="160"/>
      <c r="L47" s="160" t="s">
        <v>114</v>
      </c>
      <c r="M47" s="160" t="s">
        <v>65</v>
      </c>
      <c r="N47" s="160" t="s">
        <v>59</v>
      </c>
      <c r="O47" s="160"/>
      <c r="P47" s="229"/>
      <c r="Q47" s="161" t="str">
        <f>(BanzukeTable!E19)</f>
        <v>0-0</v>
      </c>
      <c r="R47" s="23">
        <f t="shared" si="3"/>
        <v>3</v>
      </c>
      <c r="S47" s="232" t="s">
        <v>398</v>
      </c>
      <c r="T47">
        <f>countcoloredcells(B47:P47,A3)</f>
        <v>3</v>
      </c>
      <c r="U47">
        <f>COUNTIF(MASTER!bonuspoints2,"shimanoumi")</f>
        <v>0</v>
      </c>
      <c r="AB47" s="171"/>
      <c r="AC47" s="172"/>
    </row>
    <row r="48">
      <c r="A48" s="158" t="s">
        <v>176</v>
      </c>
      <c r="B48" s="168" t="s">
        <v>135</v>
      </c>
      <c r="C48" s="160" t="s">
        <v>238</v>
      </c>
      <c r="D48" s="160"/>
      <c r="E48" s="160" t="s">
        <v>107</v>
      </c>
      <c r="F48" s="160"/>
      <c r="G48" s="160" t="s">
        <v>114</v>
      </c>
      <c r="H48" s="160" t="s">
        <v>153</v>
      </c>
      <c r="I48" s="160"/>
      <c r="J48" s="160"/>
      <c r="K48" s="160"/>
      <c r="L48" s="160"/>
      <c r="M48" s="160"/>
      <c r="N48" s="160" t="s">
        <v>180</v>
      </c>
      <c r="O48" s="160" t="s">
        <v>119</v>
      </c>
      <c r="P48" s="160"/>
      <c r="Q48" s="161" t="str">
        <f>(BanzukeTable!A20)</f>
        <v>0-0</v>
      </c>
      <c r="R48" s="23">
        <f t="shared" si="3"/>
        <v>0</v>
      </c>
      <c r="T48">
        <f>countcoloredcells(B48:P48,A2)</f>
        <v>0</v>
      </c>
      <c r="AB48" s="171"/>
      <c r="AC48" s="172"/>
    </row>
    <row r="49">
      <c r="A49" s="181" t="s">
        <v>150</v>
      </c>
      <c r="B49" s="168"/>
      <c r="C49" s="160"/>
      <c r="D49" s="160"/>
      <c r="E49" s="160"/>
      <c r="F49" s="160" t="s">
        <v>180</v>
      </c>
      <c r="G49" s="160" t="s">
        <v>385</v>
      </c>
      <c r="H49" s="160"/>
      <c r="I49" s="160"/>
      <c r="J49" s="160" t="s">
        <v>107</v>
      </c>
      <c r="K49" s="160" t="s">
        <v>111</v>
      </c>
      <c r="L49" s="160"/>
      <c r="M49" s="160" t="s">
        <v>176</v>
      </c>
      <c r="N49" s="160" t="s">
        <v>90</v>
      </c>
      <c r="O49" s="160" t="s">
        <v>163</v>
      </c>
      <c r="P49" s="160" t="s">
        <v>54</v>
      </c>
      <c r="Q49" s="161" t="str">
        <f>(BanzukeTable!E20)</f>
        <v>0-0</v>
      </c>
      <c r="R49" s="23">
        <f t="shared" si="3"/>
        <v>8</v>
      </c>
      <c r="S49" s="231" t="s">
        <v>395</v>
      </c>
      <c r="T49">
        <f>countcoloredcells(B49:P49,A5)</f>
        <v>8</v>
      </c>
      <c r="AB49" s="171"/>
      <c r="AC49" s="172"/>
    </row>
    <row r="50">
      <c r="A50" s="158" t="s">
        <v>238</v>
      </c>
      <c r="B50" s="168" t="s">
        <v>150</v>
      </c>
      <c r="C50" s="160"/>
      <c r="D50" s="160"/>
      <c r="E50" s="160" t="s">
        <v>173</v>
      </c>
      <c r="F50" s="160" t="s">
        <v>107</v>
      </c>
      <c r="G50" s="160" t="s">
        <v>76</v>
      </c>
      <c r="H50" s="160"/>
      <c r="I50" s="160" t="s">
        <v>180</v>
      </c>
      <c r="J50" s="160" t="s">
        <v>163</v>
      </c>
      <c r="K50" s="160" t="s">
        <v>135</v>
      </c>
      <c r="L50" s="160"/>
      <c r="M50" s="178" t="s">
        <v>70</v>
      </c>
      <c r="N50" s="160"/>
      <c r="O50" s="160" t="s">
        <v>65</v>
      </c>
      <c r="P50" s="179"/>
      <c r="Q50" s="161" t="str">
        <f>(BanzukeTable!A21)</f>
        <v>0-0</v>
      </c>
      <c r="R50" s="23">
        <f t="shared" si="3"/>
        <v>9</v>
      </c>
      <c r="S50" s="228" t="s">
        <v>393</v>
      </c>
      <c r="T50">
        <f>countcoloredcells(B50:P50,A2)</f>
        <v>9</v>
      </c>
      <c r="AB50" s="171"/>
      <c r="AC50" s="172"/>
    </row>
    <row r="51">
      <c r="A51" s="158" t="s">
        <v>119</v>
      </c>
      <c r="B51" s="168"/>
      <c r="C51" s="160" t="s">
        <v>92</v>
      </c>
      <c r="D51" s="160" t="s">
        <v>183</v>
      </c>
      <c r="E51" s="160"/>
      <c r="F51" s="160"/>
      <c r="G51" s="160" t="s">
        <v>107</v>
      </c>
      <c r="H51" s="160" t="s">
        <v>238</v>
      </c>
      <c r="I51" s="160" t="s">
        <v>150</v>
      </c>
      <c r="J51" s="160" t="s">
        <v>65</v>
      </c>
      <c r="K51" s="160"/>
      <c r="L51" s="160"/>
      <c r="M51" s="179"/>
      <c r="N51" s="160" t="s">
        <v>105</v>
      </c>
      <c r="O51" s="160"/>
      <c r="P51" s="160" t="s">
        <v>111</v>
      </c>
      <c r="Q51" s="161" t="str">
        <f>(BanzukeTable!E21)</f>
        <v>0-0</v>
      </c>
      <c r="R51" s="23">
        <f t="shared" si="3"/>
        <v>8</v>
      </c>
      <c r="S51" s="230" t="s">
        <v>397</v>
      </c>
      <c r="T51">
        <f>countcoloredcells(B51:P51,A4)</f>
        <v>8</v>
      </c>
      <c r="AB51" s="171"/>
      <c r="AC51" s="172"/>
    </row>
    <row r="52">
      <c r="A52" s="177" t="s">
        <v>76</v>
      </c>
      <c r="B52" s="168" t="s">
        <v>119</v>
      </c>
      <c r="C52" s="160"/>
      <c r="D52" s="178" t="s">
        <v>150</v>
      </c>
      <c r="E52" s="160"/>
      <c r="F52" s="160" t="s">
        <v>135</v>
      </c>
      <c r="G52" s="160"/>
      <c r="H52" s="160"/>
      <c r="I52" s="178" t="s">
        <v>107</v>
      </c>
      <c r="J52" s="160" t="s">
        <v>114</v>
      </c>
      <c r="K52" s="160" t="s">
        <v>180</v>
      </c>
      <c r="L52" s="160" t="s">
        <v>176</v>
      </c>
      <c r="M52" s="160" t="s">
        <v>105</v>
      </c>
      <c r="N52" s="160" t="s">
        <v>125</v>
      </c>
      <c r="O52" s="160" t="s">
        <v>90</v>
      </c>
      <c r="P52" s="160" t="s">
        <v>163</v>
      </c>
      <c r="Q52" s="161" t="str">
        <f>(BanzukeTable!A22)</f>
        <v>0-0</v>
      </c>
      <c r="R52" s="23">
        <f t="shared" si="3"/>
        <v>16</v>
      </c>
      <c r="S52" s="230" t="s">
        <v>397</v>
      </c>
      <c r="T52">
        <f>countcoloredcells(B52:P52,A4)</f>
        <v>11</v>
      </c>
      <c r="U52" s="234">
        <f>COUNTIF(tokitsukaze!bonuspoints2,"kiribayama")</f>
        <v>5</v>
      </c>
      <c r="AB52" s="171"/>
      <c r="AC52" s="172"/>
    </row>
    <row r="53">
      <c r="A53" s="158" t="s">
        <v>92</v>
      </c>
      <c r="B53" s="185" t="s">
        <v>167</v>
      </c>
      <c r="C53" s="160"/>
      <c r="D53" s="160" t="s">
        <v>238</v>
      </c>
      <c r="E53" s="160" t="s">
        <v>76</v>
      </c>
      <c r="F53" s="160" t="s">
        <v>176</v>
      </c>
      <c r="G53" s="160" t="s">
        <v>65</v>
      </c>
      <c r="H53" s="160" t="s">
        <v>107</v>
      </c>
      <c r="I53" s="160" t="s">
        <v>114</v>
      </c>
      <c r="J53" s="160" t="s">
        <v>180</v>
      </c>
      <c r="K53" s="160" t="s">
        <v>163</v>
      </c>
      <c r="L53" s="160" t="s">
        <v>90</v>
      </c>
      <c r="M53" s="160" t="s">
        <v>84</v>
      </c>
      <c r="N53" s="160" t="s">
        <v>70</v>
      </c>
      <c r="O53" s="160" t="s">
        <v>32</v>
      </c>
      <c r="P53" s="160" t="s">
        <v>382</v>
      </c>
      <c r="Q53" s="161" t="str">
        <f>(BanzukeTable!E22)</f>
        <v>0-0</v>
      </c>
      <c r="R53" s="23">
        <f t="shared" si="3"/>
        <v>28</v>
      </c>
      <c r="S53" s="227" t="s">
        <v>392</v>
      </c>
      <c r="T53">
        <f>countcoloredcells(B53:P53,A1)</f>
        <v>10</v>
      </c>
      <c r="U53" s="234">
        <f>COUNTIF(tokitsukaze!bonuspoints2,"tokushoryu")</f>
        <v>18</v>
      </c>
      <c r="AB53" s="226"/>
      <c r="AC53" s="184"/>
    </row>
    <row r="54">
      <c r="A54" s="187" t="s">
        <v>341</v>
      </c>
      <c r="B54" s="258" t="s">
        <v>48</v>
      </c>
      <c r="C54" s="258" t="s">
        <v>48</v>
      </c>
      <c r="D54" s="259" t="s">
        <v>48</v>
      </c>
      <c r="E54" s="260" t="s">
        <v>131</v>
      </c>
      <c r="F54" s="261" t="s">
        <v>40</v>
      </c>
      <c r="G54" s="259" t="s">
        <v>48</v>
      </c>
      <c r="H54" s="262" t="s">
        <v>36</v>
      </c>
      <c r="I54" s="263" t="s">
        <v>131</v>
      </c>
      <c r="J54" s="264" t="s">
        <v>32</v>
      </c>
      <c r="K54" s="263" t="s">
        <v>57</v>
      </c>
      <c r="L54" s="262" t="s">
        <v>36</v>
      </c>
      <c r="M54" s="264" t="s">
        <v>23</v>
      </c>
      <c r="N54" s="265" t="s">
        <v>100</v>
      </c>
      <c r="O54" s="264" t="s">
        <v>23</v>
      </c>
      <c r="P54" s="265" t="s">
        <v>102</v>
      </c>
      <c r="Q54" s="266" t="s">
        <v>48</v>
      </c>
      <c r="R54" s="243" t="s">
        <v>32</v>
      </c>
      <c r="S54" s="267" t="s">
        <v>92</v>
      </c>
      <c r="T54" s="268" t="s">
        <v>92</v>
      </c>
      <c r="U54" s="190"/>
      <c r="V54" s="192"/>
      <c r="W54" s="192"/>
      <c r="X54" s="192"/>
      <c r="Y54" s="192"/>
      <c r="Z54" s="192"/>
      <c r="AA54" s="192"/>
      <c r="AB54" s="193"/>
      <c r="AC54" s="193"/>
    </row>
    <row r="55">
      <c r="A55" s="194"/>
      <c r="B55" s="258" t="s">
        <v>48</v>
      </c>
      <c r="C55" s="258" t="s">
        <v>48</v>
      </c>
      <c r="D55" s="258" t="s">
        <v>48</v>
      </c>
      <c r="E55" s="245" t="s">
        <v>62</v>
      </c>
      <c r="F55" s="258" t="s">
        <v>48</v>
      </c>
      <c r="G55" s="258" t="s">
        <v>48</v>
      </c>
      <c r="H55" s="160" t="s">
        <v>167</v>
      </c>
      <c r="I55" s="255" t="s">
        <v>131</v>
      </c>
      <c r="J55" s="244" t="s">
        <v>32</v>
      </c>
      <c r="K55" s="244" t="s">
        <v>79</v>
      </c>
      <c r="L55" s="244" t="s">
        <v>32</v>
      </c>
      <c r="M55" s="244" t="s">
        <v>32</v>
      </c>
      <c r="N55" s="160" t="s">
        <v>167</v>
      </c>
      <c r="O55" s="244" t="s">
        <v>79</v>
      </c>
      <c r="P55" s="246" t="s">
        <v>102</v>
      </c>
      <c r="Q55" s="269" t="s">
        <v>48</v>
      </c>
      <c r="R55" s="251" t="s">
        <v>32</v>
      </c>
      <c r="S55" s="270" t="s">
        <v>92</v>
      </c>
      <c r="T55" s="271" t="s">
        <v>92</v>
      </c>
      <c r="U55" s="196"/>
      <c r="V55" s="198"/>
      <c r="W55" s="193"/>
      <c r="X55" s="193"/>
      <c r="Y55" s="193"/>
      <c r="Z55" s="193"/>
      <c r="AA55" s="193"/>
      <c r="AB55" s="193"/>
      <c r="AC55" s="193"/>
    </row>
    <row r="56">
      <c r="A56" s="194"/>
      <c r="B56" s="258" t="s">
        <v>48</v>
      </c>
      <c r="C56" s="258" t="s">
        <v>48</v>
      </c>
      <c r="D56" s="258" t="s">
        <v>48</v>
      </c>
      <c r="E56" s="245" t="s">
        <v>62</v>
      </c>
      <c r="F56" s="258" t="s">
        <v>48</v>
      </c>
      <c r="G56" s="258" t="s">
        <v>45</v>
      </c>
      <c r="H56" s="160" t="s">
        <v>159</v>
      </c>
      <c r="I56" s="255" t="s">
        <v>57</v>
      </c>
      <c r="J56" s="244" t="s">
        <v>32</v>
      </c>
      <c r="K56" s="244" t="s">
        <v>79</v>
      </c>
      <c r="L56" s="246" t="s">
        <v>100</v>
      </c>
      <c r="M56" s="246" t="s">
        <v>100</v>
      </c>
      <c r="N56" s="160" t="s">
        <v>51</v>
      </c>
      <c r="O56" s="258" t="s">
        <v>138</v>
      </c>
      <c r="P56" s="246" t="s">
        <v>102</v>
      </c>
      <c r="Q56" s="269" t="s">
        <v>48</v>
      </c>
      <c r="R56" s="251" t="s">
        <v>32</v>
      </c>
      <c r="S56" s="270" t="s">
        <v>92</v>
      </c>
      <c r="T56" s="271" t="s">
        <v>92</v>
      </c>
      <c r="U56" s="196"/>
      <c r="V56" s="198"/>
      <c r="W56" s="193"/>
      <c r="X56" s="193"/>
      <c r="Y56" s="193"/>
      <c r="Z56" s="193"/>
      <c r="AA56" s="193"/>
      <c r="AB56" s="193"/>
      <c r="AC56" s="193"/>
    </row>
    <row r="57">
      <c r="A57" s="194"/>
      <c r="B57" s="258" t="s">
        <v>48</v>
      </c>
      <c r="C57" s="258" t="s">
        <v>48</v>
      </c>
      <c r="D57" s="245" t="s">
        <v>62</v>
      </c>
      <c r="E57" s="245" t="s">
        <v>62</v>
      </c>
      <c r="F57" s="258" t="s">
        <v>45</v>
      </c>
      <c r="G57" s="160" t="s">
        <v>153</v>
      </c>
      <c r="H57" s="160" t="s">
        <v>183</v>
      </c>
      <c r="I57" s="255" t="s">
        <v>57</v>
      </c>
      <c r="J57" s="246" t="s">
        <v>100</v>
      </c>
      <c r="K57" s="252" t="s">
        <v>79</v>
      </c>
      <c r="L57" s="246" t="s">
        <v>100</v>
      </c>
      <c r="M57" s="246" t="s">
        <v>100</v>
      </c>
      <c r="N57" s="160" t="s">
        <v>183</v>
      </c>
      <c r="O57" s="258" t="s">
        <v>138</v>
      </c>
      <c r="P57" s="246" t="s">
        <v>92</v>
      </c>
      <c r="Q57" s="269" t="s">
        <v>48</v>
      </c>
      <c r="R57" s="251" t="s">
        <v>32</v>
      </c>
      <c r="S57" s="270" t="s">
        <v>92</v>
      </c>
      <c r="T57" s="271" t="s">
        <v>92</v>
      </c>
      <c r="U57" s="196"/>
      <c r="X57" s="193"/>
      <c r="Y57" s="193"/>
      <c r="Z57" s="193"/>
      <c r="AA57" s="193"/>
      <c r="AB57" s="193"/>
      <c r="AC57" s="193"/>
    </row>
    <row r="58">
      <c r="A58" s="194"/>
      <c r="B58" s="255" t="s">
        <v>57</v>
      </c>
      <c r="C58" s="255" t="s">
        <v>57</v>
      </c>
      <c r="D58" s="245" t="s">
        <v>62</v>
      </c>
      <c r="E58" s="245" t="s">
        <v>62</v>
      </c>
      <c r="F58" s="258" t="s">
        <v>45</v>
      </c>
      <c r="G58" s="160" t="s">
        <v>183</v>
      </c>
      <c r="H58" s="160" t="s">
        <v>51</v>
      </c>
      <c r="I58" s="244" t="s">
        <v>32</v>
      </c>
      <c r="J58" s="246" t="s">
        <v>100</v>
      </c>
      <c r="K58" s="255" t="s">
        <v>72</v>
      </c>
      <c r="L58" s="160" t="s">
        <v>159</v>
      </c>
      <c r="M58" s="160" t="s">
        <v>167</v>
      </c>
      <c r="N58" s="160" t="s">
        <v>385</v>
      </c>
      <c r="O58" s="258" t="s">
        <v>138</v>
      </c>
      <c r="P58" s="246" t="s">
        <v>92</v>
      </c>
      <c r="Q58" s="269" t="s">
        <v>48</v>
      </c>
      <c r="R58" s="251" t="s">
        <v>32</v>
      </c>
      <c r="S58" s="270" t="s">
        <v>92</v>
      </c>
      <c r="T58" s="271" t="s">
        <v>92</v>
      </c>
      <c r="U58" s="196"/>
      <c r="X58" s="193"/>
      <c r="Y58" s="193"/>
      <c r="Z58" s="193"/>
      <c r="AA58" s="193"/>
      <c r="AB58" s="193"/>
      <c r="AC58" s="193"/>
    </row>
    <row r="59">
      <c r="A59" s="194"/>
      <c r="B59" s="255" t="s">
        <v>57</v>
      </c>
      <c r="C59" s="255" t="s">
        <v>57</v>
      </c>
      <c r="D59" s="245" t="s">
        <v>62</v>
      </c>
      <c r="E59" s="244" t="s">
        <v>32</v>
      </c>
      <c r="F59" s="258" t="s">
        <v>45</v>
      </c>
      <c r="G59" s="160" t="s">
        <v>96</v>
      </c>
      <c r="H59" s="160"/>
      <c r="I59" s="244" t="s">
        <v>32</v>
      </c>
      <c r="J59" s="246" t="s">
        <v>100</v>
      </c>
      <c r="K59" s="272" t="s">
        <v>72</v>
      </c>
      <c r="L59" s="160" t="s">
        <v>153</v>
      </c>
      <c r="M59" s="160" t="s">
        <v>183</v>
      </c>
      <c r="N59" s="178" t="s">
        <v>153</v>
      </c>
      <c r="O59" s="160" t="s">
        <v>386</v>
      </c>
      <c r="P59" s="246" t="s">
        <v>92</v>
      </c>
      <c r="Q59" s="273" t="s">
        <v>76</v>
      </c>
      <c r="R59" s="274" t="s">
        <v>57</v>
      </c>
      <c r="S59" s="271" t="s">
        <v>92</v>
      </c>
      <c r="T59" s="249" t="s">
        <v>51</v>
      </c>
      <c r="U59" s="196"/>
      <c r="X59" s="193"/>
      <c r="Y59" s="193"/>
      <c r="Z59" s="193"/>
      <c r="AA59" s="193"/>
      <c r="AB59" s="193"/>
      <c r="AC59" s="193"/>
    </row>
    <row r="60">
      <c r="A60" s="194"/>
      <c r="B60" s="255" t="s">
        <v>57</v>
      </c>
      <c r="C60" s="255" t="s">
        <v>57</v>
      </c>
      <c r="D60" s="245" t="s">
        <v>62</v>
      </c>
      <c r="E60" s="244" t="s">
        <v>32</v>
      </c>
      <c r="F60" s="160" t="s">
        <v>159</v>
      </c>
      <c r="G60" s="160" t="s">
        <v>199</v>
      </c>
      <c r="H60" s="160"/>
      <c r="I60" s="160" t="s">
        <v>96</v>
      </c>
      <c r="J60" s="244" t="s">
        <v>79</v>
      </c>
      <c r="K60" s="178" t="s">
        <v>167</v>
      </c>
      <c r="L60" s="160" t="s">
        <v>199</v>
      </c>
      <c r="M60" s="160" t="s">
        <v>159</v>
      </c>
      <c r="N60" s="178" t="s">
        <v>96</v>
      </c>
      <c r="O60" s="160" t="s">
        <v>385</v>
      </c>
      <c r="P60" s="160" t="s">
        <v>167</v>
      </c>
      <c r="Q60" s="273" t="s">
        <v>76</v>
      </c>
      <c r="R60" s="274" t="s">
        <v>57</v>
      </c>
      <c r="S60" s="271" t="s">
        <v>92</v>
      </c>
      <c r="T60" s="249" t="s">
        <v>51</v>
      </c>
      <c r="U60" s="196"/>
      <c r="X60" s="193"/>
      <c r="Y60" s="193"/>
      <c r="Z60" s="193"/>
      <c r="AA60" s="193"/>
      <c r="AB60" s="193"/>
      <c r="AC60" s="193"/>
    </row>
    <row r="61">
      <c r="A61" s="194"/>
      <c r="B61" s="245" t="s">
        <v>59</v>
      </c>
      <c r="C61" s="247" t="s">
        <v>36</v>
      </c>
      <c r="D61" s="255" t="s">
        <v>57</v>
      </c>
      <c r="E61" s="160" t="s">
        <v>167</v>
      </c>
      <c r="F61" s="160" t="s">
        <v>183</v>
      </c>
      <c r="G61" s="160" t="s">
        <v>51</v>
      </c>
      <c r="H61" s="160"/>
      <c r="I61" s="160" t="s">
        <v>159</v>
      </c>
      <c r="J61" s="244" t="s">
        <v>79</v>
      </c>
      <c r="K61" s="178" t="s">
        <v>183</v>
      </c>
      <c r="L61" s="160" t="s">
        <v>51</v>
      </c>
      <c r="M61" s="160" t="s">
        <v>96</v>
      </c>
      <c r="N61" s="175"/>
      <c r="O61" s="160" t="s">
        <v>153</v>
      </c>
      <c r="P61" s="178" t="s">
        <v>159</v>
      </c>
      <c r="Q61" s="273" t="s">
        <v>76</v>
      </c>
      <c r="R61" s="274" t="s">
        <v>57</v>
      </c>
      <c r="S61" s="271" t="s">
        <v>92</v>
      </c>
      <c r="T61" s="249" t="s">
        <v>51</v>
      </c>
      <c r="U61" s="196"/>
      <c r="X61" s="193"/>
      <c r="Y61" s="193"/>
      <c r="Z61" s="193"/>
      <c r="AA61" s="193"/>
      <c r="AB61" s="193"/>
      <c r="AC61" s="193"/>
    </row>
    <row r="62">
      <c r="A62" s="194"/>
      <c r="B62" s="245" t="s">
        <v>59</v>
      </c>
      <c r="C62" s="247" t="s">
        <v>36</v>
      </c>
      <c r="D62" s="255" t="s">
        <v>57</v>
      </c>
      <c r="E62" s="160" t="s">
        <v>153</v>
      </c>
      <c r="F62" s="160" t="s">
        <v>96</v>
      </c>
      <c r="G62" s="160"/>
      <c r="H62" s="160"/>
      <c r="I62" s="160" t="s">
        <v>385</v>
      </c>
      <c r="J62" s="160" t="s">
        <v>146</v>
      </c>
      <c r="K62" s="160" t="s">
        <v>96</v>
      </c>
      <c r="L62" s="160" t="s">
        <v>386</v>
      </c>
      <c r="M62" s="160" t="s">
        <v>153</v>
      </c>
      <c r="N62" s="160"/>
      <c r="O62" s="160" t="s">
        <v>96</v>
      </c>
      <c r="P62" s="160" t="s">
        <v>183</v>
      </c>
      <c r="Q62" s="273" t="s">
        <v>76</v>
      </c>
      <c r="R62" s="274" t="s">
        <v>57</v>
      </c>
      <c r="S62" s="271" t="s">
        <v>92</v>
      </c>
      <c r="T62" s="249" t="s">
        <v>51</v>
      </c>
      <c r="U62" s="196"/>
      <c r="X62" s="193"/>
      <c r="Y62" s="193"/>
      <c r="Z62" s="193"/>
      <c r="AA62" s="193"/>
      <c r="AB62" s="193"/>
      <c r="AC62" s="193"/>
    </row>
    <row r="63">
      <c r="A63" s="194"/>
      <c r="B63" s="258" t="s">
        <v>45</v>
      </c>
      <c r="C63" s="247" t="s">
        <v>36</v>
      </c>
      <c r="D63" s="255" t="s">
        <v>57</v>
      </c>
      <c r="E63" s="178" t="s">
        <v>146</v>
      </c>
      <c r="F63" s="160" t="s">
        <v>146</v>
      </c>
      <c r="G63" s="160"/>
      <c r="H63" s="160"/>
      <c r="I63" s="178" t="s">
        <v>146</v>
      </c>
      <c r="J63" s="160" t="s">
        <v>96</v>
      </c>
      <c r="K63" s="178" t="s">
        <v>51</v>
      </c>
      <c r="L63" s="160"/>
      <c r="M63" s="160" t="s">
        <v>51</v>
      </c>
      <c r="N63" s="175"/>
      <c r="O63" s="160" t="s">
        <v>146</v>
      </c>
      <c r="P63" s="178" t="s">
        <v>153</v>
      </c>
      <c r="Q63" s="273" t="s">
        <v>76</v>
      </c>
      <c r="R63" s="274" t="s">
        <v>57</v>
      </c>
      <c r="S63" s="271" t="s">
        <v>92</v>
      </c>
      <c r="T63" s="249" t="s">
        <v>51</v>
      </c>
      <c r="U63" s="196"/>
      <c r="X63" s="193"/>
      <c r="Y63" s="193"/>
      <c r="Z63" s="193"/>
      <c r="AA63" s="193"/>
      <c r="AB63" s="193"/>
      <c r="AC63" s="193"/>
    </row>
    <row r="64">
      <c r="A64" s="194"/>
      <c r="B64" s="160" t="s">
        <v>183</v>
      </c>
      <c r="C64" s="160" t="s">
        <v>167</v>
      </c>
      <c r="D64" s="255" t="s">
        <v>57</v>
      </c>
      <c r="E64" s="178" t="s">
        <v>199</v>
      </c>
      <c r="F64" s="160" t="s">
        <v>51</v>
      </c>
      <c r="G64" s="160"/>
      <c r="H64" s="160"/>
      <c r="I64" s="178" t="s">
        <v>386</v>
      </c>
      <c r="J64" s="160" t="s">
        <v>153</v>
      </c>
      <c r="K64" s="178" t="s">
        <v>153</v>
      </c>
      <c r="L64" s="160"/>
      <c r="M64" s="160" t="s">
        <v>199</v>
      </c>
      <c r="N64" s="175"/>
      <c r="O64" s="160"/>
      <c r="P64" s="178" t="s">
        <v>386</v>
      </c>
      <c r="Q64" s="195"/>
      <c r="R64" s="196"/>
      <c r="S64" s="196"/>
      <c r="T64" s="196"/>
      <c r="U64" s="196"/>
      <c r="V64" s="193"/>
      <c r="W64" s="197"/>
      <c r="X64" s="193"/>
      <c r="Y64" s="193"/>
      <c r="Z64" s="193"/>
      <c r="AA64" s="193"/>
      <c r="AB64" s="193"/>
      <c r="AC64" s="193"/>
    </row>
    <row r="65">
      <c r="A65" s="194"/>
      <c r="B65" s="160" t="s">
        <v>153</v>
      </c>
      <c r="C65" s="160" t="s">
        <v>159</v>
      </c>
      <c r="D65" s="245" t="s">
        <v>59</v>
      </c>
      <c r="E65" s="178" t="s">
        <v>386</v>
      </c>
      <c r="F65" s="160"/>
      <c r="G65" s="160"/>
      <c r="H65" s="160"/>
      <c r="I65" s="178" t="s">
        <v>51</v>
      </c>
      <c r="J65" s="160" t="s">
        <v>386</v>
      </c>
      <c r="K65" s="178" t="s">
        <v>386</v>
      </c>
      <c r="L65" s="160"/>
      <c r="M65" s="160"/>
      <c r="N65" s="175"/>
      <c r="O65" s="175"/>
      <c r="P65" s="175"/>
      <c r="Q65" s="195"/>
      <c r="R65" s="196"/>
      <c r="S65" s="196"/>
      <c r="T65" s="196"/>
      <c r="U65" s="196"/>
      <c r="V65" s="193"/>
      <c r="W65" s="197"/>
      <c r="X65" s="193"/>
      <c r="Y65" s="193"/>
      <c r="Z65" s="193"/>
      <c r="AA65" s="193"/>
      <c r="AB65" s="193"/>
      <c r="AC65" s="193"/>
    </row>
    <row r="66">
      <c r="A66" s="194"/>
      <c r="B66" s="160" t="s">
        <v>51</v>
      </c>
      <c r="C66" s="160" t="s">
        <v>146</v>
      </c>
      <c r="D66" s="160" t="s">
        <v>159</v>
      </c>
      <c r="E66" s="178" t="s">
        <v>51</v>
      </c>
      <c r="F66" s="160"/>
      <c r="G66" s="160"/>
      <c r="H66" s="160"/>
      <c r="I66" s="175"/>
      <c r="J66" s="160" t="s">
        <v>51</v>
      </c>
      <c r="K66" s="175"/>
      <c r="L66" s="175"/>
      <c r="M66" s="160"/>
      <c r="N66" s="175"/>
      <c r="O66" s="175"/>
      <c r="P66" s="175"/>
      <c r="Q66" s="195"/>
      <c r="R66" s="196"/>
      <c r="S66" s="196"/>
      <c r="T66" s="196"/>
      <c r="U66" s="196"/>
      <c r="V66" s="193"/>
      <c r="W66" s="197"/>
      <c r="X66" s="193"/>
      <c r="Y66" s="193"/>
      <c r="Z66" s="193"/>
      <c r="AA66" s="193"/>
      <c r="AB66" s="193"/>
      <c r="AC66" s="193"/>
    </row>
    <row r="67">
      <c r="A67" s="194"/>
      <c r="B67" s="160"/>
      <c r="C67" s="160" t="s">
        <v>386</v>
      </c>
      <c r="D67" s="160" t="s">
        <v>153</v>
      </c>
      <c r="E67" s="175"/>
      <c r="F67" s="160"/>
      <c r="G67" s="160"/>
      <c r="H67" s="160"/>
      <c r="I67" s="175"/>
      <c r="J67" s="160"/>
      <c r="K67" s="175"/>
      <c r="L67" s="175"/>
      <c r="M67" s="160"/>
      <c r="N67" s="175"/>
      <c r="O67" s="175"/>
      <c r="P67" s="175"/>
      <c r="Q67" s="195"/>
      <c r="R67" s="196"/>
      <c r="S67" s="196"/>
      <c r="T67" s="196"/>
      <c r="U67" s="196"/>
      <c r="V67" s="193"/>
      <c r="W67" s="197"/>
      <c r="X67" s="193"/>
      <c r="Y67" s="193"/>
      <c r="Z67" s="193"/>
      <c r="AA67" s="193"/>
      <c r="AB67" s="193"/>
      <c r="AC67" s="193"/>
    </row>
    <row r="68">
      <c r="A68" s="194"/>
      <c r="B68" s="160"/>
      <c r="C68" s="160" t="s">
        <v>51</v>
      </c>
      <c r="D68" s="160" t="s">
        <v>96</v>
      </c>
      <c r="E68" s="175"/>
      <c r="F68" s="160"/>
      <c r="G68" s="160"/>
      <c r="H68" s="160"/>
      <c r="I68" s="175"/>
      <c r="J68" s="160"/>
      <c r="K68" s="175"/>
      <c r="L68" s="175"/>
      <c r="M68" s="160"/>
      <c r="N68" s="175"/>
      <c r="O68" s="175"/>
      <c r="P68" s="175"/>
      <c r="Q68" s="195"/>
      <c r="R68" s="196"/>
      <c r="S68" s="196"/>
      <c r="T68" s="196"/>
      <c r="U68" s="196"/>
      <c r="V68" s="193"/>
      <c r="W68" s="197"/>
      <c r="X68" s="193"/>
      <c r="Y68" s="193"/>
      <c r="Z68" s="193"/>
      <c r="AA68" s="193"/>
      <c r="AB68" s="193"/>
      <c r="AC68" s="193"/>
    </row>
    <row r="69">
      <c r="A69" s="194"/>
      <c r="B69" s="160"/>
      <c r="C69" s="160"/>
      <c r="D69" s="160" t="s">
        <v>386</v>
      </c>
      <c r="E69" s="175"/>
      <c r="F69" s="160"/>
      <c r="G69" s="160"/>
      <c r="H69" s="160"/>
      <c r="I69" s="175"/>
      <c r="J69" s="160"/>
      <c r="K69" s="175"/>
      <c r="L69" s="175"/>
      <c r="M69" s="160"/>
      <c r="N69" s="175"/>
      <c r="O69" s="175"/>
      <c r="P69" s="175"/>
      <c r="Q69" s="195"/>
      <c r="R69" s="196"/>
      <c r="S69" s="196"/>
      <c r="T69" s="196"/>
      <c r="U69" s="196"/>
      <c r="V69" s="193"/>
      <c r="W69" s="197"/>
      <c r="X69" s="193"/>
      <c r="Y69" s="193"/>
      <c r="Z69" s="193"/>
      <c r="AA69" s="193"/>
      <c r="AB69" s="193"/>
      <c r="AC69" s="193"/>
    </row>
    <row r="70">
      <c r="A70" s="194"/>
      <c r="B70" s="160"/>
      <c r="C70" s="160"/>
      <c r="D70" s="160" t="s">
        <v>51</v>
      </c>
      <c r="E70" s="175"/>
      <c r="F70" s="160"/>
      <c r="G70" s="160"/>
      <c r="H70" s="160"/>
      <c r="I70" s="175"/>
      <c r="J70" s="160"/>
      <c r="K70" s="175"/>
      <c r="L70" s="175"/>
      <c r="M70" s="160"/>
      <c r="N70" s="175"/>
      <c r="O70" s="175"/>
      <c r="P70" s="175"/>
      <c r="Q70" s="195"/>
      <c r="R70" s="196"/>
      <c r="S70" s="196"/>
      <c r="T70" s="196"/>
      <c r="U70" s="196"/>
      <c r="V70" s="193"/>
      <c r="W70" s="197"/>
      <c r="X70" s="193"/>
      <c r="Y70" s="193"/>
      <c r="Z70" s="193"/>
      <c r="AA70" s="193"/>
      <c r="AB70" s="193"/>
      <c r="AC70" s="193"/>
    </row>
    <row r="71">
      <c r="A71" s="206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207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</row>
    <row r="72">
      <c r="A72" s="197"/>
      <c r="B72" s="23">
        <v>2.0</v>
      </c>
      <c r="C72" s="23">
        <v>3.0</v>
      </c>
      <c r="D72" s="23">
        <v>4.0</v>
      </c>
      <c r="E72" s="23">
        <v>5.0</v>
      </c>
      <c r="F72" s="23">
        <v>3.0</v>
      </c>
      <c r="G72" s="23">
        <v>4.0</v>
      </c>
      <c r="H72" s="23">
        <v>1.0</v>
      </c>
      <c r="I72" s="23">
        <v>4.0</v>
      </c>
      <c r="J72" s="23">
        <v>5.0</v>
      </c>
      <c r="K72" s="23">
        <v>4.0</v>
      </c>
      <c r="L72" s="23">
        <v>4.0</v>
      </c>
      <c r="M72" s="23">
        <v>4.0</v>
      </c>
      <c r="N72" s="23">
        <v>3.0</v>
      </c>
      <c r="O72" s="23">
        <v>4.0</v>
      </c>
      <c r="P72" s="23">
        <v>2.0</v>
      </c>
      <c r="Q72" s="197"/>
      <c r="T72" s="210"/>
      <c r="V72" s="197"/>
    </row>
    <row r="73">
      <c r="A73" s="197"/>
      <c r="B73" s="227" t="s">
        <v>387</v>
      </c>
      <c r="C73" s="228" t="s">
        <v>399</v>
      </c>
      <c r="D73" s="232" t="s">
        <v>400</v>
      </c>
      <c r="E73" s="230" t="s">
        <v>401</v>
      </c>
      <c r="F73" s="231" t="s">
        <v>402</v>
      </c>
      <c r="G73" s="257" t="s">
        <v>389</v>
      </c>
      <c r="H73" s="23"/>
      <c r="I73" s="23"/>
      <c r="J73" s="23"/>
      <c r="K73" s="23"/>
      <c r="L73" s="23"/>
      <c r="M73" s="23"/>
      <c r="N73" s="23"/>
      <c r="O73" s="23"/>
      <c r="P73" s="23"/>
      <c r="Q73" s="170"/>
      <c r="V73" s="197"/>
    </row>
    <row r="74">
      <c r="A74" s="197"/>
      <c r="B74" s="23">
        <v>6.0</v>
      </c>
      <c r="C74" s="23">
        <v>9.0</v>
      </c>
      <c r="D74" s="23">
        <v>11.0</v>
      </c>
      <c r="E74" s="23">
        <v>13.0</v>
      </c>
      <c r="F74" s="23">
        <v>9.0</v>
      </c>
      <c r="G74" s="23">
        <v>4.0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V74" s="197"/>
    </row>
    <row r="75">
      <c r="A75" s="197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170"/>
      <c r="V75" s="197"/>
    </row>
    <row r="76">
      <c r="A76" s="197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170"/>
      <c r="V76" s="197"/>
    </row>
    <row r="77">
      <c r="A77" s="197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V77" s="197"/>
    </row>
    <row r="78">
      <c r="A78" s="197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V78" s="197"/>
    </row>
    <row r="79">
      <c r="A79" s="23"/>
      <c r="B79" s="23"/>
    </row>
    <row r="80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R80" s="193"/>
    </row>
    <row r="81">
      <c r="B81" s="23"/>
    </row>
    <row r="82">
      <c r="B82" s="23"/>
    </row>
    <row r="83">
      <c r="B83" s="198"/>
    </row>
    <row r="84">
      <c r="B84" s="198"/>
    </row>
  </sheetData>
  <conditionalFormatting sqref="B17:P17 B20:P20 B26:P26 B32:P32 B41:P41 B43:P43">
    <cfRule type="notContainsBlanks" dxfId="1" priority="1">
      <formula>LEN(TRIM(B17))&gt;0</formula>
    </cfRule>
  </conditionalFormatting>
  <conditionalFormatting sqref="B15:P16 B27:P27 B30:P30 B39:P39 B50:P50">
    <cfRule type="notContainsBlanks" dxfId="0" priority="2">
      <formula>LEN(TRIM(B15))&gt;0</formula>
    </cfRule>
  </conditionalFormatting>
  <conditionalFormatting sqref="B18:P18 B22:P22 B31:P31 B36:P36 B46:P46 B49:P49">
    <cfRule type="notContainsBlanks" dxfId="3" priority="3">
      <formula>LEN(TRIM(B18))&gt;0</formula>
    </cfRule>
  </conditionalFormatting>
  <conditionalFormatting sqref="B14:P14 B23:P23 B28:P28 B37:P38 B45:P45 I47:P47">
    <cfRule type="notContainsBlanks" dxfId="4" priority="4">
      <formula>LEN(TRIM(B14))&gt;0</formula>
    </cfRule>
  </conditionalFormatting>
  <conditionalFormatting sqref="B12:P12 B21:P21 B24:P24 B42:P42 B51:P52 F40:P40">
    <cfRule type="notContainsBlanks" dxfId="5" priority="5">
      <formula>LEN(TRIM(B12))&gt;0</formula>
    </cfRule>
  </conditionalFormatting>
  <conditionalFormatting sqref="B13:P13 B19:P19 B29:P29 B33:P35 G53:P53">
    <cfRule type="notContainsBlanks" dxfId="6" priority="6">
      <formula>LEN(TRIM(B13))&gt;0</formula>
    </cfRule>
  </conditionalFormatting>
  <conditionalFormatting sqref="B54:P70">
    <cfRule type="containsText" dxfId="6" priority="7" operator="containsText" text="ichinojo">
      <formula>NOT(ISERROR(SEARCH(("ichinojo"),(B54))))</formula>
    </cfRule>
  </conditionalFormatting>
  <conditionalFormatting sqref="B54:P70">
    <cfRule type="containsText" dxfId="0" priority="8" operator="containsText" text="wakatakakage">
      <formula>NOT(ISERROR(SEARCH(("wakatakakage"),(B54))))</formula>
    </cfRule>
  </conditionalFormatting>
  <conditionalFormatting sqref="B54:P70">
    <cfRule type="containsText" dxfId="4" priority="9" operator="containsText" text="nishikigi">
      <formula>NOT(ISERROR(SEARCH(("nishikigi"),(B54))))</formula>
    </cfRule>
  </conditionalFormatting>
  <conditionalFormatting sqref="B54:P70">
    <cfRule type="containsText" dxfId="5" priority="10" operator="containsText" text="terunofuji">
      <formula>NOT(ISERROR(SEARCH(("terunofuji"),(B54))))</formula>
    </cfRule>
  </conditionalFormatting>
  <conditionalFormatting sqref="B54:P70">
    <cfRule type="containsText" dxfId="3" priority="11" operator="containsText" text="akua">
      <formula>NOT(ISERROR(SEARCH(("akua"),(B54))))</formula>
    </cfRule>
  </conditionalFormatting>
  <conditionalFormatting sqref="B54:P70">
    <cfRule type="containsText" dxfId="1" priority="12" operator="containsText" text="yago">
      <formula>NOT(ISERROR(SEARCH(("yago"),(B54))))</formula>
    </cfRule>
  </conditionalFormatting>
  <conditionalFormatting sqref="F40">
    <cfRule type="notContainsBlanks" dxfId="2" priority="13">
      <formula>LEN(TRIM(F40))&gt;0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2" width="10.0"/>
    <col customWidth="1" min="3" max="5" width="9.86"/>
    <col customWidth="1" min="6" max="6" width="10.0"/>
    <col customWidth="1" min="7" max="7" width="9.86"/>
    <col customWidth="1" min="8" max="8" width="10.71"/>
    <col customWidth="1" min="9" max="9" width="9.86"/>
    <col customWidth="1" min="10" max="12" width="10.0"/>
    <col customWidth="1" min="13" max="13" width="10.71"/>
    <col customWidth="1" min="14" max="14" width="11.86"/>
    <col customWidth="1" min="15" max="15" width="10.71"/>
    <col customWidth="1" min="16" max="24" width="11.57"/>
  </cols>
  <sheetData>
    <row r="1"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Z1" s="23"/>
    </row>
    <row r="2">
      <c r="A2" s="275" t="s">
        <v>350</v>
      </c>
      <c r="B2" s="276">
        <f t="shared" ref="B2:B10" si="1">sum(B77:P77)+V62</f>
        <v>83</v>
      </c>
      <c r="C2" s="277" t="s">
        <v>403</v>
      </c>
      <c r="D2" s="278" t="s">
        <v>351</v>
      </c>
      <c r="F2" s="279">
        <f>countcoloredcells(Seattle!normalpoints,A77)</f>
        <v>47</v>
      </c>
      <c r="G2" s="277" t="s">
        <v>403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Z2" s="23"/>
    </row>
    <row r="3">
      <c r="A3" s="23"/>
      <c r="B3" s="280">
        <f t="shared" si="1"/>
        <v>62</v>
      </c>
      <c r="C3" s="281" t="s">
        <v>360</v>
      </c>
      <c r="F3" s="282">
        <f>countcoloredcells(Seattle!normalpoints,A78)</f>
        <v>46</v>
      </c>
      <c r="G3" s="281" t="s">
        <v>360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Z3" s="23"/>
    </row>
    <row r="4">
      <c r="A4" s="23"/>
      <c r="B4" s="280">
        <f t="shared" si="1"/>
        <v>51</v>
      </c>
      <c r="C4" s="283" t="s">
        <v>404</v>
      </c>
      <c r="F4" s="282">
        <f>countcoloredcells(Seattle!normalpoints,A79)</f>
        <v>40</v>
      </c>
      <c r="G4" s="283" t="s">
        <v>404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Z4" s="23"/>
    </row>
    <row r="5">
      <c r="A5" s="23"/>
      <c r="B5" s="280">
        <f t="shared" si="1"/>
        <v>62</v>
      </c>
      <c r="C5" s="284" t="s">
        <v>357</v>
      </c>
      <c r="F5" s="282">
        <f>countcoloredcells(Seattle!normalpoints,A80)</f>
        <v>45</v>
      </c>
      <c r="G5" s="284" t="s">
        <v>357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Z5" s="23"/>
    </row>
    <row r="6">
      <c r="A6" s="23"/>
      <c r="B6" s="280">
        <f t="shared" si="1"/>
        <v>66</v>
      </c>
      <c r="C6" s="285" t="s">
        <v>405</v>
      </c>
      <c r="F6" s="282">
        <f>countcoloredcells(Seattle!normalpoints,A81)</f>
        <v>52</v>
      </c>
      <c r="G6" s="285" t="s">
        <v>405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Z6" s="23"/>
    </row>
    <row r="7">
      <c r="A7" s="23"/>
      <c r="B7" s="280">
        <f t="shared" si="1"/>
        <v>49</v>
      </c>
      <c r="C7" s="286" t="s">
        <v>406</v>
      </c>
      <c r="D7" s="25"/>
      <c r="F7" s="282">
        <f>countcoloredcells(Seattle!normalpoints,A82)</f>
        <v>42</v>
      </c>
      <c r="G7" s="286" t="s">
        <v>406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Z7" s="23"/>
    </row>
    <row r="8">
      <c r="A8" s="23"/>
      <c r="B8" s="280">
        <f t="shared" si="1"/>
        <v>0</v>
      </c>
      <c r="C8" s="287"/>
      <c r="D8" s="225"/>
      <c r="E8" s="23"/>
      <c r="F8" s="282">
        <f>countcoloredcells(Seattle!normalpoints,A83)</f>
        <v>0</v>
      </c>
      <c r="G8" s="287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Z8" s="23"/>
    </row>
    <row r="9">
      <c r="B9" s="280">
        <f t="shared" si="1"/>
        <v>0</v>
      </c>
      <c r="C9" s="288"/>
      <c r="D9" s="225"/>
      <c r="E9" s="23"/>
      <c r="F9" s="282">
        <f>countcoloredcells(Seattle!normalpoints,A84)</f>
        <v>0</v>
      </c>
      <c r="G9" s="288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Z9" s="23"/>
    </row>
    <row r="10">
      <c r="B10" s="289">
        <f t="shared" si="1"/>
        <v>0</v>
      </c>
      <c r="C10" s="290"/>
      <c r="E10" s="23"/>
      <c r="F10" s="291">
        <f>countcoloredcells(Seattle!normalpoints,A85)</f>
        <v>0</v>
      </c>
      <c r="G10" s="29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Z10" s="23"/>
    </row>
    <row r="11"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Z11" s="23"/>
    </row>
    <row r="12"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Z12" s="23"/>
    </row>
    <row r="13"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Z13" s="23"/>
    </row>
    <row r="14"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Z14" s="23"/>
    </row>
    <row r="15"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Z15" s="23"/>
    </row>
    <row r="16">
      <c r="A16" s="23"/>
      <c r="B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Z17" s="23"/>
    </row>
    <row r="18">
      <c r="A18" s="293" t="s">
        <v>206</v>
      </c>
      <c r="B18" s="154">
        <v>1.0</v>
      </c>
      <c r="C18" s="155">
        <v>2.0</v>
      </c>
      <c r="D18" s="155">
        <v>3.0</v>
      </c>
      <c r="E18" s="155">
        <v>4.0</v>
      </c>
      <c r="F18" s="155">
        <v>5.0</v>
      </c>
      <c r="G18" s="155">
        <v>6.0</v>
      </c>
      <c r="H18" s="155">
        <v>7.0</v>
      </c>
      <c r="I18" s="155">
        <v>8.0</v>
      </c>
      <c r="J18" s="155">
        <v>9.0</v>
      </c>
      <c r="K18" s="155">
        <v>10.0</v>
      </c>
      <c r="L18" s="155">
        <v>11.0</v>
      </c>
      <c r="M18" s="155">
        <v>12.0</v>
      </c>
      <c r="N18" s="155">
        <v>13.0</v>
      </c>
      <c r="O18" s="155">
        <v>14.0</v>
      </c>
      <c r="P18" s="155">
        <v>15.0</v>
      </c>
      <c r="Q18" s="294" t="s">
        <v>338</v>
      </c>
      <c r="R18" s="183" t="s">
        <v>339</v>
      </c>
      <c r="S18" s="183" t="s">
        <v>407</v>
      </c>
      <c r="T18" s="183" t="s">
        <v>340</v>
      </c>
      <c r="U18" s="183" t="s">
        <v>341</v>
      </c>
      <c r="V18" s="183" t="s">
        <v>342</v>
      </c>
      <c r="W18" s="183" t="s">
        <v>343</v>
      </c>
      <c r="X18" s="295" t="s">
        <v>344</v>
      </c>
      <c r="Z18" s="23">
        <f>sum(R19:R60)</f>
        <v>272</v>
      </c>
    </row>
    <row r="19">
      <c r="A19" s="158" t="s">
        <v>15</v>
      </c>
      <c r="B19" s="159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1" t="str">
        <f>(BanzukeTable!A2)</f>
        <v>0-0</v>
      </c>
      <c r="R19" s="23">
        <f t="shared" ref="R19:R60" si="2">sum(T19+U19)</f>
        <v>0</v>
      </c>
      <c r="T19">
        <f>countcoloredcells(B19:P19,A79)</f>
        <v>0</v>
      </c>
      <c r="U19">
        <f>COUNTIF(MASTER!bonuspoints2,"hakuho")</f>
        <v>0</v>
      </c>
      <c r="X19">
        <f t="shared" ref="X19:X60" si="3">R19-7.5</f>
        <v>-7.5</v>
      </c>
      <c r="Z19" s="23">
        <f>sum(R77:R85)</f>
        <v>373</v>
      </c>
    </row>
    <row r="20">
      <c r="A20" s="158" t="s">
        <v>19</v>
      </c>
      <c r="B20" s="168" t="s">
        <v>36</v>
      </c>
      <c r="C20" s="160" t="s">
        <v>57</v>
      </c>
      <c r="D20" s="160" t="s">
        <v>114</v>
      </c>
      <c r="E20" s="160" t="s">
        <v>48</v>
      </c>
      <c r="F20" s="160" t="s">
        <v>90</v>
      </c>
      <c r="G20" s="160" t="s">
        <v>40</v>
      </c>
      <c r="H20" s="160" t="s">
        <v>111</v>
      </c>
      <c r="I20" s="160"/>
      <c r="J20" s="160" t="s">
        <v>45</v>
      </c>
      <c r="K20" s="160" t="s">
        <v>131</v>
      </c>
      <c r="L20" s="160"/>
      <c r="M20" s="179" t="s">
        <v>88</v>
      </c>
      <c r="N20" s="160"/>
      <c r="O20" s="160"/>
      <c r="P20" s="296" t="s">
        <v>236</v>
      </c>
      <c r="Q20" s="161" t="str">
        <f>(BanzukeTable!E2)</f>
        <v>0-0</v>
      </c>
      <c r="R20" s="23">
        <f t="shared" si="2"/>
        <v>11</v>
      </c>
      <c r="S20" s="23" t="s">
        <v>405</v>
      </c>
      <c r="T20">
        <f>countcoloredcells(B20:P20,A81)</f>
        <v>11</v>
      </c>
      <c r="U20">
        <f>COUNTIF(MASTER!bonuspoints2,"kakuryu")</f>
        <v>0</v>
      </c>
      <c r="X20">
        <f t="shared" si="3"/>
        <v>3.5</v>
      </c>
    </row>
    <row r="21">
      <c r="A21" s="167" t="s">
        <v>236</v>
      </c>
      <c r="B21" s="297" t="s">
        <v>57</v>
      </c>
      <c r="C21" s="298" t="s">
        <v>90</v>
      </c>
      <c r="D21" s="298"/>
      <c r="E21" s="298" t="s">
        <v>114</v>
      </c>
      <c r="F21" s="298"/>
      <c r="G21" s="298"/>
      <c r="H21" s="298" t="s">
        <v>59</v>
      </c>
      <c r="I21" s="298" t="s">
        <v>36</v>
      </c>
      <c r="J21" s="298" t="s">
        <v>131</v>
      </c>
      <c r="K21" s="298" t="s">
        <v>45</v>
      </c>
      <c r="L21" s="298"/>
      <c r="M21" s="299" t="s">
        <v>79</v>
      </c>
      <c r="N21" s="298" t="s">
        <v>32</v>
      </c>
      <c r="O21" s="298"/>
      <c r="P21" s="300"/>
      <c r="Q21" s="161" t="str">
        <f>(BanzukeTable!A3)</f>
        <v>0-0</v>
      </c>
      <c r="R21" s="23">
        <f t="shared" si="2"/>
        <v>9</v>
      </c>
      <c r="S21" s="23" t="s">
        <v>403</v>
      </c>
      <c r="T21">
        <f>countcoloredcells(B21:P21,A77)</f>
        <v>9</v>
      </c>
      <c r="U21">
        <f>COUNTIF(MASTER!bonuspoints2,"goeido")</f>
        <v>0</v>
      </c>
      <c r="X21">
        <f t="shared" si="3"/>
        <v>1.5</v>
      </c>
    </row>
    <row r="22">
      <c r="A22" s="167" t="s">
        <v>81</v>
      </c>
      <c r="B22" s="168"/>
      <c r="C22" s="160" t="s">
        <v>48</v>
      </c>
      <c r="D22" s="160"/>
      <c r="E22" s="160" t="s">
        <v>57</v>
      </c>
      <c r="F22" s="160" t="s">
        <v>111</v>
      </c>
      <c r="G22" s="160"/>
      <c r="H22" s="160" t="s">
        <v>40</v>
      </c>
      <c r="I22" s="160" t="s">
        <v>45</v>
      </c>
      <c r="J22" s="160" t="s">
        <v>62</v>
      </c>
      <c r="K22" s="160" t="s">
        <v>88</v>
      </c>
      <c r="L22" s="160"/>
      <c r="M22" s="179"/>
      <c r="N22" s="160" t="s">
        <v>408</v>
      </c>
      <c r="O22" s="160"/>
      <c r="P22" s="296" t="s">
        <v>72</v>
      </c>
      <c r="Q22" s="161" t="str">
        <f>(BanzukeTable!E3)</f>
        <v>0-0</v>
      </c>
      <c r="R22" s="23">
        <f t="shared" si="2"/>
        <v>9</v>
      </c>
      <c r="S22" s="23" t="s">
        <v>404</v>
      </c>
      <c r="T22">
        <f>countcoloredcells(B22:P22,A79)</f>
        <v>9</v>
      </c>
      <c r="U22">
        <f>COUNTIF(MASTER!bonuspoints2,"takayasu")</f>
        <v>0</v>
      </c>
      <c r="X22">
        <f t="shared" si="3"/>
        <v>1.5</v>
      </c>
    </row>
    <row r="23">
      <c r="A23" s="167" t="s">
        <v>27</v>
      </c>
      <c r="B23" s="168" t="s">
        <v>48</v>
      </c>
      <c r="C23" s="160" t="s">
        <v>114</v>
      </c>
      <c r="D23" s="160"/>
      <c r="E23" s="160" t="s">
        <v>36</v>
      </c>
      <c r="F23" s="160"/>
      <c r="G23" s="160"/>
      <c r="H23" s="160"/>
      <c r="I23" s="160"/>
      <c r="J23" s="160"/>
      <c r="K23" s="160"/>
      <c r="L23" s="160"/>
      <c r="M23" s="179"/>
      <c r="N23" s="160"/>
      <c r="O23" s="160"/>
      <c r="P23" s="296"/>
      <c r="Q23" s="161" t="str">
        <f>(BanzukeTable!A4)</f>
        <v>0-0</v>
      </c>
      <c r="R23" s="23">
        <f t="shared" si="2"/>
        <v>3</v>
      </c>
      <c r="S23" s="23" t="s">
        <v>406</v>
      </c>
      <c r="T23">
        <f>countcoloredcells(B23:P23,A82)</f>
        <v>3</v>
      </c>
      <c r="U23">
        <f>COUNTIF(MASTER!bonuspoints2,"takakeisho")</f>
        <v>0</v>
      </c>
      <c r="X23">
        <f t="shared" si="3"/>
        <v>-4.5</v>
      </c>
    </row>
    <row r="24">
      <c r="A24" s="167" t="s">
        <v>146</v>
      </c>
      <c r="B24" s="297"/>
      <c r="C24" s="298" t="s">
        <v>111</v>
      </c>
      <c r="D24" s="298"/>
      <c r="E24" s="298" t="s">
        <v>45</v>
      </c>
      <c r="F24" s="298"/>
      <c r="G24" s="298"/>
      <c r="H24" s="298"/>
      <c r="I24" s="298"/>
      <c r="J24" s="298"/>
      <c r="K24" s="298"/>
      <c r="L24" s="298"/>
      <c r="M24" s="299" t="s">
        <v>90</v>
      </c>
      <c r="N24" s="298" t="s">
        <v>48</v>
      </c>
      <c r="O24" s="298"/>
      <c r="P24" s="301" t="s">
        <v>62</v>
      </c>
      <c r="Q24" s="161" t="str">
        <f>(BanzukeTable!A5)</f>
        <v>0-0</v>
      </c>
      <c r="R24" s="23">
        <f t="shared" si="2"/>
        <v>2</v>
      </c>
      <c r="S24" s="23" t="s">
        <v>360</v>
      </c>
      <c r="T24">
        <f>countcoloredcells(B24:P24,A78)</f>
        <v>2</v>
      </c>
      <c r="U24">
        <f>COUNTIF(MASTER!bonuspoints2,"ichinojo")</f>
        <v>0</v>
      </c>
      <c r="X24">
        <f t="shared" si="3"/>
        <v>-5.5</v>
      </c>
    </row>
    <row r="25">
      <c r="A25" s="167" t="s">
        <v>72</v>
      </c>
      <c r="B25" s="168" t="s">
        <v>111</v>
      </c>
      <c r="C25" s="160" t="s">
        <v>40</v>
      </c>
      <c r="D25" s="160" t="s">
        <v>45</v>
      </c>
      <c r="E25" s="160" t="s">
        <v>59</v>
      </c>
      <c r="F25" s="160" t="s">
        <v>57</v>
      </c>
      <c r="G25" s="160" t="s">
        <v>146</v>
      </c>
      <c r="H25" s="160" t="s">
        <v>114</v>
      </c>
      <c r="I25" s="160"/>
      <c r="J25" s="160" t="s">
        <v>27</v>
      </c>
      <c r="K25" s="160" t="s">
        <v>36</v>
      </c>
      <c r="L25" s="160"/>
      <c r="M25" s="179"/>
      <c r="N25" s="160"/>
      <c r="O25" s="160" t="s">
        <v>409</v>
      </c>
      <c r="P25" s="296"/>
      <c r="Q25" s="161" t="str">
        <f>(BanzukeTable!E5)</f>
        <v/>
      </c>
      <c r="R25" s="23">
        <f t="shared" si="2"/>
        <v>10</v>
      </c>
      <c r="S25" s="23" t="s">
        <v>357</v>
      </c>
      <c r="T25">
        <f>countcoloredcells(B25:P25,A80)</f>
        <v>10</v>
      </c>
      <c r="U25">
        <f>COUNTIF(MASTER!bonuspoints2,"tochinoshin")</f>
        <v>0</v>
      </c>
      <c r="X25">
        <f t="shared" si="3"/>
        <v>2.5</v>
      </c>
    </row>
    <row r="26">
      <c r="A26" s="167" t="s">
        <v>90</v>
      </c>
      <c r="B26" s="297" t="s">
        <v>59</v>
      </c>
      <c r="C26" s="298"/>
      <c r="D26" s="298"/>
      <c r="E26" s="298"/>
      <c r="F26" s="298"/>
      <c r="G26" s="298"/>
      <c r="H26" s="298"/>
      <c r="I26" s="298" t="s">
        <v>410</v>
      </c>
      <c r="J26" s="298" t="s">
        <v>114</v>
      </c>
      <c r="K26" s="298" t="s">
        <v>48</v>
      </c>
      <c r="L26" s="298" t="s">
        <v>381</v>
      </c>
      <c r="M26" s="299"/>
      <c r="N26" s="298" t="s">
        <v>131</v>
      </c>
      <c r="O26" s="298"/>
      <c r="P26" s="301"/>
      <c r="Q26" s="161" t="str">
        <f>(BanzukeTable!A6)</f>
        <v>0-0</v>
      </c>
      <c r="R26" s="23">
        <f t="shared" si="2"/>
        <v>6</v>
      </c>
      <c r="S26" s="23" t="s">
        <v>360</v>
      </c>
      <c r="T26">
        <f>countcoloredcells(B26:P26,A78)</f>
        <v>6</v>
      </c>
      <c r="U26">
        <f>COUNTIF(MASTER!bonuspoints2,"aoiyama")</f>
        <v>0</v>
      </c>
      <c r="X26">
        <f t="shared" si="3"/>
        <v>-1.5</v>
      </c>
    </row>
    <row r="27">
      <c r="A27" s="167" t="s">
        <v>36</v>
      </c>
      <c r="B27" s="168"/>
      <c r="C27" s="160" t="s">
        <v>59</v>
      </c>
      <c r="D27" s="160" t="s">
        <v>381</v>
      </c>
      <c r="E27" s="160"/>
      <c r="F27" s="160" t="s">
        <v>411</v>
      </c>
      <c r="G27" s="160" t="s">
        <v>114</v>
      </c>
      <c r="H27" s="160" t="s">
        <v>90</v>
      </c>
      <c r="I27" s="160"/>
      <c r="J27" s="160" t="s">
        <v>57</v>
      </c>
      <c r="K27" s="160"/>
      <c r="L27" s="160"/>
      <c r="M27" s="179" t="s">
        <v>40</v>
      </c>
      <c r="N27" s="160"/>
      <c r="O27" s="178" t="s">
        <v>79</v>
      </c>
      <c r="P27" s="296" t="s">
        <v>23</v>
      </c>
      <c r="Q27" s="161" t="str">
        <f>(BanzukeTable!E6)</f>
        <v>0-0</v>
      </c>
      <c r="R27" s="23">
        <f t="shared" si="2"/>
        <v>9</v>
      </c>
      <c r="S27" s="23" t="s">
        <v>405</v>
      </c>
      <c r="T27">
        <f t="shared" ref="T27:T28" si="4">countcoloredcells(B27:P27,A81)</f>
        <v>9</v>
      </c>
      <c r="U27">
        <f>COUNTIF(MASTER!bonuspoints2,"mitakeumi")</f>
        <v>0</v>
      </c>
      <c r="X27">
        <f t="shared" si="3"/>
        <v>1.5</v>
      </c>
    </row>
    <row r="28">
      <c r="A28" s="173" t="s">
        <v>57</v>
      </c>
      <c r="B28" s="297"/>
      <c r="C28" s="298"/>
      <c r="D28" s="298" t="s">
        <v>382</v>
      </c>
      <c r="E28" s="298"/>
      <c r="F28" s="298"/>
      <c r="G28" s="298" t="s">
        <v>412</v>
      </c>
      <c r="H28" s="298" t="s">
        <v>413</v>
      </c>
      <c r="I28" s="298"/>
      <c r="J28" s="298"/>
      <c r="K28" s="298" t="s">
        <v>111</v>
      </c>
      <c r="L28" s="298"/>
      <c r="M28" s="299"/>
      <c r="N28" s="298" t="s">
        <v>40</v>
      </c>
      <c r="O28" s="298" t="s">
        <v>246</v>
      </c>
      <c r="P28" s="301" t="s">
        <v>153</v>
      </c>
      <c r="Q28" s="161" t="str">
        <f>(BanzukeTable!A7)</f>
        <v>0-0</v>
      </c>
      <c r="R28" s="23">
        <f t="shared" si="2"/>
        <v>7</v>
      </c>
      <c r="S28" s="23" t="s">
        <v>406</v>
      </c>
      <c r="T28">
        <f t="shared" si="4"/>
        <v>7</v>
      </c>
      <c r="U28">
        <f>COUNTIF(MASTER!bonuspoints2,"hokutofuji")</f>
        <v>0</v>
      </c>
      <c r="X28">
        <f t="shared" si="3"/>
        <v>-0.5</v>
      </c>
    </row>
    <row r="29">
      <c r="A29" s="158" t="s">
        <v>114</v>
      </c>
      <c r="B29" s="168" t="s">
        <v>414</v>
      </c>
      <c r="C29" s="160"/>
      <c r="D29" s="160"/>
      <c r="E29" s="160"/>
      <c r="F29" s="160" t="s">
        <v>48</v>
      </c>
      <c r="G29" s="160"/>
      <c r="H29" s="160"/>
      <c r="I29" s="160" t="s">
        <v>146</v>
      </c>
      <c r="J29" s="160"/>
      <c r="K29" s="175"/>
      <c r="L29" s="160" t="s">
        <v>57</v>
      </c>
      <c r="M29" s="179" t="s">
        <v>111</v>
      </c>
      <c r="N29" s="160"/>
      <c r="O29" s="160"/>
      <c r="P29" s="179" t="s">
        <v>45</v>
      </c>
      <c r="Q29" s="161" t="str">
        <f>(BanzukeTable!E7)</f>
        <v>0-0</v>
      </c>
      <c r="R29" s="23">
        <f t="shared" si="2"/>
        <v>6</v>
      </c>
      <c r="S29" s="23" t="s">
        <v>357</v>
      </c>
      <c r="T29">
        <f>countcoloredcells(B29:P29,A80)</f>
        <v>6</v>
      </c>
      <c r="U29">
        <f>COUNTIF(MASTER!bonuspoints2,"kotoshogiku")</f>
        <v>0</v>
      </c>
      <c r="X29">
        <f t="shared" si="3"/>
        <v>-1.5</v>
      </c>
    </row>
    <row r="30">
      <c r="A30" s="158" t="s">
        <v>48</v>
      </c>
      <c r="B30" s="168"/>
      <c r="C30" s="160"/>
      <c r="D30" s="160" t="s">
        <v>379</v>
      </c>
      <c r="E30" s="160"/>
      <c r="F30" s="160"/>
      <c r="G30" s="160" t="s">
        <v>45</v>
      </c>
      <c r="H30" s="160"/>
      <c r="I30" s="160" t="s">
        <v>415</v>
      </c>
      <c r="J30" s="160"/>
      <c r="K30" s="160"/>
      <c r="L30" s="160" t="s">
        <v>416</v>
      </c>
      <c r="M30" s="175" t="s">
        <v>57</v>
      </c>
      <c r="N30" s="160"/>
      <c r="O30" s="160" t="s">
        <v>102</v>
      </c>
      <c r="P30" s="179" t="s">
        <v>199</v>
      </c>
      <c r="Q30" s="161" t="str">
        <f>(BanzukeTable!A8)</f>
        <v>0-0</v>
      </c>
      <c r="R30" s="23">
        <f t="shared" si="2"/>
        <v>7</v>
      </c>
      <c r="S30" s="23" t="s">
        <v>404</v>
      </c>
      <c r="T30">
        <f>countcoloredcells(B30:P30,A79)</f>
        <v>7</v>
      </c>
      <c r="U30">
        <f>COUNTIF(MASTER!bonuspoints2,"endo")</f>
        <v>0</v>
      </c>
      <c r="X30">
        <f t="shared" si="3"/>
        <v>-0.5</v>
      </c>
    </row>
    <row r="31">
      <c r="A31" s="158" t="s">
        <v>40</v>
      </c>
      <c r="B31" s="168" t="s">
        <v>413</v>
      </c>
      <c r="C31" s="160"/>
      <c r="D31" s="160" t="s">
        <v>412</v>
      </c>
      <c r="E31" s="160"/>
      <c r="F31" s="160" t="s">
        <v>379</v>
      </c>
      <c r="G31" s="160"/>
      <c r="H31" s="160"/>
      <c r="I31" s="160" t="s">
        <v>111</v>
      </c>
      <c r="J31" s="160"/>
      <c r="K31" s="160" t="s">
        <v>114</v>
      </c>
      <c r="L31" s="160"/>
      <c r="M31" s="179"/>
      <c r="N31" s="160"/>
      <c r="O31" s="160" t="s">
        <v>163</v>
      </c>
      <c r="P31" s="179" t="s">
        <v>65</v>
      </c>
      <c r="Q31" s="161" t="str">
        <f>(BanzukeTable!E8)</f>
        <v>0-0</v>
      </c>
      <c r="R31" s="23">
        <f t="shared" si="2"/>
        <v>7</v>
      </c>
      <c r="S31" s="23" t="s">
        <v>403</v>
      </c>
      <c r="T31">
        <f>countcoloredcells(B31:P31,A77)</f>
        <v>7</v>
      </c>
      <c r="U31">
        <f>COUNTIF(MASTER!bonuspoints2,"daieisho")</f>
        <v>0</v>
      </c>
      <c r="X31">
        <f t="shared" si="3"/>
        <v>-0.5</v>
      </c>
    </row>
    <row r="32">
      <c r="A32" s="158" t="s">
        <v>111</v>
      </c>
      <c r="B32" s="168"/>
      <c r="C32" s="160"/>
      <c r="D32" s="160"/>
      <c r="E32" s="160" t="s">
        <v>412</v>
      </c>
      <c r="F32" s="160"/>
      <c r="G32" s="160" t="s">
        <v>379</v>
      </c>
      <c r="H32" s="160"/>
      <c r="I32" s="160"/>
      <c r="J32" s="160" t="s">
        <v>48</v>
      </c>
      <c r="K32" s="160"/>
      <c r="L32" s="160"/>
      <c r="M32" s="179"/>
      <c r="N32" s="160" t="s">
        <v>45</v>
      </c>
      <c r="O32" s="160" t="s">
        <v>92</v>
      </c>
      <c r="P32" s="179" t="s">
        <v>238</v>
      </c>
      <c r="Q32" s="161" t="str">
        <f>(BanzukeTable!A9)</f>
        <v>0-0</v>
      </c>
      <c r="R32" s="23">
        <f t="shared" si="2"/>
        <v>6</v>
      </c>
      <c r="S32" s="23" t="s">
        <v>405</v>
      </c>
      <c r="T32">
        <f>countcoloredcells(B32:P32,A81)</f>
        <v>6</v>
      </c>
      <c r="U32">
        <f>COUNTIF(MASTER!bonuspoints2,"chiyotairyu")</f>
        <v>0</v>
      </c>
      <c r="X32">
        <f t="shared" si="3"/>
        <v>-1.5</v>
      </c>
    </row>
    <row r="33">
      <c r="A33" s="158" t="s">
        <v>59</v>
      </c>
      <c r="B33" s="168"/>
      <c r="C33" s="160"/>
      <c r="D33" s="160" t="s">
        <v>413</v>
      </c>
      <c r="E33" s="160"/>
      <c r="F33" s="160" t="s">
        <v>27</v>
      </c>
      <c r="G33" s="160" t="s">
        <v>414</v>
      </c>
      <c r="H33" s="175"/>
      <c r="I33" s="160" t="s">
        <v>377</v>
      </c>
      <c r="J33" s="160" t="s">
        <v>40</v>
      </c>
      <c r="K33" s="160" t="s">
        <v>62</v>
      </c>
      <c r="L33" s="160" t="s">
        <v>111</v>
      </c>
      <c r="M33" s="179" t="s">
        <v>23</v>
      </c>
      <c r="N33" s="160" t="s">
        <v>114</v>
      </c>
      <c r="O33" s="160" t="s">
        <v>107</v>
      </c>
      <c r="P33" s="179"/>
      <c r="Q33" s="161" t="str">
        <f>(BanzukeTable!E9)</f>
        <v>0-0</v>
      </c>
      <c r="R33" s="23">
        <f t="shared" si="2"/>
        <v>10</v>
      </c>
      <c r="S33" s="23" t="s">
        <v>360</v>
      </c>
      <c r="T33">
        <f>countcoloredcells(B33:P33,A78)</f>
        <v>10</v>
      </c>
      <c r="U33">
        <f>COUNTIF(MASTER!bonuspoints2,"tamawashi")</f>
        <v>0</v>
      </c>
      <c r="X33">
        <f t="shared" si="3"/>
        <v>2.5</v>
      </c>
    </row>
    <row r="34">
      <c r="A34" s="177" t="s">
        <v>45</v>
      </c>
      <c r="B34" s="168"/>
      <c r="C34" s="160"/>
      <c r="D34" s="160"/>
      <c r="E34" s="160"/>
      <c r="F34" s="160" t="s">
        <v>88</v>
      </c>
      <c r="G34" s="160"/>
      <c r="H34" s="160" t="s">
        <v>79</v>
      </c>
      <c r="I34" s="160"/>
      <c r="J34" s="160"/>
      <c r="K34" s="160"/>
      <c r="L34" s="160" t="s">
        <v>40</v>
      </c>
      <c r="M34" s="179" t="s">
        <v>107</v>
      </c>
      <c r="N34" s="160"/>
      <c r="O34" s="160" t="s">
        <v>412</v>
      </c>
      <c r="P34" s="179"/>
      <c r="Q34" s="161" t="str">
        <f>(BanzukeTable!A10)</f>
        <v>0-0</v>
      </c>
      <c r="R34" s="23">
        <f t="shared" si="2"/>
        <v>5</v>
      </c>
      <c r="S34" s="23" t="s">
        <v>406</v>
      </c>
      <c r="T34">
        <f>countcoloredcells(B34:P34,A82)</f>
        <v>5</v>
      </c>
      <c r="U34">
        <f>COUNTIF(MASTER!bonuspoints2,"okinoumi")</f>
        <v>0</v>
      </c>
      <c r="X34">
        <f t="shared" si="3"/>
        <v>-2.5</v>
      </c>
    </row>
    <row r="35">
      <c r="A35" s="158" t="s">
        <v>131</v>
      </c>
      <c r="B35" s="168" t="s">
        <v>45</v>
      </c>
      <c r="C35" s="160"/>
      <c r="D35" s="160" t="s">
        <v>111</v>
      </c>
      <c r="E35" s="160" t="s">
        <v>40</v>
      </c>
      <c r="F35" s="160" t="s">
        <v>62</v>
      </c>
      <c r="G35" s="160"/>
      <c r="H35" s="160" t="s">
        <v>48</v>
      </c>
      <c r="I35" s="160" t="s">
        <v>57</v>
      </c>
      <c r="J35" s="160"/>
      <c r="K35" s="160"/>
      <c r="L35" s="178" t="s">
        <v>415</v>
      </c>
      <c r="M35" s="179" t="s">
        <v>414</v>
      </c>
      <c r="N35" s="160"/>
      <c r="O35" s="160" t="s">
        <v>122</v>
      </c>
      <c r="P35" s="179" t="s">
        <v>59</v>
      </c>
      <c r="Q35" s="161" t="str">
        <f>(BanzukeTable!E10)</f>
        <v>0-0</v>
      </c>
      <c r="R35" s="23">
        <f t="shared" si="2"/>
        <v>10</v>
      </c>
      <c r="S35" s="23" t="s">
        <v>403</v>
      </c>
      <c r="T35">
        <f>countcoloredcells(B35:P35,A77)</f>
        <v>10</v>
      </c>
      <c r="U35">
        <f>COUNTIF(MASTER!bonuspoints2,"abi")</f>
        <v>0</v>
      </c>
      <c r="X35">
        <f t="shared" si="3"/>
        <v>2.5</v>
      </c>
    </row>
    <row r="36">
      <c r="A36" s="158" t="s">
        <v>62</v>
      </c>
      <c r="B36" s="168"/>
      <c r="C36" s="160" t="s">
        <v>45</v>
      </c>
      <c r="D36" s="160"/>
      <c r="E36" s="160"/>
      <c r="F36" s="160"/>
      <c r="G36" s="160" t="s">
        <v>32</v>
      </c>
      <c r="H36" s="160"/>
      <c r="I36" s="160" t="s">
        <v>119</v>
      </c>
      <c r="J36" s="160"/>
      <c r="K36" s="160"/>
      <c r="L36" s="160" t="s">
        <v>377</v>
      </c>
      <c r="M36" s="179" t="s">
        <v>153</v>
      </c>
      <c r="N36" s="160"/>
      <c r="O36" s="160" t="s">
        <v>114</v>
      </c>
      <c r="P36" s="179"/>
      <c r="Q36" s="161" t="str">
        <f>(BanzukeTable!A11)</f>
        <v>0-0</v>
      </c>
      <c r="R36" s="23">
        <f t="shared" si="2"/>
        <v>6</v>
      </c>
      <c r="S36" s="23" t="s">
        <v>404</v>
      </c>
      <c r="T36">
        <f t="shared" ref="T36:T37" si="5">countcoloredcells(B36:P36,A79)</f>
        <v>6</v>
      </c>
      <c r="U36">
        <f>COUNTIF(MASTER!bonuspoints2,"myogiryu")</f>
        <v>0</v>
      </c>
      <c r="X36">
        <f t="shared" si="3"/>
        <v>-1.5</v>
      </c>
    </row>
    <row r="37">
      <c r="A37" s="177" t="s">
        <v>88</v>
      </c>
      <c r="B37" s="168" t="s">
        <v>62</v>
      </c>
      <c r="C37" s="160" t="s">
        <v>131</v>
      </c>
      <c r="D37" s="160" t="s">
        <v>246</v>
      </c>
      <c r="E37" s="160"/>
      <c r="F37" s="160"/>
      <c r="G37" s="160" t="s">
        <v>122</v>
      </c>
      <c r="H37" s="160" t="s">
        <v>119</v>
      </c>
      <c r="I37" s="160" t="s">
        <v>153</v>
      </c>
      <c r="J37" s="160"/>
      <c r="K37" s="160"/>
      <c r="L37" s="160" t="s">
        <v>379</v>
      </c>
      <c r="M37" s="179"/>
      <c r="N37" s="160" t="s">
        <v>416</v>
      </c>
      <c r="O37" s="160" t="s">
        <v>413</v>
      </c>
      <c r="P37" s="175" t="s">
        <v>412</v>
      </c>
      <c r="Q37" s="161" t="str">
        <f>(BanzukeTable!E11)</f>
        <v>0-0</v>
      </c>
      <c r="R37" s="23">
        <f t="shared" si="2"/>
        <v>10</v>
      </c>
      <c r="S37" s="23" t="s">
        <v>357</v>
      </c>
      <c r="T37">
        <f t="shared" si="5"/>
        <v>10</v>
      </c>
      <c r="U37">
        <f>COUNTIF(MASTER!bonuspoints2,"ryuden")</f>
        <v>0</v>
      </c>
      <c r="X37">
        <f t="shared" si="3"/>
        <v>2.5</v>
      </c>
    </row>
    <row r="38">
      <c r="A38" s="158" t="s">
        <v>79</v>
      </c>
      <c r="B38" s="168" t="s">
        <v>246</v>
      </c>
      <c r="C38" s="160"/>
      <c r="D38" s="160" t="s">
        <v>62</v>
      </c>
      <c r="E38" s="160"/>
      <c r="F38" s="160" t="s">
        <v>119</v>
      </c>
      <c r="G38" s="160" t="s">
        <v>131</v>
      </c>
      <c r="H38" s="160"/>
      <c r="I38" s="160"/>
      <c r="J38" s="160" t="s">
        <v>153</v>
      </c>
      <c r="K38" s="160" t="s">
        <v>203</v>
      </c>
      <c r="L38" s="160" t="s">
        <v>102</v>
      </c>
      <c r="M38" s="179"/>
      <c r="N38" s="160" t="s">
        <v>238</v>
      </c>
      <c r="O38" s="160"/>
      <c r="P38" s="179"/>
      <c r="Q38" s="161" t="str">
        <f>(BanzukeTable!A12)</f>
        <v>0-0</v>
      </c>
      <c r="R38" s="23">
        <f t="shared" si="2"/>
        <v>8</v>
      </c>
      <c r="S38" s="23" t="s">
        <v>406</v>
      </c>
      <c r="T38">
        <f>countcoloredcells(B38:P38,A82)</f>
        <v>8</v>
      </c>
      <c r="U38">
        <f>COUNTIF(MASTER!bonuspoints2,"takarafuji")</f>
        <v>0</v>
      </c>
      <c r="X38">
        <f t="shared" si="3"/>
        <v>0.5</v>
      </c>
    </row>
    <row r="39">
      <c r="A39" s="158" t="s">
        <v>246</v>
      </c>
      <c r="B39" s="168"/>
      <c r="C39" s="160" t="s">
        <v>122</v>
      </c>
      <c r="D39" s="160"/>
      <c r="E39" s="160" t="s">
        <v>62</v>
      </c>
      <c r="F39" s="160"/>
      <c r="G39" s="160"/>
      <c r="H39" s="160"/>
      <c r="I39" s="160"/>
      <c r="J39" s="160"/>
      <c r="K39" s="160" t="s">
        <v>153</v>
      </c>
      <c r="L39" s="160"/>
      <c r="M39" s="179" t="s">
        <v>125</v>
      </c>
      <c r="N39" s="160"/>
      <c r="O39" s="160"/>
      <c r="P39" s="175"/>
      <c r="Q39" s="161" t="str">
        <f>(BanzukeTable!E12)</f>
        <v>0-0</v>
      </c>
      <c r="R39" s="23">
        <f t="shared" si="2"/>
        <v>4</v>
      </c>
      <c r="S39" s="23" t="s">
        <v>403</v>
      </c>
      <c r="T39">
        <f t="shared" ref="T39:T40" si="6">countcoloredcells(B39:P39,A77)</f>
        <v>4</v>
      </c>
      <c r="U39">
        <f>COUNTIF(MASTER!bonuspoints2,"yoshikaze")</f>
        <v>0</v>
      </c>
      <c r="X39">
        <f t="shared" si="3"/>
        <v>-3.5</v>
      </c>
    </row>
    <row r="40">
      <c r="A40" s="158" t="s">
        <v>32</v>
      </c>
      <c r="B40" s="168" t="s">
        <v>122</v>
      </c>
      <c r="C40" s="160" t="s">
        <v>79</v>
      </c>
      <c r="D40" s="160"/>
      <c r="E40" s="160" t="s">
        <v>88</v>
      </c>
      <c r="F40" s="160" t="s">
        <v>246</v>
      </c>
      <c r="G40" s="160"/>
      <c r="H40" s="160"/>
      <c r="I40" s="160" t="s">
        <v>203</v>
      </c>
      <c r="J40" s="160" t="s">
        <v>84</v>
      </c>
      <c r="K40" s="160"/>
      <c r="L40" s="160" t="s">
        <v>138</v>
      </c>
      <c r="M40" s="179" t="s">
        <v>238</v>
      </c>
      <c r="N40" s="160"/>
      <c r="O40" s="160" t="s">
        <v>414</v>
      </c>
      <c r="P40" s="179" t="s">
        <v>107</v>
      </c>
      <c r="Q40" s="161" t="str">
        <f>(BanzukeTable!A13)</f>
        <v>0-0</v>
      </c>
      <c r="R40" s="23">
        <f t="shared" si="2"/>
        <v>10</v>
      </c>
      <c r="S40" s="23" t="s">
        <v>360</v>
      </c>
      <c r="T40">
        <f t="shared" si="6"/>
        <v>10</v>
      </c>
      <c r="U40">
        <f>COUNTIF(MASTER!bonuspoints2,"shodai")</f>
        <v>0</v>
      </c>
      <c r="X40">
        <f t="shared" si="3"/>
        <v>2.5</v>
      </c>
    </row>
    <row r="41">
      <c r="A41" s="158" t="s">
        <v>122</v>
      </c>
      <c r="B41" s="168"/>
      <c r="C41" s="160"/>
      <c r="D41" s="160"/>
      <c r="E41" s="160" t="s">
        <v>79</v>
      </c>
      <c r="F41" s="160" t="s">
        <v>153</v>
      </c>
      <c r="G41" s="160"/>
      <c r="H41" s="160" t="s">
        <v>62</v>
      </c>
      <c r="I41" s="160" t="s">
        <v>102</v>
      </c>
      <c r="J41" s="160" t="s">
        <v>203</v>
      </c>
      <c r="K41" s="160" t="s">
        <v>138</v>
      </c>
      <c r="L41" s="160" t="s">
        <v>125</v>
      </c>
      <c r="M41" s="179" t="s">
        <v>415</v>
      </c>
      <c r="N41" s="160" t="s">
        <v>100</v>
      </c>
      <c r="O41" s="160"/>
      <c r="P41" s="179" t="s">
        <v>191</v>
      </c>
      <c r="Q41" s="161" t="str">
        <f>(BanzukeTable!E13)</f>
        <v>0-0</v>
      </c>
      <c r="R41" s="23">
        <f t="shared" si="2"/>
        <v>10</v>
      </c>
      <c r="S41" s="23" t="s">
        <v>405</v>
      </c>
      <c r="T41">
        <f>countcoloredcells(B41:P41,A81)</f>
        <v>10</v>
      </c>
      <c r="U41">
        <f>COUNTIF(MASTER!bonuspoints2,"meisei")</f>
        <v>0</v>
      </c>
      <c r="X41">
        <f t="shared" si="3"/>
        <v>2.5</v>
      </c>
    </row>
    <row r="42">
      <c r="A42" s="158" t="s">
        <v>119</v>
      </c>
      <c r="B42" s="168"/>
      <c r="C42" s="160"/>
      <c r="D42" s="160" t="s">
        <v>32</v>
      </c>
      <c r="E42" s="160" t="s">
        <v>203</v>
      </c>
      <c r="F42" s="160"/>
      <c r="G42" s="160" t="s">
        <v>246</v>
      </c>
      <c r="H42" s="160"/>
      <c r="I42" s="160"/>
      <c r="J42" s="160"/>
      <c r="K42" s="160"/>
      <c r="L42" s="160"/>
      <c r="M42" s="179"/>
      <c r="N42" s="160"/>
      <c r="O42" s="160"/>
      <c r="P42" s="179"/>
      <c r="Q42" s="161" t="str">
        <f>(BanzukeTable!A14)</f>
        <v>0-0</v>
      </c>
      <c r="R42" s="23">
        <f t="shared" si="2"/>
        <v>3</v>
      </c>
      <c r="S42" s="23" t="s">
        <v>404</v>
      </c>
      <c r="T42">
        <f>countcoloredcells(B42:P42,A79)</f>
        <v>3</v>
      </c>
      <c r="U42">
        <f>COUNTIF(MASTER!bonuspoints2,"kaisei")</f>
        <v>0</v>
      </c>
      <c r="X42">
        <f t="shared" si="3"/>
        <v>-4.5</v>
      </c>
    </row>
    <row r="43">
      <c r="A43" s="177" t="s">
        <v>23</v>
      </c>
      <c r="B43" s="168" t="s">
        <v>119</v>
      </c>
      <c r="C43" s="160" t="s">
        <v>203</v>
      </c>
      <c r="D43" s="160" t="s">
        <v>122</v>
      </c>
      <c r="E43" s="160" t="s">
        <v>153</v>
      </c>
      <c r="F43" s="160" t="s">
        <v>84</v>
      </c>
      <c r="G43" s="160"/>
      <c r="H43" s="160" t="s">
        <v>246</v>
      </c>
      <c r="I43" s="160" t="s">
        <v>79</v>
      </c>
      <c r="J43" s="160" t="s">
        <v>88</v>
      </c>
      <c r="K43" s="160" t="s">
        <v>32</v>
      </c>
      <c r="L43" s="160" t="s">
        <v>105</v>
      </c>
      <c r="M43" s="179"/>
      <c r="N43" s="160" t="s">
        <v>415</v>
      </c>
      <c r="O43" s="160" t="s">
        <v>379</v>
      </c>
      <c r="P43" s="179"/>
      <c r="Q43" s="161" t="str">
        <f>(BanzukeTable!E14)</f>
        <v>0-0</v>
      </c>
      <c r="R43" s="23">
        <f t="shared" si="2"/>
        <v>12</v>
      </c>
      <c r="S43" s="23" t="s">
        <v>403</v>
      </c>
      <c r="T43">
        <f>countcoloredcells(B43:P43,A77)</f>
        <v>12</v>
      </c>
      <c r="U43">
        <f>COUNTIF(MASTER!bonuspoints2,"asanoyama")</f>
        <v>0</v>
      </c>
      <c r="X43">
        <f t="shared" si="3"/>
        <v>4.5</v>
      </c>
    </row>
    <row r="44">
      <c r="A44" s="158" t="s">
        <v>153</v>
      </c>
      <c r="B44" s="168"/>
      <c r="C44" s="160" t="s">
        <v>119</v>
      </c>
      <c r="D44" s="160"/>
      <c r="E44" s="160"/>
      <c r="F44" s="160"/>
      <c r="G44" s="160" t="s">
        <v>138</v>
      </c>
      <c r="H44" s="160" t="s">
        <v>32</v>
      </c>
      <c r="I44" s="160"/>
      <c r="J44" s="160"/>
      <c r="K44" s="160"/>
      <c r="L44" s="160" t="s">
        <v>92</v>
      </c>
      <c r="M44" s="179"/>
      <c r="N44" s="160" t="s">
        <v>65</v>
      </c>
      <c r="O44" s="160"/>
      <c r="P44" s="179"/>
      <c r="Q44" s="161" t="str">
        <f>(BanzukeTable!A15)</f>
        <v>0-0</v>
      </c>
      <c r="R44" s="23">
        <f t="shared" si="2"/>
        <v>5</v>
      </c>
      <c r="S44" s="23" t="s">
        <v>357</v>
      </c>
      <c r="T44">
        <f>countcoloredcells(B44:P44,A80)</f>
        <v>5</v>
      </c>
      <c r="U44">
        <f>COUNTIF(MASTER!bonuspoints2,"nishikigi")</f>
        <v>0</v>
      </c>
      <c r="X44">
        <f t="shared" si="3"/>
        <v>-2.5</v>
      </c>
    </row>
    <row r="45">
      <c r="A45" s="158" t="s">
        <v>203</v>
      </c>
      <c r="B45" s="168" t="s">
        <v>153</v>
      </c>
      <c r="C45" s="160"/>
      <c r="D45" s="160" t="s">
        <v>102</v>
      </c>
      <c r="E45" s="160"/>
      <c r="F45" s="160" t="s">
        <v>138</v>
      </c>
      <c r="G45" s="160" t="s">
        <v>84</v>
      </c>
      <c r="H45" s="160"/>
      <c r="I45" s="160"/>
      <c r="J45" s="160"/>
      <c r="K45" s="160"/>
      <c r="L45" s="160" t="s">
        <v>100</v>
      </c>
      <c r="M45" s="179"/>
      <c r="N45" s="160" t="s">
        <v>62</v>
      </c>
      <c r="O45" s="160" t="s">
        <v>167</v>
      </c>
      <c r="P45" s="179" t="s">
        <v>105</v>
      </c>
      <c r="Q45" s="161" t="str">
        <f>(BanzukeTable!E15)</f>
        <v>0-0</v>
      </c>
      <c r="R45" s="23">
        <f t="shared" si="2"/>
        <v>8</v>
      </c>
      <c r="S45" s="23" t="s">
        <v>360</v>
      </c>
      <c r="T45">
        <f>countcoloredcells(B45:P45,A78)</f>
        <v>8</v>
      </c>
      <c r="U45">
        <f>COUNTIF(MASTER!bonuspoints2,"tomokaze")</f>
        <v>0</v>
      </c>
      <c r="X45">
        <f t="shared" si="3"/>
        <v>0.5</v>
      </c>
    </row>
    <row r="46">
      <c r="A46" s="158" t="s">
        <v>84</v>
      </c>
      <c r="B46" s="168"/>
      <c r="C46" s="160"/>
      <c r="D46" s="160" t="s">
        <v>153</v>
      </c>
      <c r="E46" s="160"/>
      <c r="F46" s="160"/>
      <c r="G46" s="160"/>
      <c r="H46" s="160"/>
      <c r="I46" s="160" t="s">
        <v>246</v>
      </c>
      <c r="J46" s="160"/>
      <c r="K46" s="160"/>
      <c r="L46" s="160"/>
      <c r="M46" s="179"/>
      <c r="N46" s="160" t="s">
        <v>199</v>
      </c>
      <c r="O46" s="160" t="s">
        <v>105</v>
      </c>
      <c r="P46" s="179" t="s">
        <v>125</v>
      </c>
      <c r="Q46" s="161" t="str">
        <f>(BanzukeTable!A16)</f>
        <v>0-0</v>
      </c>
      <c r="R46" s="23">
        <f t="shared" si="2"/>
        <v>5</v>
      </c>
      <c r="S46" s="23" t="s">
        <v>403</v>
      </c>
      <c r="T46">
        <f>countcoloredcells(B46:P46,A77)</f>
        <v>5</v>
      </c>
      <c r="U46">
        <f>COUNTIF(MASTER!bonuspoints2,"kagayaki")</f>
        <v>0</v>
      </c>
      <c r="X46">
        <f t="shared" si="3"/>
        <v>-2.5</v>
      </c>
    </row>
    <row r="47">
      <c r="A47" s="158" t="s">
        <v>102</v>
      </c>
      <c r="B47" s="168" t="s">
        <v>84</v>
      </c>
      <c r="C47" s="160" t="s">
        <v>238</v>
      </c>
      <c r="D47" s="160"/>
      <c r="E47" s="160"/>
      <c r="F47" s="160"/>
      <c r="G47" s="160" t="s">
        <v>23</v>
      </c>
      <c r="H47" s="178" t="s">
        <v>199</v>
      </c>
      <c r="I47" s="160"/>
      <c r="J47" s="160" t="s">
        <v>246</v>
      </c>
      <c r="K47" s="160"/>
      <c r="L47" s="160"/>
      <c r="M47" s="179" t="s">
        <v>100</v>
      </c>
      <c r="N47" s="160" t="s">
        <v>167</v>
      </c>
      <c r="O47" s="160"/>
      <c r="P47" s="179" t="s">
        <v>163</v>
      </c>
      <c r="Q47" s="161" t="str">
        <f>(BanzukeTable!E16)</f>
        <v>0-0</v>
      </c>
      <c r="R47" s="23">
        <f t="shared" si="2"/>
        <v>8</v>
      </c>
      <c r="S47" s="23" t="s">
        <v>406</v>
      </c>
      <c r="T47">
        <f>countcoloredcells(B47:P47,A82)</f>
        <v>8</v>
      </c>
      <c r="U47">
        <f>COUNTIF(MASTER!bonuspoints2,"onosho")</f>
        <v>0</v>
      </c>
      <c r="X47">
        <f t="shared" si="3"/>
        <v>0.5</v>
      </c>
    </row>
    <row r="48">
      <c r="A48" s="158" t="s">
        <v>138</v>
      </c>
      <c r="B48" s="168" t="s">
        <v>238</v>
      </c>
      <c r="C48" s="160" t="s">
        <v>84</v>
      </c>
      <c r="D48" s="160"/>
      <c r="E48" s="160" t="s">
        <v>102</v>
      </c>
      <c r="F48" s="160"/>
      <c r="G48" s="175"/>
      <c r="H48" s="160" t="s">
        <v>163</v>
      </c>
      <c r="I48" s="160" t="s">
        <v>199</v>
      </c>
      <c r="J48" s="160" t="s">
        <v>92</v>
      </c>
      <c r="K48" s="160"/>
      <c r="L48" s="160"/>
      <c r="M48" s="179"/>
      <c r="N48" s="160"/>
      <c r="O48" s="160" t="s">
        <v>65</v>
      </c>
      <c r="P48" s="179" t="s">
        <v>100</v>
      </c>
      <c r="Q48" s="161" t="str">
        <f>(BanzukeTable!A17)</f>
        <v>0-0</v>
      </c>
      <c r="R48" s="23">
        <f t="shared" si="2"/>
        <v>8</v>
      </c>
      <c r="S48" s="23" t="s">
        <v>357</v>
      </c>
      <c r="T48">
        <f>countcoloredcells(B48:P48,A80)</f>
        <v>8</v>
      </c>
      <c r="U48">
        <f>COUNTIF(MASTER!bonuspoints2,"shohozan")</f>
        <v>0</v>
      </c>
      <c r="X48">
        <f t="shared" si="3"/>
        <v>0.5</v>
      </c>
    </row>
    <row r="49">
      <c r="A49" s="177" t="s">
        <v>238</v>
      </c>
      <c r="B49" s="168"/>
      <c r="C49" s="160"/>
      <c r="D49" s="160" t="s">
        <v>199</v>
      </c>
      <c r="E49" s="160" t="s">
        <v>84</v>
      </c>
      <c r="F49" s="160" t="s">
        <v>163</v>
      </c>
      <c r="G49" s="160" t="s">
        <v>135</v>
      </c>
      <c r="H49" s="160" t="s">
        <v>203</v>
      </c>
      <c r="I49" s="160"/>
      <c r="J49" s="160"/>
      <c r="K49" s="160" t="s">
        <v>100</v>
      </c>
      <c r="L49" s="160"/>
      <c r="M49" s="179"/>
      <c r="N49" s="160"/>
      <c r="O49" s="160"/>
      <c r="P49" s="179"/>
      <c r="Q49" s="161" t="str">
        <f>(BanzukeTable!E17)</f>
        <v>0-0</v>
      </c>
      <c r="R49" s="23">
        <f t="shared" si="2"/>
        <v>6</v>
      </c>
      <c r="S49" s="23" t="s">
        <v>404</v>
      </c>
      <c r="T49">
        <f>countcoloredcells(B49:P49,A79)</f>
        <v>6</v>
      </c>
      <c r="U49">
        <f>COUNTIF(MASTER!bonuspoints2,"tochiozan")</f>
        <v>0</v>
      </c>
      <c r="X49">
        <f t="shared" si="3"/>
        <v>-1.5</v>
      </c>
    </row>
    <row r="50">
      <c r="A50" s="158" t="s">
        <v>135</v>
      </c>
      <c r="B50" s="168"/>
      <c r="C50" s="160"/>
      <c r="D50" s="160" t="s">
        <v>138</v>
      </c>
      <c r="E50" s="160"/>
      <c r="F50" s="160" t="s">
        <v>102</v>
      </c>
      <c r="G50" s="160"/>
      <c r="H50" s="160" t="s">
        <v>84</v>
      </c>
      <c r="I50" s="160" t="s">
        <v>125</v>
      </c>
      <c r="J50" s="160"/>
      <c r="K50" s="160" t="s">
        <v>65</v>
      </c>
      <c r="L50" s="160" t="s">
        <v>246</v>
      </c>
      <c r="M50" s="179" t="s">
        <v>167</v>
      </c>
      <c r="N50" s="160" t="s">
        <v>107</v>
      </c>
      <c r="O50" s="160" t="s">
        <v>100</v>
      </c>
      <c r="P50" s="179" t="s">
        <v>79</v>
      </c>
      <c r="Q50" s="161" t="str">
        <f>(BanzukeTable!A18)</f>
        <v>0-0</v>
      </c>
      <c r="R50" s="23">
        <f t="shared" si="2"/>
        <v>10</v>
      </c>
      <c r="S50" s="23" t="s">
        <v>405</v>
      </c>
      <c r="T50">
        <f>countcoloredcells(B50:P50,A81)</f>
        <v>10</v>
      </c>
      <c r="U50">
        <f>COUNTIF(MASTER!bonuspoints2,"shimanoumi")</f>
        <v>0</v>
      </c>
      <c r="X50">
        <f t="shared" si="3"/>
        <v>2.5</v>
      </c>
    </row>
    <row r="51">
      <c r="A51" s="158" t="s">
        <v>199</v>
      </c>
      <c r="B51" s="168" t="s">
        <v>135</v>
      </c>
      <c r="C51" s="160"/>
      <c r="D51" s="160"/>
      <c r="E51" s="160" t="s">
        <v>163</v>
      </c>
      <c r="F51" s="160" t="s">
        <v>92</v>
      </c>
      <c r="G51" s="160"/>
      <c r="H51" s="160"/>
      <c r="I51" s="160"/>
      <c r="J51" s="160"/>
      <c r="K51" s="160" t="s">
        <v>167</v>
      </c>
      <c r="L51" s="160" t="s">
        <v>191</v>
      </c>
      <c r="M51" s="179"/>
      <c r="N51" s="160"/>
      <c r="O51" s="160" t="s">
        <v>153</v>
      </c>
      <c r="P51" s="179"/>
      <c r="Q51" s="161" t="str">
        <f>(BanzukeTable!E18)</f>
        <v>0-0</v>
      </c>
      <c r="R51" s="23">
        <f t="shared" si="2"/>
        <v>6</v>
      </c>
      <c r="S51" s="23" t="s">
        <v>405</v>
      </c>
      <c r="T51">
        <f t="shared" ref="T51:T52" si="7">countcoloredcells(B51:P51,A81)</f>
        <v>6</v>
      </c>
      <c r="U51">
        <f>COUNTIF(MASTER!bonuspoints2,"yago")</f>
        <v>0</v>
      </c>
      <c r="X51">
        <f t="shared" si="3"/>
        <v>-1.5</v>
      </c>
    </row>
    <row r="52">
      <c r="A52" s="158" t="s">
        <v>163</v>
      </c>
      <c r="B52" s="168" t="s">
        <v>105</v>
      </c>
      <c r="C52" s="160" t="s">
        <v>135</v>
      </c>
      <c r="D52" s="160" t="s">
        <v>92</v>
      </c>
      <c r="E52" s="160"/>
      <c r="F52" s="160"/>
      <c r="G52" s="160"/>
      <c r="H52" s="160"/>
      <c r="I52" s="160"/>
      <c r="J52" s="160"/>
      <c r="K52" s="160" t="s">
        <v>191</v>
      </c>
      <c r="L52" s="160" t="s">
        <v>107</v>
      </c>
      <c r="M52" s="179" t="s">
        <v>203</v>
      </c>
      <c r="N52" s="160" t="s">
        <v>246</v>
      </c>
      <c r="O52" s="160"/>
      <c r="P52" s="179"/>
      <c r="Q52" s="161" t="str">
        <f>(BanzukeTable!A19)</f>
        <v>0-0</v>
      </c>
      <c r="R52" s="23">
        <f t="shared" si="2"/>
        <v>7</v>
      </c>
      <c r="S52" s="23" t="s">
        <v>406</v>
      </c>
      <c r="T52">
        <f t="shared" si="7"/>
        <v>7</v>
      </c>
      <c r="U52">
        <f>COUNTIF(MASTER!bonuspoints2,"chiyomaru")</f>
        <v>0</v>
      </c>
      <c r="X52">
        <f t="shared" si="3"/>
        <v>-0.5</v>
      </c>
    </row>
    <row r="53">
      <c r="A53" s="158" t="s">
        <v>105</v>
      </c>
      <c r="B53" s="168"/>
      <c r="C53" s="160" t="s">
        <v>199</v>
      </c>
      <c r="D53" s="160"/>
      <c r="E53" s="160" t="s">
        <v>135</v>
      </c>
      <c r="F53" s="160"/>
      <c r="G53" s="160" t="s">
        <v>65</v>
      </c>
      <c r="H53" s="160"/>
      <c r="I53" s="160" t="s">
        <v>238</v>
      </c>
      <c r="J53" s="160" t="s">
        <v>167</v>
      </c>
      <c r="K53" s="160"/>
      <c r="L53" s="160"/>
      <c r="M53" s="179" t="s">
        <v>138</v>
      </c>
      <c r="N53" s="160" t="s">
        <v>92</v>
      </c>
      <c r="O53" s="160"/>
      <c r="P53" s="179"/>
      <c r="Q53" s="161" t="str">
        <f>(BanzukeTable!E19)</f>
        <v>0-0</v>
      </c>
      <c r="R53" s="23">
        <f t="shared" si="2"/>
        <v>7</v>
      </c>
      <c r="S53" s="23" t="s">
        <v>404</v>
      </c>
      <c r="T53">
        <f>countcoloredcells(B53:P53,A79)</f>
        <v>7</v>
      </c>
      <c r="U53">
        <f>COUNTIF(MASTER!bonuspoints2,"sadanoumi")</f>
        <v>0</v>
      </c>
      <c r="X53">
        <f t="shared" si="3"/>
        <v>-0.5</v>
      </c>
    </row>
    <row r="54">
      <c r="A54" s="158" t="s">
        <v>92</v>
      </c>
      <c r="B54" s="168"/>
      <c r="C54" s="160" t="s">
        <v>65</v>
      </c>
      <c r="D54" s="160"/>
      <c r="E54" s="160" t="s">
        <v>125</v>
      </c>
      <c r="F54" s="160"/>
      <c r="G54" s="160"/>
      <c r="H54" s="160"/>
      <c r="I54" s="160"/>
      <c r="J54" s="160"/>
      <c r="K54" s="160" t="s">
        <v>84</v>
      </c>
      <c r="L54" s="160"/>
      <c r="M54" s="179"/>
      <c r="N54" s="160"/>
      <c r="O54" s="160"/>
      <c r="P54" s="179" t="s">
        <v>246</v>
      </c>
      <c r="Q54" s="161" t="str">
        <f>(BanzukeTable!A20)</f>
        <v>0-0</v>
      </c>
      <c r="R54" s="23">
        <f t="shared" si="2"/>
        <v>0</v>
      </c>
      <c r="T54">
        <f>countcoloredcells(B54:P54,A83)</f>
        <v>0</v>
      </c>
      <c r="V54">
        <f>COUNTIF(KIMARITE!B37:P37,"JW")</f>
        <v>0</v>
      </c>
      <c r="W54">
        <f>COUNTIF(KIMARITE!B37:P37,"Jl")</f>
        <v>0</v>
      </c>
      <c r="X54">
        <f t="shared" si="3"/>
        <v>-7.5</v>
      </c>
    </row>
    <row r="55">
      <c r="A55" s="158" t="s">
        <v>100</v>
      </c>
      <c r="B55" s="168" t="s">
        <v>92</v>
      </c>
      <c r="C55" s="160"/>
      <c r="D55" s="160" t="s">
        <v>105</v>
      </c>
      <c r="E55" s="160" t="s">
        <v>191</v>
      </c>
      <c r="F55" s="160" t="s">
        <v>167</v>
      </c>
      <c r="G55" s="160" t="s">
        <v>199</v>
      </c>
      <c r="H55" s="160"/>
      <c r="I55" s="160" t="s">
        <v>163</v>
      </c>
      <c r="J55" s="160"/>
      <c r="K55" s="160"/>
      <c r="L55" s="160"/>
      <c r="M55" s="179"/>
      <c r="N55" s="160"/>
      <c r="O55" s="160"/>
      <c r="P55" s="179"/>
      <c r="Q55" s="161" t="str">
        <f>(BanzukeTable!E20)</f>
        <v>0-0</v>
      </c>
      <c r="R55" s="23">
        <f t="shared" si="2"/>
        <v>6</v>
      </c>
      <c r="S55" s="23" t="s">
        <v>357</v>
      </c>
      <c r="T55">
        <f>countcoloredcells(B55:P55,A80)</f>
        <v>6</v>
      </c>
      <c r="V55">
        <f>COUNTIF(KIMARITE!B38:P38,"JW")</f>
        <v>0</v>
      </c>
      <c r="W55">
        <f>COUNTIF(KIMARITE!B38:P38,"Jl")</f>
        <v>0</v>
      </c>
      <c r="X55">
        <f t="shared" si="3"/>
        <v>-1.5</v>
      </c>
    </row>
    <row r="56">
      <c r="A56" s="181" t="s">
        <v>65</v>
      </c>
      <c r="B56" s="168" t="s">
        <v>107</v>
      </c>
      <c r="C56" s="160"/>
      <c r="D56" s="160" t="s">
        <v>125</v>
      </c>
      <c r="E56" s="160"/>
      <c r="F56" s="160"/>
      <c r="G56" s="160"/>
      <c r="H56" s="160" t="s">
        <v>100</v>
      </c>
      <c r="I56" s="160"/>
      <c r="J56" s="178" t="s">
        <v>163</v>
      </c>
      <c r="K56" s="160"/>
      <c r="L56" s="160" t="s">
        <v>238</v>
      </c>
      <c r="M56" s="179" t="s">
        <v>199</v>
      </c>
      <c r="N56" s="160"/>
      <c r="O56" s="160"/>
      <c r="P56" s="179"/>
      <c r="Q56" s="161" t="str">
        <f>(BanzukeTable!A21)</f>
        <v>0-0</v>
      </c>
      <c r="R56" s="23">
        <f t="shared" si="2"/>
        <v>6</v>
      </c>
      <c r="S56" s="23" t="s">
        <v>360</v>
      </c>
      <c r="T56">
        <f>countcoloredcells(B56:P56,A78)</f>
        <v>6</v>
      </c>
      <c r="V56">
        <f>COUNTIF(KIMARITE!B39:P39,"JW")</f>
        <v>0</v>
      </c>
      <c r="W56">
        <f>COUNTIF(KIMARITE!B39:P39,"Jl")</f>
        <v>0</v>
      </c>
      <c r="X56">
        <f t="shared" si="3"/>
        <v>-1.5</v>
      </c>
    </row>
    <row r="57">
      <c r="A57" s="158" t="s">
        <v>107</v>
      </c>
      <c r="B57" s="168"/>
      <c r="C57" s="160" t="s">
        <v>100</v>
      </c>
      <c r="D57" s="160" t="s">
        <v>167</v>
      </c>
      <c r="E57" s="160"/>
      <c r="F57" s="160" t="s">
        <v>125</v>
      </c>
      <c r="G57" s="160"/>
      <c r="H57" s="160" t="s">
        <v>105</v>
      </c>
      <c r="I57" s="160" t="s">
        <v>92</v>
      </c>
      <c r="J57" s="160" t="s">
        <v>238</v>
      </c>
      <c r="K57" s="160" t="s">
        <v>102</v>
      </c>
      <c r="L57" s="160"/>
      <c r="M57" s="175"/>
      <c r="N57" s="160"/>
      <c r="O57" s="160"/>
      <c r="P57" s="179"/>
      <c r="Q57" s="161" t="str">
        <f>(BanzukeTable!E21)</f>
        <v>0-0</v>
      </c>
      <c r="R57" s="23">
        <f t="shared" si="2"/>
        <v>4</v>
      </c>
      <c r="S57" s="23" t="s">
        <v>406</v>
      </c>
      <c r="T57">
        <f>countcoloredcells(B57:P57,A82)</f>
        <v>4</v>
      </c>
      <c r="V57">
        <f>COUNTIF(KIMARITE!B40:P40,"JW")</f>
        <v>0</v>
      </c>
      <c r="W57">
        <f>COUNTIF(KIMARITE!B40:P40,"Jl")</f>
        <v>0</v>
      </c>
      <c r="X57">
        <f t="shared" si="3"/>
        <v>-3.5</v>
      </c>
    </row>
    <row r="58">
      <c r="A58" s="158" t="s">
        <v>191</v>
      </c>
      <c r="B58" s="168" t="s">
        <v>125</v>
      </c>
      <c r="C58" s="160"/>
      <c r="D58" s="160"/>
      <c r="E58" s="160"/>
      <c r="F58" s="160" t="s">
        <v>105</v>
      </c>
      <c r="G58" s="160" t="s">
        <v>107</v>
      </c>
      <c r="H58" s="160" t="s">
        <v>92</v>
      </c>
      <c r="I58" s="160" t="s">
        <v>65</v>
      </c>
      <c r="J58" s="160" t="s">
        <v>135</v>
      </c>
      <c r="K58" s="160"/>
      <c r="L58" s="160"/>
      <c r="M58" s="179" t="s">
        <v>84</v>
      </c>
      <c r="N58" s="160" t="s">
        <v>138</v>
      </c>
      <c r="O58" s="160" t="s">
        <v>238</v>
      </c>
      <c r="P58" s="179"/>
      <c r="Q58" s="161" t="str">
        <f>(BanzukeTable!A22)</f>
        <v>0-0</v>
      </c>
      <c r="R58" s="23">
        <f t="shared" si="2"/>
        <v>4</v>
      </c>
      <c r="S58" s="23" t="s">
        <v>360</v>
      </c>
      <c r="T58">
        <f t="shared" ref="T58:T59" si="8">countcoloredcells(B58:P58,A78)</f>
        <v>4</v>
      </c>
      <c r="V58">
        <f>COUNTIF(KIMARITE!B41:P41,"JW")</f>
        <v>0</v>
      </c>
      <c r="W58">
        <f>COUNTIF(KIMARITE!B41:P41,"Jl")</f>
        <v>0</v>
      </c>
      <c r="X58">
        <f t="shared" si="3"/>
        <v>-3.5</v>
      </c>
    </row>
    <row r="59">
      <c r="A59" s="177" t="s">
        <v>125</v>
      </c>
      <c r="B59" s="168"/>
      <c r="C59" s="175"/>
      <c r="D59" s="175"/>
      <c r="E59" s="160"/>
      <c r="F59" s="160"/>
      <c r="G59" s="160" t="s">
        <v>163</v>
      </c>
      <c r="H59" s="160" t="s">
        <v>167</v>
      </c>
      <c r="I59" s="175"/>
      <c r="J59" s="160" t="s">
        <v>199</v>
      </c>
      <c r="K59" s="160" t="s">
        <v>105</v>
      </c>
      <c r="L59" s="160"/>
      <c r="M59" s="160"/>
      <c r="N59" s="160"/>
      <c r="O59" s="160"/>
      <c r="P59" s="179"/>
      <c r="Q59" s="161" t="str">
        <f>(BanzukeTable!E22)</f>
        <v>0-0</v>
      </c>
      <c r="R59" s="23">
        <f t="shared" si="2"/>
        <v>2</v>
      </c>
      <c r="S59" s="23" t="s">
        <v>404</v>
      </c>
      <c r="T59">
        <f t="shared" si="8"/>
        <v>2</v>
      </c>
      <c r="V59">
        <f>COUNTIF(KIMARITE!B42:P42,"JW")</f>
        <v>0</v>
      </c>
      <c r="W59">
        <f>COUNTIF(KIMARITE!B42:P42,"Jl")</f>
        <v>0</v>
      </c>
      <c r="X59">
        <f t="shared" si="3"/>
        <v>-5.5</v>
      </c>
    </row>
    <row r="60">
      <c r="A60" s="158" t="s">
        <v>167</v>
      </c>
      <c r="B60" s="185"/>
      <c r="C60" s="160" t="s">
        <v>191</v>
      </c>
      <c r="D60" s="160"/>
      <c r="E60" s="160" t="s">
        <v>65</v>
      </c>
      <c r="F60" s="302"/>
      <c r="G60" s="160" t="s">
        <v>92</v>
      </c>
      <c r="H60" s="160"/>
      <c r="I60" s="160"/>
      <c r="J60" s="160"/>
      <c r="K60" s="160"/>
      <c r="L60" s="160" t="s">
        <v>84</v>
      </c>
      <c r="M60" s="160"/>
      <c r="N60" s="160"/>
      <c r="O60" s="160"/>
      <c r="P60" s="179"/>
      <c r="Q60" s="161" t="str">
        <f>(BanzukeTable!A23)</f>
        <v>0-0</v>
      </c>
      <c r="R60" s="23">
        <f t="shared" si="2"/>
        <v>0</v>
      </c>
      <c r="T60">
        <f>countcoloredcells(B60:P60,A79)</f>
        <v>0</v>
      </c>
      <c r="V60">
        <f>COUNTIF(KIMARITE!B43:P43,"JW")</f>
        <v>0</v>
      </c>
      <c r="W60">
        <f>COUNTIF(KIMARITE!B43:P43,"Jl")</f>
        <v>0</v>
      </c>
      <c r="X60">
        <f t="shared" si="3"/>
        <v>-7.5</v>
      </c>
    </row>
    <row r="61">
      <c r="A61" s="303" t="s">
        <v>341</v>
      </c>
      <c r="B61" s="304" t="s">
        <v>40</v>
      </c>
      <c r="C61" s="305"/>
      <c r="D61" s="304" t="s">
        <v>40</v>
      </c>
      <c r="E61" s="306" t="s">
        <v>111</v>
      </c>
      <c r="F61" s="306" t="s">
        <v>36</v>
      </c>
      <c r="G61" s="307" t="s">
        <v>57</v>
      </c>
      <c r="H61" s="307" t="s">
        <v>57</v>
      </c>
      <c r="I61" s="308" t="s">
        <v>90</v>
      </c>
      <c r="J61" s="305"/>
      <c r="K61" s="305"/>
      <c r="L61" s="308" t="s">
        <v>90</v>
      </c>
      <c r="M61" s="304" t="s">
        <v>131</v>
      </c>
      <c r="N61" s="309" t="s">
        <v>81</v>
      </c>
      <c r="O61" s="310" t="s">
        <v>72</v>
      </c>
      <c r="P61" s="311" t="s">
        <v>88</v>
      </c>
      <c r="Q61" s="312" t="s">
        <v>131</v>
      </c>
      <c r="R61" s="241" t="s">
        <v>88</v>
      </c>
      <c r="S61" s="268" t="s">
        <v>23</v>
      </c>
      <c r="T61" s="190"/>
      <c r="U61" s="190"/>
      <c r="V61" s="313" t="s">
        <v>348</v>
      </c>
      <c r="W61" s="314" t="s">
        <v>350</v>
      </c>
      <c r="X61" s="192"/>
      <c r="Y61" s="192"/>
      <c r="Z61" s="192"/>
      <c r="AA61" s="192"/>
      <c r="AB61" s="192"/>
      <c r="AC61" s="192"/>
    </row>
    <row r="62">
      <c r="A62" s="315"/>
      <c r="B62" s="316" t="s">
        <v>40</v>
      </c>
      <c r="C62" s="317"/>
      <c r="D62" s="318" t="s">
        <v>59</v>
      </c>
      <c r="E62" s="317"/>
      <c r="F62" s="319" t="s">
        <v>40</v>
      </c>
      <c r="G62" s="318" t="s">
        <v>59</v>
      </c>
      <c r="H62" s="320" t="s">
        <v>57</v>
      </c>
      <c r="I62" s="318" t="s">
        <v>90</v>
      </c>
      <c r="J62" s="317"/>
      <c r="K62" s="317"/>
      <c r="L62" s="318" t="s">
        <v>90</v>
      </c>
      <c r="M62" s="316" t="s">
        <v>131</v>
      </c>
      <c r="N62" s="321" t="s">
        <v>88</v>
      </c>
      <c r="O62" s="321" t="s">
        <v>72</v>
      </c>
      <c r="P62" s="317"/>
      <c r="Q62" s="253" t="s">
        <v>131</v>
      </c>
      <c r="R62" s="249" t="s">
        <v>88</v>
      </c>
      <c r="S62" s="271" t="s">
        <v>23</v>
      </c>
      <c r="T62" s="196"/>
      <c r="U62" s="196"/>
      <c r="V62" s="193">
        <f>countcoloredcells(Seattle!lastday,W62)</f>
        <v>20</v>
      </c>
      <c r="W62" s="277" t="s">
        <v>403</v>
      </c>
      <c r="X62" s="193"/>
      <c r="Y62" s="193"/>
      <c r="Z62" s="193"/>
      <c r="AA62" s="193"/>
      <c r="AB62" s="193"/>
      <c r="AC62" s="193"/>
    </row>
    <row r="63">
      <c r="A63" s="315"/>
      <c r="B63" s="321" t="s">
        <v>114</v>
      </c>
      <c r="C63" s="317"/>
      <c r="D63" s="318" t="s">
        <v>59</v>
      </c>
      <c r="E63" s="317"/>
      <c r="F63" s="316" t="s">
        <v>40</v>
      </c>
      <c r="G63" s="318" t="s">
        <v>59</v>
      </c>
      <c r="H63" s="317"/>
      <c r="I63" s="322" t="s">
        <v>48</v>
      </c>
      <c r="J63" s="317"/>
      <c r="K63" s="317"/>
      <c r="L63" s="322" t="s">
        <v>48</v>
      </c>
      <c r="M63" s="316" t="s">
        <v>131</v>
      </c>
      <c r="N63" s="316" t="s">
        <v>23</v>
      </c>
      <c r="O63" s="320" t="s">
        <v>45</v>
      </c>
      <c r="P63" s="323"/>
      <c r="Q63" s="253" t="s">
        <v>131</v>
      </c>
      <c r="R63" s="249" t="s">
        <v>88</v>
      </c>
      <c r="S63" s="271" t="s">
        <v>23</v>
      </c>
      <c r="T63" s="196"/>
      <c r="U63" s="196"/>
      <c r="V63" s="193">
        <f>countcoloredcells(Seattle!lastday,W63)</f>
        <v>0</v>
      </c>
      <c r="W63" s="281" t="s">
        <v>360</v>
      </c>
      <c r="X63" s="193"/>
      <c r="Y63" s="193"/>
      <c r="Z63" s="193"/>
      <c r="AA63" s="193"/>
      <c r="AB63" s="193"/>
      <c r="AC63" s="193"/>
    </row>
    <row r="64">
      <c r="A64" s="315"/>
      <c r="B64" s="321" t="s">
        <v>114</v>
      </c>
      <c r="C64" s="317"/>
      <c r="D64" s="324" t="s">
        <v>36</v>
      </c>
      <c r="E64" s="317"/>
      <c r="F64" s="319" t="s">
        <v>40</v>
      </c>
      <c r="G64" s="318" t="s">
        <v>59</v>
      </c>
      <c r="H64" s="317"/>
      <c r="I64" s="325" t="s">
        <v>48</v>
      </c>
      <c r="J64" s="317"/>
      <c r="K64" s="326"/>
      <c r="L64" s="319" t="s">
        <v>131</v>
      </c>
      <c r="M64" s="327" t="s">
        <v>122</v>
      </c>
      <c r="N64" s="319" t="s">
        <v>23</v>
      </c>
      <c r="O64" s="321" t="s">
        <v>88</v>
      </c>
      <c r="P64" s="317"/>
      <c r="Q64" s="253" t="s">
        <v>131</v>
      </c>
      <c r="R64" s="249" t="s">
        <v>88</v>
      </c>
      <c r="S64" s="271" t="s">
        <v>23</v>
      </c>
      <c r="T64" s="196"/>
      <c r="U64" s="196"/>
      <c r="V64" s="193">
        <f>countcoloredcells(Seattle!lastday,W64)</f>
        <v>0</v>
      </c>
      <c r="W64" s="283" t="s">
        <v>404</v>
      </c>
      <c r="X64" s="193"/>
      <c r="Y64" s="193"/>
      <c r="Z64" s="193"/>
      <c r="AA64" s="193"/>
      <c r="AB64" s="193"/>
      <c r="AC64" s="193"/>
    </row>
    <row r="65">
      <c r="A65" s="315"/>
      <c r="B65" s="321" t="s">
        <v>114</v>
      </c>
      <c r="C65" s="317"/>
      <c r="D65" s="324" t="s">
        <v>36</v>
      </c>
      <c r="E65" s="317"/>
      <c r="F65" s="323"/>
      <c r="G65" s="327" t="s">
        <v>111</v>
      </c>
      <c r="H65" s="317"/>
      <c r="I65" s="328" t="s">
        <v>59</v>
      </c>
      <c r="J65" s="329"/>
      <c r="K65" s="326"/>
      <c r="L65" s="319" t="s">
        <v>131</v>
      </c>
      <c r="M65" s="327" t="s">
        <v>122</v>
      </c>
      <c r="N65" s="326"/>
      <c r="O65" s="330" t="s">
        <v>88</v>
      </c>
      <c r="P65" s="317"/>
      <c r="Q65" s="253" t="s">
        <v>131</v>
      </c>
      <c r="R65" s="249" t="s">
        <v>88</v>
      </c>
      <c r="S65" s="271" t="s">
        <v>23</v>
      </c>
      <c r="T65" s="196"/>
      <c r="U65" s="196"/>
      <c r="V65" s="193">
        <f>countcoloredcells(Seattle!lastday,W65)</f>
        <v>5</v>
      </c>
      <c r="W65" s="284" t="s">
        <v>357</v>
      </c>
      <c r="X65" s="193"/>
      <c r="Y65" s="193"/>
      <c r="Z65" s="193"/>
      <c r="AA65" s="193"/>
      <c r="AB65" s="193"/>
      <c r="AC65" s="193"/>
    </row>
    <row r="66">
      <c r="A66" s="315"/>
      <c r="B66" s="329"/>
      <c r="C66" s="323"/>
      <c r="D66" s="325" t="s">
        <v>48</v>
      </c>
      <c r="E66" s="317"/>
      <c r="F66" s="323"/>
      <c r="G66" s="327" t="s">
        <v>111</v>
      </c>
      <c r="H66" s="317"/>
      <c r="I66" s="328" t="s">
        <v>59</v>
      </c>
      <c r="J66" s="329"/>
      <c r="K66" s="326"/>
      <c r="L66" s="325" t="s">
        <v>62</v>
      </c>
      <c r="M66" s="329"/>
      <c r="N66" s="326"/>
      <c r="O66" s="328" t="s">
        <v>32</v>
      </c>
      <c r="P66" s="323"/>
      <c r="Q66" s="331" t="s">
        <v>135</v>
      </c>
      <c r="R66" s="271" t="s">
        <v>23</v>
      </c>
      <c r="S66" s="271" t="s">
        <v>23</v>
      </c>
      <c r="T66" s="196"/>
      <c r="U66" s="196"/>
      <c r="V66" s="193">
        <f>countcoloredcells(Seattle!lastday,W66)</f>
        <v>5</v>
      </c>
      <c r="W66" s="285" t="s">
        <v>405</v>
      </c>
      <c r="X66" s="193"/>
      <c r="Y66" s="193"/>
      <c r="Z66" s="193"/>
      <c r="AA66" s="193"/>
      <c r="AB66" s="193"/>
      <c r="AC66" s="193"/>
    </row>
    <row r="67">
      <c r="A67" s="315"/>
      <c r="B67" s="329"/>
      <c r="C67" s="323"/>
      <c r="D67" s="325" t="s">
        <v>48</v>
      </c>
      <c r="E67" s="317"/>
      <c r="F67" s="323"/>
      <c r="G67" s="327" t="s">
        <v>111</v>
      </c>
      <c r="H67" s="329"/>
      <c r="I67" s="328" t="s">
        <v>59</v>
      </c>
      <c r="J67" s="329"/>
      <c r="K67" s="326"/>
      <c r="L67" s="325" t="s">
        <v>62</v>
      </c>
      <c r="M67" s="329"/>
      <c r="N67" s="326"/>
      <c r="O67" s="328" t="s">
        <v>32</v>
      </c>
      <c r="P67" s="326"/>
      <c r="Q67" s="331" t="s">
        <v>135</v>
      </c>
      <c r="R67" s="271" t="s">
        <v>23</v>
      </c>
      <c r="S67" s="271" t="s">
        <v>23</v>
      </c>
      <c r="T67" s="196"/>
      <c r="U67" s="196"/>
      <c r="V67" s="193">
        <f>countcoloredcells(Seattle!lastday,W67)</f>
        <v>0</v>
      </c>
      <c r="W67" s="286" t="s">
        <v>406</v>
      </c>
      <c r="X67" s="193"/>
      <c r="Y67" s="193"/>
      <c r="Z67" s="193"/>
      <c r="AA67" s="193"/>
      <c r="AB67" s="193"/>
      <c r="AC67" s="193"/>
    </row>
    <row r="68">
      <c r="A68" s="315"/>
      <c r="B68" s="329"/>
      <c r="C68" s="323"/>
      <c r="D68" s="325" t="s">
        <v>48</v>
      </c>
      <c r="E68" s="317"/>
      <c r="F68" s="323"/>
      <c r="G68" s="329"/>
      <c r="H68" s="329"/>
      <c r="I68" s="328" t="s">
        <v>59</v>
      </c>
      <c r="J68" s="329"/>
      <c r="K68" s="326"/>
      <c r="L68" s="325" t="s">
        <v>62</v>
      </c>
      <c r="M68" s="329"/>
      <c r="N68" s="326"/>
      <c r="O68" s="328" t="s">
        <v>32</v>
      </c>
      <c r="P68" s="326"/>
      <c r="Q68" s="331" t="s">
        <v>135</v>
      </c>
      <c r="R68" s="271" t="s">
        <v>23</v>
      </c>
      <c r="S68" s="271" t="s">
        <v>23</v>
      </c>
      <c r="T68" s="196"/>
      <c r="U68" s="196"/>
      <c r="V68" s="193">
        <f>countcoloredcells(Seattle!lastday,W68)</f>
        <v>0</v>
      </c>
      <c r="W68" s="205" t="str">
        <f t="shared" ref="W68:W70" si="9">B68</f>
        <v/>
      </c>
      <c r="X68" s="193"/>
      <c r="Y68" s="193"/>
      <c r="Z68" s="193"/>
      <c r="AA68" s="193"/>
      <c r="AB68" s="193"/>
      <c r="AC68" s="193"/>
    </row>
    <row r="69">
      <c r="A69" s="315"/>
      <c r="B69" s="329"/>
      <c r="C69" s="323"/>
      <c r="D69" s="332" t="s">
        <v>57</v>
      </c>
      <c r="E69" s="329"/>
      <c r="F69" s="323"/>
      <c r="G69" s="329"/>
      <c r="H69" s="329"/>
      <c r="I69" s="326"/>
      <c r="J69" s="329"/>
      <c r="K69" s="326"/>
      <c r="L69" s="325" t="s">
        <v>62</v>
      </c>
      <c r="M69" s="329"/>
      <c r="N69" s="326"/>
      <c r="O69" s="319" t="s">
        <v>23</v>
      </c>
      <c r="P69" s="326"/>
      <c r="Q69" s="331" t="s">
        <v>135</v>
      </c>
      <c r="R69" s="271" t="s">
        <v>23</v>
      </c>
      <c r="S69" s="271" t="s">
        <v>23</v>
      </c>
      <c r="T69" s="196"/>
      <c r="U69" s="196"/>
      <c r="V69" s="193">
        <f>countcoloredcells(Seattle!lastday,W69)</f>
        <v>0</v>
      </c>
      <c r="W69" s="333" t="str">
        <f t="shared" si="9"/>
        <v/>
      </c>
      <c r="X69" s="193"/>
      <c r="Y69" s="193"/>
      <c r="Z69" s="193"/>
      <c r="AA69" s="193"/>
      <c r="AB69" s="193"/>
      <c r="AC69" s="193"/>
    </row>
    <row r="70">
      <c r="A70" s="315"/>
      <c r="B70" s="329"/>
      <c r="C70" s="323"/>
      <c r="D70" s="332" t="s">
        <v>57</v>
      </c>
      <c r="E70" s="326"/>
      <c r="F70" s="323"/>
      <c r="G70" s="329"/>
      <c r="H70" s="329"/>
      <c r="I70" s="326"/>
      <c r="J70" s="329"/>
      <c r="K70" s="326"/>
      <c r="L70" s="330" t="s">
        <v>88</v>
      </c>
      <c r="M70" s="329"/>
      <c r="N70" s="326"/>
      <c r="O70" s="319" t="s">
        <v>23</v>
      </c>
      <c r="P70" s="326"/>
      <c r="Q70" s="331" t="s">
        <v>135</v>
      </c>
      <c r="R70" s="271" t="s">
        <v>23</v>
      </c>
      <c r="S70" s="271" t="s">
        <v>23</v>
      </c>
      <c r="T70" s="196"/>
      <c r="U70" s="196"/>
      <c r="V70" s="193">
        <f>countcoloredcells(Seattle!lastday,W70)</f>
        <v>0</v>
      </c>
      <c r="W70" s="334" t="str">
        <f t="shared" si="9"/>
        <v/>
      </c>
      <c r="X70" s="193"/>
      <c r="Y70" s="193"/>
      <c r="Z70" s="193"/>
      <c r="AA70" s="193"/>
      <c r="AB70" s="193"/>
      <c r="AC70" s="193"/>
    </row>
    <row r="71">
      <c r="A71" s="315"/>
      <c r="B71" s="329"/>
      <c r="C71" s="323"/>
      <c r="D71" s="332" t="s">
        <v>57</v>
      </c>
      <c r="E71" s="326"/>
      <c r="F71" s="323"/>
      <c r="G71" s="329"/>
      <c r="H71" s="329"/>
      <c r="I71" s="326"/>
      <c r="J71" s="329"/>
      <c r="K71" s="326"/>
      <c r="L71" s="330" t="s">
        <v>88</v>
      </c>
      <c r="M71" s="329"/>
      <c r="N71" s="326"/>
      <c r="O71" s="319" t="s">
        <v>23</v>
      </c>
      <c r="P71" s="326"/>
      <c r="Q71" s="195"/>
      <c r="R71" s="196"/>
      <c r="S71" s="196"/>
      <c r="T71" s="196"/>
      <c r="U71" s="196"/>
      <c r="V71" s="193"/>
      <c r="W71" s="197"/>
      <c r="X71" s="193"/>
      <c r="Y71" s="193"/>
      <c r="Z71" s="193"/>
      <c r="AA71" s="193"/>
      <c r="AB71" s="193"/>
      <c r="AC71" s="193"/>
    </row>
    <row r="72">
      <c r="A72" s="315"/>
      <c r="B72" s="329"/>
      <c r="C72" s="323"/>
      <c r="D72" s="323"/>
      <c r="E72" s="326"/>
      <c r="F72" s="323"/>
      <c r="G72" s="329"/>
      <c r="H72" s="329"/>
      <c r="I72" s="326"/>
      <c r="J72" s="329"/>
      <c r="K72" s="326"/>
      <c r="L72" s="330" t="s">
        <v>88</v>
      </c>
      <c r="M72" s="329"/>
      <c r="N72" s="326"/>
      <c r="O72" s="326"/>
      <c r="P72" s="326"/>
      <c r="Q72" s="195"/>
      <c r="R72" s="196"/>
      <c r="S72" s="196"/>
      <c r="T72" s="196"/>
      <c r="U72" s="196"/>
      <c r="V72" s="193"/>
      <c r="W72" s="197"/>
      <c r="X72" s="193"/>
      <c r="Y72" s="193"/>
      <c r="Z72" s="193"/>
      <c r="AA72" s="193"/>
      <c r="AB72" s="193"/>
      <c r="AC72" s="193"/>
    </row>
    <row r="73">
      <c r="A73" s="315"/>
      <c r="B73" s="329"/>
      <c r="C73" s="323"/>
      <c r="D73" s="323"/>
      <c r="E73" s="326"/>
      <c r="F73" s="323"/>
      <c r="G73" s="329"/>
      <c r="H73" s="329"/>
      <c r="I73" s="326"/>
      <c r="J73" s="329"/>
      <c r="K73" s="326"/>
      <c r="L73" s="326"/>
      <c r="M73" s="329"/>
      <c r="N73" s="326"/>
      <c r="O73" s="326"/>
      <c r="P73" s="326"/>
      <c r="Q73" s="195"/>
      <c r="R73" s="196"/>
      <c r="S73" s="196"/>
      <c r="T73" s="196"/>
      <c r="U73" s="196"/>
      <c r="V73" s="193"/>
      <c r="W73" s="197"/>
      <c r="X73" s="193"/>
      <c r="Y73" s="193"/>
      <c r="Z73" s="193"/>
      <c r="AA73" s="193"/>
      <c r="AB73" s="193"/>
      <c r="AC73" s="193"/>
    </row>
    <row r="74">
      <c r="A74" s="315"/>
      <c r="B74" s="329"/>
      <c r="C74" s="317"/>
      <c r="D74" s="323"/>
      <c r="E74" s="326"/>
      <c r="F74" s="323"/>
      <c r="G74" s="329"/>
      <c r="H74" s="329"/>
      <c r="I74" s="326"/>
      <c r="J74" s="329"/>
      <c r="K74" s="326"/>
      <c r="L74" s="326"/>
      <c r="M74" s="329"/>
      <c r="N74" s="326"/>
      <c r="O74" s="326"/>
      <c r="P74" s="326"/>
      <c r="Q74" s="195"/>
      <c r="R74" s="196"/>
      <c r="S74" s="196"/>
      <c r="T74" s="196"/>
      <c r="U74" s="196"/>
      <c r="V74" s="193"/>
      <c r="W74" s="197"/>
      <c r="X74" s="193"/>
      <c r="Y74" s="193"/>
      <c r="Z74" s="193"/>
      <c r="AA74" s="193"/>
      <c r="AB74" s="193"/>
      <c r="AC74" s="193"/>
    </row>
    <row r="75">
      <c r="A75" s="315"/>
      <c r="B75" s="329"/>
      <c r="C75" s="323"/>
      <c r="D75" s="323"/>
      <c r="E75" s="326"/>
      <c r="F75" s="323"/>
      <c r="G75" s="329"/>
      <c r="H75" s="329"/>
      <c r="I75" s="326"/>
      <c r="J75" s="329"/>
      <c r="K75" s="326"/>
      <c r="L75" s="326"/>
      <c r="M75" s="329"/>
      <c r="N75" s="326"/>
      <c r="O75" s="326"/>
      <c r="P75" s="326"/>
      <c r="Q75" s="195"/>
      <c r="R75" s="196"/>
      <c r="S75" s="196"/>
      <c r="T75" s="196"/>
      <c r="U75" s="196"/>
      <c r="V75" s="193"/>
      <c r="W75" s="197"/>
      <c r="X75" s="193"/>
      <c r="Y75" s="193"/>
      <c r="Z75" s="193"/>
      <c r="AA75" s="193"/>
      <c r="AB75" s="193"/>
      <c r="AC75" s="193"/>
    </row>
    <row r="76">
      <c r="A76" s="206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207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</row>
    <row r="77">
      <c r="A77" s="277" t="s">
        <v>403</v>
      </c>
      <c r="B77" s="198">
        <v>6.0</v>
      </c>
      <c r="C77" s="198">
        <v>3.0</v>
      </c>
      <c r="D77" s="198">
        <v>5.0</v>
      </c>
      <c r="E77" s="198">
        <v>4.0</v>
      </c>
      <c r="F77" s="198">
        <v>6.0</v>
      </c>
      <c r="G77" s="198">
        <v>0.0</v>
      </c>
      <c r="H77" s="198">
        <v>3.0</v>
      </c>
      <c r="I77" s="198">
        <v>5.0</v>
      </c>
      <c r="J77" s="198">
        <v>2.0</v>
      </c>
      <c r="K77" s="198">
        <v>4.0</v>
      </c>
      <c r="L77" s="198">
        <v>4.0</v>
      </c>
      <c r="M77" s="198">
        <v>6.0</v>
      </c>
      <c r="N77" s="198">
        <v>5.0</v>
      </c>
      <c r="O77" s="198">
        <v>7.0</v>
      </c>
      <c r="P77" s="198">
        <v>3.0</v>
      </c>
      <c r="Q77" s="208" t="s">
        <v>350</v>
      </c>
      <c r="R77" s="209">
        <f t="shared" ref="R77:R85" si="10">sum(B77:P77)+V62</f>
        <v>83</v>
      </c>
      <c r="S77" s="277" t="s">
        <v>403</v>
      </c>
      <c r="T77" s="210" t="s">
        <v>351</v>
      </c>
      <c r="U77" s="211">
        <f>countcoloredcells(Seattle!normalpoints,A77)</f>
        <v>47</v>
      </c>
      <c r="V77" s="277" t="s">
        <v>403</v>
      </c>
    </row>
    <row r="78">
      <c r="A78" s="281" t="s">
        <v>360</v>
      </c>
      <c r="B78" s="198">
        <v>4.0</v>
      </c>
      <c r="C78" s="198">
        <v>2.0</v>
      </c>
      <c r="D78" s="198">
        <v>5.0</v>
      </c>
      <c r="E78" s="198">
        <v>2.0</v>
      </c>
      <c r="F78" s="198">
        <v>3.0</v>
      </c>
      <c r="G78" s="198">
        <v>5.0</v>
      </c>
      <c r="H78" s="198">
        <v>1.0</v>
      </c>
      <c r="I78" s="198">
        <v>9.0</v>
      </c>
      <c r="J78" s="198">
        <v>5.0</v>
      </c>
      <c r="K78" s="198">
        <v>2.0</v>
      </c>
      <c r="L78" s="198">
        <v>7.0</v>
      </c>
      <c r="M78" s="198">
        <v>4.0</v>
      </c>
      <c r="N78" s="198">
        <v>4.0</v>
      </c>
      <c r="O78" s="198">
        <f>countcoloredcells(Seattle!day_14,A78)</f>
        <v>7</v>
      </c>
      <c r="P78" s="198">
        <v>2.0</v>
      </c>
      <c r="Q78" s="161"/>
      <c r="R78" s="209">
        <f t="shared" si="10"/>
        <v>62</v>
      </c>
      <c r="S78" s="281" t="s">
        <v>360</v>
      </c>
      <c r="U78" s="211">
        <f>countcoloredcells(Seattle!normalpoints,A78)</f>
        <v>46</v>
      </c>
      <c r="V78" s="281" t="s">
        <v>360</v>
      </c>
    </row>
    <row r="79">
      <c r="A79" s="283" t="s">
        <v>404</v>
      </c>
      <c r="B79" s="198">
        <v>0.0</v>
      </c>
      <c r="C79" s="198">
        <v>3.0</v>
      </c>
      <c r="D79" s="198">
        <v>6.0</v>
      </c>
      <c r="E79" s="198">
        <v>4.0</v>
      </c>
      <c r="F79" s="198">
        <v>2.0</v>
      </c>
      <c r="G79" s="198">
        <v>5.0</v>
      </c>
      <c r="H79" s="198">
        <v>2.0</v>
      </c>
      <c r="I79" s="198">
        <v>6.0</v>
      </c>
      <c r="J79" s="198">
        <v>3.0</v>
      </c>
      <c r="K79" s="198">
        <v>3.0</v>
      </c>
      <c r="L79" s="198">
        <v>7.0</v>
      </c>
      <c r="M79" s="198">
        <v>3.0</v>
      </c>
      <c r="N79" s="198">
        <v>3.0</v>
      </c>
      <c r="O79" s="198">
        <f>countcoloredcells(Seattle!day_14,A79)</f>
        <v>2</v>
      </c>
      <c r="P79" s="198">
        <v>2.0</v>
      </c>
      <c r="Q79" s="212"/>
      <c r="R79" s="209">
        <f t="shared" si="10"/>
        <v>51</v>
      </c>
      <c r="S79" s="283" t="s">
        <v>404</v>
      </c>
      <c r="U79" s="211">
        <f>countcoloredcells(Seattle!normalpoints,A79)</f>
        <v>40</v>
      </c>
      <c r="V79" s="283" t="s">
        <v>404</v>
      </c>
    </row>
    <row r="80">
      <c r="A80" s="284" t="s">
        <v>357</v>
      </c>
      <c r="B80" s="198">
        <v>8.0</v>
      </c>
      <c r="C80" s="198">
        <v>4.0</v>
      </c>
      <c r="D80" s="198">
        <v>3.0</v>
      </c>
      <c r="E80" s="198">
        <v>3.0</v>
      </c>
      <c r="F80" s="198">
        <v>3.0</v>
      </c>
      <c r="G80" s="198">
        <v>4.0</v>
      </c>
      <c r="H80" s="198">
        <v>4.0</v>
      </c>
      <c r="I80" s="198">
        <v>4.0</v>
      </c>
      <c r="J80" s="198">
        <v>2.0</v>
      </c>
      <c r="K80" s="198">
        <v>1.0</v>
      </c>
      <c r="L80" s="198">
        <v>6.0</v>
      </c>
      <c r="M80" s="198">
        <v>1.0</v>
      </c>
      <c r="N80" s="198">
        <v>3.0</v>
      </c>
      <c r="O80" s="198">
        <f>countcoloredcells(Seattle!day_14,A80)</f>
        <v>7</v>
      </c>
      <c r="P80" s="198">
        <v>4.0</v>
      </c>
      <c r="Q80" s="161"/>
      <c r="R80" s="209">
        <f t="shared" si="10"/>
        <v>62</v>
      </c>
      <c r="S80" s="284" t="s">
        <v>357</v>
      </c>
      <c r="U80" s="211">
        <f>countcoloredcells(Seattle!normalpoints,A80)</f>
        <v>45</v>
      </c>
      <c r="V80" s="284" t="s">
        <v>357</v>
      </c>
    </row>
    <row r="81">
      <c r="A81" s="285" t="s">
        <v>405</v>
      </c>
      <c r="B81" s="198">
        <v>2.0</v>
      </c>
      <c r="C81" s="198">
        <v>2.0</v>
      </c>
      <c r="D81" s="198">
        <v>5.0</v>
      </c>
      <c r="E81" s="198">
        <v>5.0</v>
      </c>
      <c r="F81" s="198">
        <v>6.0</v>
      </c>
      <c r="G81" s="198">
        <v>6.0</v>
      </c>
      <c r="H81" s="198">
        <v>4.0</v>
      </c>
      <c r="I81" s="198">
        <v>2.0</v>
      </c>
      <c r="J81" s="198">
        <v>4.0</v>
      </c>
      <c r="K81" s="198">
        <v>4.0</v>
      </c>
      <c r="L81" s="198">
        <v>3.0</v>
      </c>
      <c r="M81" s="198">
        <v>6.0</v>
      </c>
      <c r="N81" s="198">
        <v>3.0</v>
      </c>
      <c r="O81" s="198">
        <f>countcoloredcells(Seattle!day_14,A81)</f>
        <v>4</v>
      </c>
      <c r="P81" s="198">
        <v>5.0</v>
      </c>
      <c r="Q81" s="161"/>
      <c r="R81" s="209">
        <f t="shared" si="10"/>
        <v>66</v>
      </c>
      <c r="S81" s="285" t="s">
        <v>405</v>
      </c>
      <c r="U81" s="211">
        <f>countcoloredcells(Seattle!normalpoints,A81)</f>
        <v>52</v>
      </c>
      <c r="V81" s="285" t="s">
        <v>405</v>
      </c>
    </row>
    <row r="82">
      <c r="A82" s="286" t="s">
        <v>406</v>
      </c>
      <c r="B82" s="198">
        <v>4.0</v>
      </c>
      <c r="C82" s="198">
        <v>3.0</v>
      </c>
      <c r="D82" s="198">
        <v>6.0</v>
      </c>
      <c r="E82" s="198">
        <v>1.0</v>
      </c>
      <c r="F82" s="198">
        <v>2.0</v>
      </c>
      <c r="G82" s="198">
        <v>4.0</v>
      </c>
      <c r="H82" s="198">
        <v>6.0</v>
      </c>
      <c r="I82" s="198">
        <v>1.0</v>
      </c>
      <c r="J82" s="198">
        <v>3.0</v>
      </c>
      <c r="K82" s="198">
        <v>4.0</v>
      </c>
      <c r="L82" s="198">
        <v>3.0</v>
      </c>
      <c r="M82" s="198">
        <v>3.0</v>
      </c>
      <c r="N82" s="198">
        <v>4.0</v>
      </c>
      <c r="O82" s="198">
        <f>countcoloredcells(Seattle!day_14,A82)</f>
        <v>3</v>
      </c>
      <c r="P82" s="198">
        <v>2.0</v>
      </c>
      <c r="Q82" s="212"/>
      <c r="R82" s="209">
        <f t="shared" si="10"/>
        <v>49</v>
      </c>
      <c r="S82" s="286" t="s">
        <v>406</v>
      </c>
      <c r="U82" s="213">
        <f>countcoloredcells(Seattle!normalpoints,A82)</f>
        <v>42</v>
      </c>
      <c r="V82" s="286" t="s">
        <v>406</v>
      </c>
    </row>
    <row r="83">
      <c r="A83" s="287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R83" s="215">
        <f t="shared" si="10"/>
        <v>0</v>
      </c>
      <c r="S83" s="216" t="str">
        <f t="shared" ref="S83:S85" si="11">A83</f>
        <v/>
      </c>
      <c r="U83" s="213">
        <f>countcoloredcells(Seattle!normalpoints,A83)</f>
        <v>0</v>
      </c>
      <c r="V83" s="205" t="str">
        <f t="shared" ref="V83:V85" si="12">A83</f>
        <v/>
      </c>
    </row>
    <row r="84">
      <c r="A84" s="288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335"/>
      <c r="N84" s="198"/>
      <c r="O84" s="198"/>
      <c r="P84" s="198"/>
      <c r="R84" s="215">
        <f t="shared" si="10"/>
        <v>0</v>
      </c>
      <c r="S84" s="336" t="str">
        <f t="shared" si="11"/>
        <v/>
      </c>
      <c r="U84" s="213">
        <f>countcoloredcells(Seattle!normalpoints,A84)</f>
        <v>0</v>
      </c>
      <c r="V84" s="333" t="str">
        <f t="shared" si="12"/>
        <v/>
      </c>
    </row>
    <row r="85">
      <c r="A85" s="337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R85" s="215">
        <f t="shared" si="10"/>
        <v>0</v>
      </c>
      <c r="S85" s="338" t="str">
        <f t="shared" si="11"/>
        <v/>
      </c>
      <c r="U85" s="213">
        <f>countcoloredcells(Seattle!normalpoints,A85)</f>
        <v>0</v>
      </c>
      <c r="V85" s="334" t="str">
        <f t="shared" si="12"/>
        <v/>
      </c>
    </row>
    <row r="86">
      <c r="A86" s="198"/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</row>
    <row r="87">
      <c r="A87" s="23" t="s">
        <v>352</v>
      </c>
      <c r="B87" s="198">
        <f t="shared" ref="B87:P87" si="13">SUM(B77:B85)</f>
        <v>24</v>
      </c>
      <c r="C87" s="198">
        <f t="shared" si="13"/>
        <v>17</v>
      </c>
      <c r="D87" s="198">
        <f t="shared" si="13"/>
        <v>30</v>
      </c>
      <c r="E87" s="198">
        <f t="shared" si="13"/>
        <v>19</v>
      </c>
      <c r="F87" s="198">
        <f t="shared" si="13"/>
        <v>22</v>
      </c>
      <c r="G87" s="198">
        <f t="shared" si="13"/>
        <v>24</v>
      </c>
      <c r="H87" s="198">
        <f t="shared" si="13"/>
        <v>20</v>
      </c>
      <c r="I87" s="198">
        <f t="shared" si="13"/>
        <v>27</v>
      </c>
      <c r="J87" s="198">
        <f t="shared" si="13"/>
        <v>19</v>
      </c>
      <c r="K87" s="198">
        <f t="shared" si="13"/>
        <v>18</v>
      </c>
      <c r="L87" s="198">
        <f t="shared" si="13"/>
        <v>30</v>
      </c>
      <c r="M87" s="198">
        <f t="shared" si="13"/>
        <v>23</v>
      </c>
      <c r="N87" s="198">
        <f t="shared" si="13"/>
        <v>22</v>
      </c>
      <c r="O87" s="198">
        <f t="shared" si="13"/>
        <v>30</v>
      </c>
      <c r="P87" s="198">
        <f t="shared" si="13"/>
        <v>18</v>
      </c>
      <c r="Q87" s="23" t="s">
        <v>353</v>
      </c>
      <c r="R87">
        <f>Z18-Z19</f>
        <v>-101</v>
      </c>
    </row>
    <row r="88">
      <c r="A88" s="99"/>
      <c r="B88" s="33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</row>
    <row r="89">
      <c r="A89" s="340"/>
      <c r="B89" s="341"/>
      <c r="C89" s="183"/>
      <c r="D89" s="183"/>
      <c r="E89" s="183"/>
      <c r="F89" s="183"/>
      <c r="G89" s="183"/>
      <c r="H89" s="183"/>
      <c r="I89" s="234"/>
      <c r="J89" s="234"/>
    </row>
    <row r="90">
      <c r="A90" s="172">
        <v>1.0</v>
      </c>
      <c r="B90" s="198">
        <f>B77</f>
        <v>6</v>
      </c>
      <c r="C90">
        <f>B78</f>
        <v>4</v>
      </c>
      <c r="D90">
        <f>B79</f>
        <v>0</v>
      </c>
      <c r="E90">
        <f>B80</f>
        <v>8</v>
      </c>
      <c r="F90">
        <f>B81</f>
        <v>2</v>
      </c>
      <c r="G90">
        <f>B82</f>
        <v>4</v>
      </c>
      <c r="H90" t="str">
        <f>B83</f>
        <v/>
      </c>
      <c r="I90" t="str">
        <f>B84</f>
        <v/>
      </c>
      <c r="J90" t="str">
        <f>B85</f>
        <v/>
      </c>
    </row>
    <row r="91">
      <c r="A91" s="172">
        <v>2.0</v>
      </c>
      <c r="B91" s="198">
        <f>C77+B90</f>
        <v>9</v>
      </c>
      <c r="C91">
        <f>C90+C78</f>
        <v>6</v>
      </c>
      <c r="D91">
        <f>D90+C79</f>
        <v>3</v>
      </c>
      <c r="E91">
        <f>E90+C80</f>
        <v>12</v>
      </c>
      <c r="F91">
        <f>F90+C81</f>
        <v>4</v>
      </c>
      <c r="G91">
        <f>G90+C82</f>
        <v>7</v>
      </c>
      <c r="H91">
        <f>H90+C83</f>
        <v>0</v>
      </c>
      <c r="I91">
        <f>I90+C84</f>
        <v>0</v>
      </c>
      <c r="J91">
        <f>J90+C85</f>
        <v>0</v>
      </c>
    </row>
    <row r="92">
      <c r="A92" s="172">
        <v>3.0</v>
      </c>
      <c r="B92" s="198">
        <f>D77+B91</f>
        <v>14</v>
      </c>
      <c r="C92">
        <f>C91+D78</f>
        <v>11</v>
      </c>
      <c r="D92">
        <f>D79+D91</f>
        <v>9</v>
      </c>
      <c r="E92">
        <f>E91+D80</f>
        <v>15</v>
      </c>
      <c r="F92">
        <f>F91+D81</f>
        <v>9</v>
      </c>
      <c r="G92">
        <f>G91+D82</f>
        <v>13</v>
      </c>
      <c r="H92">
        <f>H91+D83</f>
        <v>0</v>
      </c>
      <c r="I92">
        <f>I91+D84</f>
        <v>0</v>
      </c>
      <c r="J92">
        <f>J91+D85</f>
        <v>0</v>
      </c>
    </row>
    <row r="93">
      <c r="A93" s="172">
        <v>4.0</v>
      </c>
      <c r="B93">
        <f>B92+E77</f>
        <v>18</v>
      </c>
      <c r="C93">
        <f>C92+E78</f>
        <v>13</v>
      </c>
      <c r="D93">
        <f>D92+E79</f>
        <v>13</v>
      </c>
      <c r="E93">
        <f>E92+E80</f>
        <v>18</v>
      </c>
      <c r="F93">
        <f>F92+E81</f>
        <v>14</v>
      </c>
      <c r="G93">
        <f>G92+E82</f>
        <v>14</v>
      </c>
      <c r="H93">
        <f>H92+E83</f>
        <v>0</v>
      </c>
      <c r="I93">
        <f>I92+E84</f>
        <v>0</v>
      </c>
      <c r="J93">
        <f>J92+E85</f>
        <v>0</v>
      </c>
    </row>
    <row r="94">
      <c r="A94" s="172">
        <v>5.0</v>
      </c>
      <c r="B94">
        <f>B93+F77</f>
        <v>24</v>
      </c>
      <c r="C94">
        <f>C93+F78</f>
        <v>16</v>
      </c>
      <c r="D94">
        <f>D93+F79</f>
        <v>15</v>
      </c>
      <c r="E94">
        <f>E93+F80</f>
        <v>21</v>
      </c>
      <c r="F94">
        <f>F93+F81</f>
        <v>20</v>
      </c>
      <c r="G94">
        <f>G93+F82</f>
        <v>16</v>
      </c>
      <c r="H94">
        <f>H93+F83</f>
        <v>0</v>
      </c>
      <c r="I94">
        <f>I93+F84</f>
        <v>0</v>
      </c>
      <c r="J94">
        <f>J93+F85</f>
        <v>0</v>
      </c>
    </row>
    <row r="95">
      <c r="A95" s="172">
        <v>6.0</v>
      </c>
      <c r="B95">
        <f>B94+G77</f>
        <v>24</v>
      </c>
      <c r="C95">
        <f>C94+G78</f>
        <v>21</v>
      </c>
      <c r="D95">
        <f>D94+G79</f>
        <v>20</v>
      </c>
      <c r="E95">
        <f>E94+G80</f>
        <v>25</v>
      </c>
      <c r="F95">
        <f>F94+G81</f>
        <v>26</v>
      </c>
      <c r="G95">
        <f>G94+G82</f>
        <v>20</v>
      </c>
      <c r="H95">
        <f>H94+G83</f>
        <v>0</v>
      </c>
      <c r="I95">
        <f>I94+G84</f>
        <v>0</v>
      </c>
      <c r="J95">
        <f>J94+G85</f>
        <v>0</v>
      </c>
    </row>
    <row r="96">
      <c r="A96" s="172">
        <v>7.0</v>
      </c>
      <c r="B96">
        <f>B95+H77</f>
        <v>27</v>
      </c>
      <c r="C96">
        <f>C95+H78</f>
        <v>22</v>
      </c>
      <c r="D96">
        <f>D95+H79</f>
        <v>22</v>
      </c>
      <c r="E96">
        <f>E95+H80</f>
        <v>29</v>
      </c>
      <c r="F96">
        <f>F95+H81</f>
        <v>30</v>
      </c>
      <c r="G96">
        <f>G95+H82</f>
        <v>26</v>
      </c>
      <c r="H96">
        <f>H95+H83</f>
        <v>0</v>
      </c>
      <c r="I96">
        <f>I95+H84</f>
        <v>0</v>
      </c>
      <c r="J96">
        <f>J95+H85</f>
        <v>0</v>
      </c>
    </row>
    <row r="97">
      <c r="A97" s="172">
        <v>8.0</v>
      </c>
      <c r="B97">
        <f>B96+I77</f>
        <v>32</v>
      </c>
      <c r="C97">
        <f>C96+I78</f>
        <v>31</v>
      </c>
      <c r="D97">
        <f>D96+I79</f>
        <v>28</v>
      </c>
      <c r="E97">
        <f>E96+I80</f>
        <v>33</v>
      </c>
      <c r="F97">
        <f>F96+I81</f>
        <v>32</v>
      </c>
      <c r="G97">
        <f>G96+I82</f>
        <v>27</v>
      </c>
      <c r="H97">
        <f>H96+I83</f>
        <v>0</v>
      </c>
      <c r="I97">
        <f>I96+I84</f>
        <v>0</v>
      </c>
      <c r="J97">
        <f>J96+I85</f>
        <v>0</v>
      </c>
    </row>
    <row r="98">
      <c r="A98" s="172">
        <v>9.0</v>
      </c>
      <c r="B98">
        <f>B97+J77</f>
        <v>34</v>
      </c>
      <c r="C98">
        <f>C97+J78</f>
        <v>36</v>
      </c>
      <c r="D98">
        <f>D97+J79</f>
        <v>31</v>
      </c>
      <c r="E98">
        <f>E97+J80</f>
        <v>35</v>
      </c>
      <c r="F98">
        <f>F97+J81</f>
        <v>36</v>
      </c>
      <c r="G98">
        <f>G97+J82</f>
        <v>30</v>
      </c>
      <c r="H98">
        <f>H97+J83</f>
        <v>0</v>
      </c>
      <c r="I98">
        <f>I97+J84</f>
        <v>0</v>
      </c>
      <c r="J98">
        <f>J97+J85</f>
        <v>0</v>
      </c>
    </row>
    <row r="99">
      <c r="A99" s="172">
        <v>10.0</v>
      </c>
      <c r="B99">
        <f>B98+K77</f>
        <v>38</v>
      </c>
      <c r="C99">
        <f>C98+K78</f>
        <v>38</v>
      </c>
      <c r="D99">
        <f>D98+K79</f>
        <v>34</v>
      </c>
      <c r="E99">
        <f>E98+K80</f>
        <v>36</v>
      </c>
      <c r="F99">
        <f>F98+K81</f>
        <v>40</v>
      </c>
      <c r="G99">
        <f>G98+K82</f>
        <v>34</v>
      </c>
      <c r="H99">
        <f>H98+K83</f>
        <v>0</v>
      </c>
      <c r="I99">
        <f>I98+K84</f>
        <v>0</v>
      </c>
      <c r="J99">
        <f>J98+K85</f>
        <v>0</v>
      </c>
    </row>
    <row r="100">
      <c r="A100" s="172">
        <v>11.0</v>
      </c>
      <c r="B100">
        <f>B99+L77</f>
        <v>42</v>
      </c>
      <c r="C100">
        <f>C99+L78</f>
        <v>45</v>
      </c>
      <c r="D100">
        <f>D99+L79</f>
        <v>41</v>
      </c>
      <c r="E100">
        <f>E99+L80</f>
        <v>42</v>
      </c>
      <c r="F100">
        <f>F99+L81</f>
        <v>43</v>
      </c>
      <c r="G100">
        <f>G99+L82</f>
        <v>37</v>
      </c>
      <c r="H100">
        <f>H99+L83</f>
        <v>0</v>
      </c>
      <c r="I100">
        <f>I99+L84</f>
        <v>0</v>
      </c>
      <c r="J100">
        <f>J99+L85</f>
        <v>0</v>
      </c>
    </row>
    <row r="101">
      <c r="A101" s="172">
        <v>12.0</v>
      </c>
      <c r="B101">
        <f>B100+M77</f>
        <v>48</v>
      </c>
      <c r="C101">
        <f>C100+M78</f>
        <v>49</v>
      </c>
      <c r="D101">
        <f>D100+M79</f>
        <v>44</v>
      </c>
      <c r="E101">
        <f>E100+M80</f>
        <v>43</v>
      </c>
      <c r="F101">
        <f>F100+M81</f>
        <v>49</v>
      </c>
      <c r="G101">
        <f>G100+M82</f>
        <v>40</v>
      </c>
      <c r="H101">
        <f>H100+M83</f>
        <v>0</v>
      </c>
      <c r="I101">
        <f>I100+M84</f>
        <v>0</v>
      </c>
      <c r="J101">
        <f>J100+M85</f>
        <v>0</v>
      </c>
    </row>
    <row r="102">
      <c r="A102" s="172">
        <v>13.0</v>
      </c>
      <c r="B102">
        <f>B101+N77</f>
        <v>53</v>
      </c>
      <c r="C102">
        <f>C101+N78</f>
        <v>53</v>
      </c>
      <c r="D102">
        <f>D101+N79</f>
        <v>47</v>
      </c>
      <c r="E102">
        <f>E101+N80</f>
        <v>46</v>
      </c>
      <c r="F102">
        <f>F101+N81</f>
        <v>52</v>
      </c>
      <c r="G102">
        <f>G101+N82</f>
        <v>44</v>
      </c>
      <c r="H102">
        <f>H101+N83</f>
        <v>0</v>
      </c>
      <c r="I102">
        <f>I101+N84</f>
        <v>0</v>
      </c>
      <c r="J102">
        <f>J101+N85</f>
        <v>0</v>
      </c>
    </row>
    <row r="103">
      <c r="A103" s="172">
        <v>14.0</v>
      </c>
      <c r="B103">
        <f>B102+O77</f>
        <v>60</v>
      </c>
      <c r="C103">
        <f>C102+O78</f>
        <v>60</v>
      </c>
      <c r="D103">
        <f>D102+O79</f>
        <v>49</v>
      </c>
      <c r="E103">
        <f>E102+O80</f>
        <v>53</v>
      </c>
      <c r="F103">
        <f>F102+O81</f>
        <v>56</v>
      </c>
      <c r="G103">
        <f>G102+O82</f>
        <v>47</v>
      </c>
      <c r="H103">
        <f>H102+O83</f>
        <v>0</v>
      </c>
      <c r="I103">
        <f>I102+O84</f>
        <v>0</v>
      </c>
      <c r="J103">
        <f>J102+O85</f>
        <v>0</v>
      </c>
    </row>
    <row r="104">
      <c r="A104" s="172">
        <v>15.0</v>
      </c>
      <c r="B104">
        <f>B103+P77</f>
        <v>63</v>
      </c>
      <c r="C104">
        <f>C103+P78</f>
        <v>62</v>
      </c>
      <c r="D104">
        <f>D103+P79</f>
        <v>51</v>
      </c>
      <c r="E104">
        <f>E103+P80</f>
        <v>57</v>
      </c>
      <c r="F104">
        <f>F103+P81</f>
        <v>61</v>
      </c>
      <c r="G104">
        <f>G103+P82</f>
        <v>49</v>
      </c>
      <c r="H104">
        <f>H103+P83</f>
        <v>0</v>
      </c>
      <c r="I104">
        <f>I103+P84</f>
        <v>0</v>
      </c>
      <c r="J104">
        <f>J103+P85</f>
        <v>0</v>
      </c>
    </row>
    <row r="105">
      <c r="A105" s="172">
        <v>16.0</v>
      </c>
      <c r="B105">
        <f>B104+V62</f>
        <v>83</v>
      </c>
      <c r="C105">
        <f>C104+V63</f>
        <v>62</v>
      </c>
      <c r="D105">
        <f>D104+V64</f>
        <v>51</v>
      </c>
      <c r="E105">
        <f>E104+V65</f>
        <v>62</v>
      </c>
      <c r="F105">
        <f>F104+V66</f>
        <v>66</v>
      </c>
      <c r="G105">
        <f>G104+V67</f>
        <v>49</v>
      </c>
      <c r="H105">
        <f>H104+V68</f>
        <v>0</v>
      </c>
      <c r="I105">
        <f>I104+V69</f>
        <v>0</v>
      </c>
      <c r="J105">
        <f>J104+V70</f>
        <v>0</v>
      </c>
    </row>
  </sheetData>
  <conditionalFormatting sqref="R87">
    <cfRule type="cellIs" dxfId="0" priority="1" operator="notEqual">
      <formula>0</formula>
    </cfRule>
  </conditionalFormatting>
  <conditionalFormatting sqref="R87">
    <cfRule type="cellIs" dxfId="0" priority="2" operator="notEqual">
      <formula>0</formula>
    </cfRule>
  </conditionalFormatting>
  <conditionalFormatting sqref="B21:P21 B31:P31 B35:P35 B39:P39 B43:P43 B46:P46">
    <cfRule type="notContainsBlanks" dxfId="6" priority="3">
      <formula>LEN(TRIM(B21))&gt;0</formula>
    </cfRule>
  </conditionalFormatting>
  <conditionalFormatting sqref="B24:I24 B26:P26 B33:P33 B40:P40 B45:P45 B56:P56 J58:P58">
    <cfRule type="notContainsBlanks" dxfId="0" priority="4">
      <formula>LEN(TRIM(B24))&gt;0</formula>
    </cfRule>
  </conditionalFormatting>
  <conditionalFormatting sqref="B22:P22 B30:P30 B36:P36 B42:P42 B49:P49 B53:P53 J59:P59">
    <cfRule type="notContainsBlanks" dxfId="4" priority="5">
      <formula>LEN(TRIM(B22))&gt;0</formula>
    </cfRule>
  </conditionalFormatting>
  <conditionalFormatting sqref="B25:P25 B29:P29 B37:P37 B44:P44 B48:P48 B55:P55">
    <cfRule type="notContainsBlanks" dxfId="5" priority="6">
      <formula>LEN(TRIM(B25))&gt;0</formula>
    </cfRule>
  </conditionalFormatting>
  <conditionalFormatting sqref="B20:P20 B27:P27 B32:P32 B41:P41 B50:P51">
    <cfRule type="notContainsBlanks" dxfId="3" priority="7">
      <formula>LEN(TRIM(B20))&gt;0</formula>
    </cfRule>
  </conditionalFormatting>
  <conditionalFormatting sqref="B23:P23 B28:P28 B34:P34 B38:P38 B47:P47 B52:P52 G57:P57">
    <cfRule type="notContainsBlanks" dxfId="1" priority="8">
      <formula>LEN(TRIM(B23))&gt;0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43"/>
    <col customWidth="1" min="2" max="18" width="11.57"/>
    <col customWidth="1" min="19" max="19" width="13.0"/>
    <col customWidth="1" min="20" max="20" width="15.14"/>
    <col customWidth="1" min="21" max="21" width="11.71"/>
    <col customWidth="1" min="22" max="22" width="13.0"/>
    <col customWidth="1" min="23" max="23" width="12.0"/>
    <col customWidth="1" min="24" max="24" width="6.86"/>
  </cols>
  <sheetData>
    <row r="1"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Z1" s="23"/>
    </row>
    <row r="2">
      <c r="B2" s="275" t="s">
        <v>350</v>
      </c>
      <c r="C2" s="209">
        <f t="shared" ref="C2:C7" si="1">sum(B77:P77)+V64</f>
        <v>60</v>
      </c>
      <c r="D2" s="342" t="s">
        <v>417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Z2" s="23"/>
    </row>
    <row r="3">
      <c r="A3" s="23"/>
      <c r="B3" s="23"/>
      <c r="C3" s="343">
        <f t="shared" si="1"/>
        <v>58</v>
      </c>
      <c r="D3" s="344" t="s">
        <v>418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Z3" s="23"/>
    </row>
    <row r="4">
      <c r="A4" s="23"/>
      <c r="B4" s="170"/>
      <c r="C4" s="343">
        <f t="shared" si="1"/>
        <v>52</v>
      </c>
      <c r="D4" s="345" t="s">
        <v>419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Z4" s="23"/>
    </row>
    <row r="5">
      <c r="A5" s="23"/>
      <c r="B5" s="170"/>
      <c r="C5" s="343">
        <f t="shared" si="1"/>
        <v>71</v>
      </c>
      <c r="D5" s="346" t="s">
        <v>397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Z5" s="23"/>
    </row>
    <row r="6">
      <c r="A6" s="23"/>
      <c r="B6" s="23"/>
      <c r="C6" s="343">
        <f t="shared" si="1"/>
        <v>65</v>
      </c>
      <c r="D6" s="347" t="s">
        <v>420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Z6" s="23"/>
    </row>
    <row r="7">
      <c r="A7" s="23"/>
      <c r="C7" s="348">
        <f t="shared" si="1"/>
        <v>57</v>
      </c>
      <c r="D7" s="349" t="s">
        <v>396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Z7" s="23"/>
    </row>
    <row r="8">
      <c r="A8" s="23"/>
      <c r="B8" s="23"/>
      <c r="C8" s="152"/>
      <c r="D8" s="16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Z8" s="23"/>
    </row>
    <row r="9">
      <c r="C9" s="23"/>
      <c r="D9" s="350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Z9" s="23"/>
    </row>
    <row r="10">
      <c r="B10" s="278" t="s">
        <v>421</v>
      </c>
      <c r="C10" s="211">
        <f>countcoloredcells(dewanoumi!normalpoints,A77)</f>
        <v>46</v>
      </c>
      <c r="D10" s="342" t="s">
        <v>417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Z10" s="23"/>
    </row>
    <row r="11">
      <c r="B11" s="278" t="s">
        <v>422</v>
      </c>
      <c r="C11" s="351">
        <f>countcoloredcells(dewanoumi!normalpoints,A78)</f>
        <v>42</v>
      </c>
      <c r="D11" s="344" t="s">
        <v>418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Z11" s="23"/>
    </row>
    <row r="12">
      <c r="C12" s="351">
        <f>countcoloredcells(dewanoumi!normalpoints,A79)</f>
        <v>47</v>
      </c>
      <c r="D12" s="345" t="s">
        <v>419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Z12" s="23"/>
    </row>
    <row r="13">
      <c r="C13" s="351">
        <f>countcoloredcells(dewanoumi!normalpoints,A80)</f>
        <v>44</v>
      </c>
      <c r="D13" s="346" t="s">
        <v>397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Z13" s="23"/>
    </row>
    <row r="14">
      <c r="C14" s="351">
        <f>countcoloredcells(dewanoumi!normalpoints,A81)</f>
        <v>41</v>
      </c>
      <c r="D14" s="347" t="s">
        <v>420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Z14" s="23"/>
    </row>
    <row r="15">
      <c r="C15" s="352">
        <f>countcoloredcells(dewanoumi!normalpoints,A82)</f>
        <v>46</v>
      </c>
      <c r="D15" s="349" t="s">
        <v>396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Z15" s="23"/>
    </row>
    <row r="16">
      <c r="A16" s="23"/>
      <c r="B16" s="23"/>
      <c r="C16" s="353"/>
      <c r="D16" s="225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Z17" s="23"/>
    </row>
    <row r="18">
      <c r="A18" s="293" t="s">
        <v>206</v>
      </c>
      <c r="B18" s="154">
        <v>1.0</v>
      </c>
      <c r="C18" s="155">
        <v>2.0</v>
      </c>
      <c r="D18" s="155">
        <v>3.0</v>
      </c>
      <c r="E18" s="155">
        <v>4.0</v>
      </c>
      <c r="F18" s="155">
        <v>5.0</v>
      </c>
      <c r="G18" s="155">
        <v>6.0</v>
      </c>
      <c r="H18" s="155">
        <v>7.0</v>
      </c>
      <c r="I18" s="155">
        <v>8.0</v>
      </c>
      <c r="J18" s="155">
        <v>9.0</v>
      </c>
      <c r="K18" s="155">
        <v>10.0</v>
      </c>
      <c r="L18" s="155">
        <v>11.0</v>
      </c>
      <c r="M18" s="155">
        <v>12.0</v>
      </c>
      <c r="N18" s="155">
        <v>13.0</v>
      </c>
      <c r="O18" s="155">
        <v>14.0</v>
      </c>
      <c r="P18" s="155">
        <v>15.0</v>
      </c>
      <c r="Q18" s="294" t="s">
        <v>338</v>
      </c>
      <c r="R18" s="183" t="s">
        <v>339</v>
      </c>
      <c r="S18" s="183" t="s">
        <v>407</v>
      </c>
      <c r="T18" s="183" t="s">
        <v>340</v>
      </c>
      <c r="U18" s="183" t="s">
        <v>341</v>
      </c>
      <c r="V18" s="183" t="s">
        <v>342</v>
      </c>
      <c r="W18" s="183" t="s">
        <v>343</v>
      </c>
      <c r="X18" s="295" t="s">
        <v>344</v>
      </c>
      <c r="Z18" s="23">
        <f>sum(R19:R60)</f>
        <v>266</v>
      </c>
    </row>
    <row r="19">
      <c r="A19" s="158" t="s">
        <v>19</v>
      </c>
      <c r="B19" s="159" t="s">
        <v>88</v>
      </c>
      <c r="C19" s="160" t="s">
        <v>57</v>
      </c>
      <c r="D19" s="160" t="s">
        <v>23</v>
      </c>
      <c r="E19" s="160" t="s">
        <v>131</v>
      </c>
      <c r="F19" s="160" t="s">
        <v>90</v>
      </c>
      <c r="G19" s="160" t="s">
        <v>48</v>
      </c>
      <c r="H19" s="160" t="s">
        <v>32</v>
      </c>
      <c r="I19" s="160" t="s">
        <v>40</v>
      </c>
      <c r="J19" s="160" t="s">
        <v>122</v>
      </c>
      <c r="K19" s="160" t="s">
        <v>146</v>
      </c>
      <c r="L19" s="160" t="s">
        <v>114</v>
      </c>
      <c r="M19" s="160" t="s">
        <v>111</v>
      </c>
      <c r="N19" s="160"/>
      <c r="O19" s="160" t="s">
        <v>36</v>
      </c>
      <c r="P19" s="160" t="s">
        <v>15</v>
      </c>
      <c r="Q19" s="161" t="str">
        <f>(BanzukeTable!A2)</f>
        <v>0-0</v>
      </c>
      <c r="R19" s="23">
        <f t="shared" ref="R19:R60" si="2">sum(T19+U19)</f>
        <v>14</v>
      </c>
      <c r="S19" s="23" t="s">
        <v>423</v>
      </c>
      <c r="T19">
        <f>countcoloredcells(B19:P19,A82)</f>
        <v>14</v>
      </c>
      <c r="U19">
        <f>COUNTIF(MASTER!bonuspoints2,"kakuryu")</f>
        <v>0</v>
      </c>
      <c r="X19">
        <f t="shared" ref="X19:X60" si="3">R19-7.5</f>
        <v>6.5</v>
      </c>
      <c r="Z19" s="23">
        <f>sum(R77:R83)</f>
        <v>363</v>
      </c>
    </row>
    <row r="20">
      <c r="A20" s="167" t="s">
        <v>15</v>
      </c>
      <c r="B20" s="168" t="s">
        <v>131</v>
      </c>
      <c r="C20" s="160" t="s">
        <v>23</v>
      </c>
      <c r="D20" s="160" t="s">
        <v>57</v>
      </c>
      <c r="E20" s="160" t="s">
        <v>88</v>
      </c>
      <c r="F20" s="160" t="s">
        <v>48</v>
      </c>
      <c r="G20" s="160" t="s">
        <v>90</v>
      </c>
      <c r="H20" s="160" t="s">
        <v>40</v>
      </c>
      <c r="I20" s="160" t="s">
        <v>32</v>
      </c>
      <c r="J20" s="160"/>
      <c r="K20" s="160" t="s">
        <v>59</v>
      </c>
      <c r="L20" s="160" t="s">
        <v>81</v>
      </c>
      <c r="M20" s="160" t="s">
        <v>36</v>
      </c>
      <c r="N20" s="160" t="s">
        <v>62</v>
      </c>
      <c r="O20" s="160"/>
      <c r="P20" s="296"/>
      <c r="Q20" s="170" t="str">
        <f>(BanzukeTable!E2)</f>
        <v>0-0</v>
      </c>
      <c r="R20" s="23">
        <f t="shared" si="2"/>
        <v>12</v>
      </c>
      <c r="S20" s="23" t="s">
        <v>365</v>
      </c>
      <c r="T20">
        <f>countcoloredcells(B20:P20,A78)</f>
        <v>12</v>
      </c>
      <c r="U20">
        <f>COUNTIF(MASTER!bonuspoints2,"hakuho")</f>
        <v>0</v>
      </c>
      <c r="X20">
        <f t="shared" si="3"/>
        <v>4.5</v>
      </c>
    </row>
    <row r="21">
      <c r="A21" s="167" t="s">
        <v>236</v>
      </c>
      <c r="B21" s="168"/>
      <c r="C21" s="160" t="s">
        <v>131</v>
      </c>
      <c r="D21" s="160" t="s">
        <v>90</v>
      </c>
      <c r="E21" s="160"/>
      <c r="F21" s="160" t="s">
        <v>88</v>
      </c>
      <c r="G21" s="160"/>
      <c r="H21" s="160"/>
      <c r="I21" s="160"/>
      <c r="J21" s="160"/>
      <c r="K21" s="160"/>
      <c r="L21" s="160"/>
      <c r="M21" s="179"/>
      <c r="N21" s="160"/>
      <c r="O21" s="160"/>
      <c r="P21" s="354"/>
      <c r="Q21" s="170" t="str">
        <f>(BanzukeTable!A3)</f>
        <v>0-0</v>
      </c>
      <c r="R21" s="23">
        <f t="shared" si="2"/>
        <v>3</v>
      </c>
      <c r="S21" s="23" t="s">
        <v>357</v>
      </c>
      <c r="T21">
        <f>countcoloredcells(B21:P21,A80)</f>
        <v>3</v>
      </c>
      <c r="U21">
        <f>COUNTIF(MASTER!bonuspoints2,"goeido")</f>
        <v>0</v>
      </c>
      <c r="X21">
        <f t="shared" si="3"/>
        <v>-4.5</v>
      </c>
    </row>
    <row r="22">
      <c r="A22" s="167" t="s">
        <v>81</v>
      </c>
      <c r="B22" s="168" t="s">
        <v>57</v>
      </c>
      <c r="C22" s="160"/>
      <c r="D22" s="160" t="s">
        <v>48</v>
      </c>
      <c r="E22" s="160" t="s">
        <v>23</v>
      </c>
      <c r="F22" s="160" t="s">
        <v>131</v>
      </c>
      <c r="G22" s="160" t="s">
        <v>40</v>
      </c>
      <c r="H22" s="160" t="s">
        <v>90</v>
      </c>
      <c r="I22" s="160" t="s">
        <v>59</v>
      </c>
      <c r="J22" s="160"/>
      <c r="K22" s="160" t="s">
        <v>122</v>
      </c>
      <c r="L22" s="160"/>
      <c r="M22" s="179"/>
      <c r="N22" s="160"/>
      <c r="O22" s="160"/>
      <c r="P22" s="296"/>
      <c r="Q22" s="170" t="str">
        <f>(BanzukeTable!E3)</f>
        <v>0-0</v>
      </c>
      <c r="R22" s="23">
        <f t="shared" si="2"/>
        <v>8</v>
      </c>
      <c r="S22" s="23" t="s">
        <v>424</v>
      </c>
      <c r="T22">
        <f>countcoloredcells(B22:P22,A79)</f>
        <v>8</v>
      </c>
      <c r="U22">
        <f>COUNTIF(MASTER!bonuspoints2,"takayasu")</f>
        <v>0</v>
      </c>
      <c r="X22">
        <f t="shared" si="3"/>
        <v>0.5</v>
      </c>
    </row>
    <row r="23">
      <c r="A23" s="167" t="s">
        <v>27</v>
      </c>
      <c r="B23" s="168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79"/>
      <c r="N23" s="160"/>
      <c r="O23" s="160"/>
      <c r="P23" s="296"/>
      <c r="Q23" s="170" t="str">
        <f>(BanzukeTable!A4)</f>
        <v>0-0</v>
      </c>
      <c r="R23" s="23">
        <f t="shared" si="2"/>
        <v>0</v>
      </c>
      <c r="T23">
        <f t="shared" ref="T23:T24" si="4">countcoloredcells(B23:P23,A79)</f>
        <v>0</v>
      </c>
      <c r="U23">
        <f>COUNTIF(MASTER!bonuspoints2,"takakeisho")</f>
        <v>0</v>
      </c>
      <c r="X23">
        <f t="shared" si="3"/>
        <v>-7.5</v>
      </c>
    </row>
    <row r="24">
      <c r="A24" s="167" t="s">
        <v>72</v>
      </c>
      <c r="B24" s="168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79"/>
      <c r="N24" s="160"/>
      <c r="O24" s="160"/>
      <c r="P24" s="296"/>
      <c r="Q24" s="170" t="str">
        <f>(BanzukeTable!E4)</f>
        <v>0-0</v>
      </c>
      <c r="R24" s="23">
        <f t="shared" si="2"/>
        <v>0</v>
      </c>
      <c r="S24" s="23" t="s">
        <v>357</v>
      </c>
      <c r="T24">
        <f t="shared" si="4"/>
        <v>0</v>
      </c>
      <c r="U24">
        <f>COUNTIF(MASTER!bonuspoints2,"tochinoshin")</f>
        <v>0</v>
      </c>
      <c r="X24">
        <f t="shared" si="3"/>
        <v>-7.5</v>
      </c>
    </row>
    <row r="25">
      <c r="A25" s="167" t="s">
        <v>36</v>
      </c>
      <c r="B25" s="168"/>
      <c r="C25" s="160" t="s">
        <v>48</v>
      </c>
      <c r="D25" s="160" t="s">
        <v>59</v>
      </c>
      <c r="E25" s="160" t="s">
        <v>32</v>
      </c>
      <c r="F25" s="160"/>
      <c r="G25" s="160" t="s">
        <v>88</v>
      </c>
      <c r="H25" s="160" t="s">
        <v>23</v>
      </c>
      <c r="I25" s="160" t="s">
        <v>146</v>
      </c>
      <c r="J25" s="160"/>
      <c r="K25" s="160"/>
      <c r="L25" s="160" t="s">
        <v>122</v>
      </c>
      <c r="M25" s="179"/>
      <c r="N25" s="160" t="s">
        <v>114</v>
      </c>
      <c r="O25" s="160"/>
      <c r="P25" s="355" t="s">
        <v>135</v>
      </c>
      <c r="Q25" s="170" t="str">
        <f>(BanzukeTable!A5)</f>
        <v>0-0</v>
      </c>
      <c r="R25" s="23">
        <f t="shared" si="2"/>
        <v>9</v>
      </c>
      <c r="S25" s="198" t="s">
        <v>425</v>
      </c>
      <c r="T25">
        <f>countcoloredcells(B25:P25,A77)</f>
        <v>9</v>
      </c>
      <c r="U25">
        <f>COUNTIF(MASTER!bonuspoints2,"mitakeumi")</f>
        <v>0</v>
      </c>
      <c r="X25">
        <f t="shared" si="3"/>
        <v>1.5</v>
      </c>
    </row>
    <row r="26">
      <c r="A26" s="167" t="s">
        <v>59</v>
      </c>
      <c r="B26" s="168"/>
      <c r="C26" s="160"/>
      <c r="D26" s="160"/>
      <c r="E26" s="160"/>
      <c r="F26" s="160"/>
      <c r="G26" s="160" t="s">
        <v>23</v>
      </c>
      <c r="H26" s="160"/>
      <c r="I26" s="160"/>
      <c r="J26" s="160"/>
      <c r="K26" s="160"/>
      <c r="L26" s="160"/>
      <c r="M26" s="160" t="s">
        <v>122</v>
      </c>
      <c r="N26" s="160" t="s">
        <v>79</v>
      </c>
      <c r="O26" s="160" t="s">
        <v>111</v>
      </c>
      <c r="P26" s="355" t="s">
        <v>102</v>
      </c>
      <c r="Q26" s="170" t="str">
        <f>(BanzukeTable!E5)</f>
        <v/>
      </c>
      <c r="R26" s="23">
        <f t="shared" si="2"/>
        <v>5</v>
      </c>
      <c r="S26" s="23" t="s">
        <v>426</v>
      </c>
      <c r="T26">
        <f t="shared" ref="T26:T27" si="5">countcoloredcells(B26:P26,A81)</f>
        <v>5</v>
      </c>
      <c r="U26">
        <f>COUNTIF(MASTER!bonuspoints2,"tamawashi")</f>
        <v>0</v>
      </c>
      <c r="X26">
        <f t="shared" si="3"/>
        <v>-2.5</v>
      </c>
    </row>
    <row r="27">
      <c r="A27" s="167" t="s">
        <v>131</v>
      </c>
      <c r="B27" s="168"/>
      <c r="C27" s="160"/>
      <c r="D27" s="160" t="s">
        <v>32</v>
      </c>
      <c r="E27" s="160"/>
      <c r="F27" s="160"/>
      <c r="G27" s="160" t="s">
        <v>72</v>
      </c>
      <c r="H27" s="160"/>
      <c r="I27" s="160" t="s">
        <v>88</v>
      </c>
      <c r="J27" s="160" t="s">
        <v>416</v>
      </c>
      <c r="K27" s="160" t="s">
        <v>23</v>
      </c>
      <c r="L27" s="160"/>
      <c r="M27" s="179"/>
      <c r="N27" s="160" t="s">
        <v>40</v>
      </c>
      <c r="O27" s="178" t="s">
        <v>146</v>
      </c>
      <c r="P27" s="355" t="s">
        <v>114</v>
      </c>
      <c r="Q27" s="170" t="str">
        <f>(BanzukeTable!A6)</f>
        <v>0-0</v>
      </c>
      <c r="R27" s="23">
        <f t="shared" si="2"/>
        <v>8</v>
      </c>
      <c r="S27" s="23" t="s">
        <v>423</v>
      </c>
      <c r="T27">
        <f t="shared" si="5"/>
        <v>8</v>
      </c>
      <c r="U27">
        <f>COUNTIF(MASTER!bonuspoints2,"abi")</f>
        <v>0</v>
      </c>
      <c r="X27">
        <f t="shared" si="3"/>
        <v>0.5</v>
      </c>
    </row>
    <row r="28">
      <c r="A28" s="173" t="s">
        <v>88</v>
      </c>
      <c r="B28" s="168"/>
      <c r="C28" s="160" t="s">
        <v>381</v>
      </c>
      <c r="D28" s="160" t="s">
        <v>415</v>
      </c>
      <c r="E28" s="160"/>
      <c r="F28" s="160"/>
      <c r="G28" s="160"/>
      <c r="H28" s="160" t="s">
        <v>427</v>
      </c>
      <c r="I28" s="160"/>
      <c r="J28" s="160"/>
      <c r="K28" s="160"/>
      <c r="L28" s="160"/>
      <c r="M28" s="179"/>
      <c r="N28" s="160" t="s">
        <v>32</v>
      </c>
      <c r="O28" s="160"/>
      <c r="P28" s="296"/>
      <c r="Q28" s="170" t="str">
        <f>(BanzukeTable!E6)</f>
        <v>0-0</v>
      </c>
      <c r="R28" s="23">
        <f t="shared" si="2"/>
        <v>4</v>
      </c>
      <c r="S28" s="198" t="s">
        <v>423</v>
      </c>
      <c r="T28">
        <f>countcoloredcells(B28:P28,A82)</f>
        <v>4</v>
      </c>
      <c r="U28">
        <f>COUNTIF(MASTER!bonuspoints2,"ryuden")</f>
        <v>0</v>
      </c>
      <c r="X28">
        <f t="shared" si="3"/>
        <v>-3.5</v>
      </c>
    </row>
    <row r="29">
      <c r="A29" s="158" t="s">
        <v>23</v>
      </c>
      <c r="B29" s="168" t="s">
        <v>379</v>
      </c>
      <c r="C29" s="160"/>
      <c r="D29" s="160"/>
      <c r="E29" s="160"/>
      <c r="F29" s="160" t="s">
        <v>428</v>
      </c>
      <c r="G29" s="160"/>
      <c r="H29" s="160"/>
      <c r="I29" s="160" t="s">
        <v>48</v>
      </c>
      <c r="J29" s="160" t="s">
        <v>429</v>
      </c>
      <c r="K29" s="175"/>
      <c r="L29" s="160" t="s">
        <v>57</v>
      </c>
      <c r="M29" s="179"/>
      <c r="N29" s="160"/>
      <c r="O29" s="160" t="s">
        <v>32</v>
      </c>
      <c r="P29" s="160" t="s">
        <v>105</v>
      </c>
      <c r="Q29" s="161" t="str">
        <f>(BanzukeTable!A7)</f>
        <v>0-0</v>
      </c>
      <c r="R29" s="23">
        <f t="shared" si="2"/>
        <v>7</v>
      </c>
      <c r="S29" s="23" t="s">
        <v>426</v>
      </c>
      <c r="T29">
        <f>countcoloredcells(B29:P29,A81)</f>
        <v>7</v>
      </c>
      <c r="U29">
        <f>COUNTIF(MASTER!bonuspoints2,"asanoyama")</f>
        <v>0</v>
      </c>
      <c r="X29">
        <f t="shared" si="3"/>
        <v>-0.5</v>
      </c>
    </row>
    <row r="30">
      <c r="A30" s="158" t="s">
        <v>57</v>
      </c>
      <c r="B30" s="168"/>
      <c r="C30" s="160"/>
      <c r="D30" s="160"/>
      <c r="E30" s="160" t="s">
        <v>379</v>
      </c>
      <c r="F30" s="160" t="s">
        <v>430</v>
      </c>
      <c r="G30" s="160" t="s">
        <v>122</v>
      </c>
      <c r="H30" s="160" t="s">
        <v>384</v>
      </c>
      <c r="I30" s="160" t="s">
        <v>90</v>
      </c>
      <c r="J30" s="160" t="s">
        <v>431</v>
      </c>
      <c r="K30" s="160" t="s">
        <v>429</v>
      </c>
      <c r="L30" s="160"/>
      <c r="M30" s="175"/>
      <c r="N30" s="160" t="s">
        <v>146</v>
      </c>
      <c r="O30" s="160" t="s">
        <v>65</v>
      </c>
      <c r="P30" s="179"/>
      <c r="Q30" s="161" t="str">
        <f>(BanzukeTable!E7)</f>
        <v>0-0</v>
      </c>
      <c r="R30" s="23">
        <f t="shared" si="2"/>
        <v>9</v>
      </c>
      <c r="S30" s="23" t="s">
        <v>357</v>
      </c>
      <c r="T30">
        <f t="shared" ref="T30:T31" si="6">countcoloredcells(B30:P30,A80)</f>
        <v>9</v>
      </c>
      <c r="U30">
        <f>COUNTIF(MASTER!bonuspoints2,"hokutofuji")</f>
        <v>0</v>
      </c>
      <c r="X30">
        <f t="shared" si="3"/>
        <v>1.5</v>
      </c>
    </row>
    <row r="31">
      <c r="A31" s="158" t="s">
        <v>90</v>
      </c>
      <c r="B31" s="168" t="s">
        <v>430</v>
      </c>
      <c r="C31" s="160" t="s">
        <v>431</v>
      </c>
      <c r="D31" s="160"/>
      <c r="E31" s="160" t="s">
        <v>122</v>
      </c>
      <c r="F31" s="160"/>
      <c r="G31" s="160"/>
      <c r="H31" s="160"/>
      <c r="I31" s="160"/>
      <c r="J31" s="160"/>
      <c r="K31" s="160" t="s">
        <v>32</v>
      </c>
      <c r="L31" s="160" t="s">
        <v>384</v>
      </c>
      <c r="M31" s="160" t="s">
        <v>429</v>
      </c>
      <c r="N31" s="160" t="s">
        <v>23</v>
      </c>
      <c r="O31" s="160"/>
      <c r="P31" s="160" t="s">
        <v>40</v>
      </c>
      <c r="Q31" s="161" t="str">
        <f>(BanzukeTable!A8)</f>
        <v>0-0</v>
      </c>
      <c r="R31" s="23">
        <f t="shared" si="2"/>
        <v>8</v>
      </c>
      <c r="S31" s="198" t="s">
        <v>426</v>
      </c>
      <c r="T31">
        <f t="shared" si="6"/>
        <v>8</v>
      </c>
      <c r="U31">
        <f>COUNTIF(MASTER!bonuspoints2,"aoiyama")</f>
        <v>0</v>
      </c>
      <c r="X31">
        <f t="shared" si="3"/>
        <v>0.5</v>
      </c>
    </row>
    <row r="32">
      <c r="A32" s="158" t="s">
        <v>48</v>
      </c>
      <c r="B32" s="168" t="s">
        <v>428</v>
      </c>
      <c r="C32" s="160"/>
      <c r="D32" s="160"/>
      <c r="E32" s="160" t="s">
        <v>432</v>
      </c>
      <c r="F32" s="160"/>
      <c r="G32" s="160"/>
      <c r="H32" s="160" t="s">
        <v>379</v>
      </c>
      <c r="I32" s="160"/>
      <c r="J32" s="160" t="s">
        <v>90</v>
      </c>
      <c r="K32" s="160" t="s">
        <v>114</v>
      </c>
      <c r="L32" s="160" t="s">
        <v>429</v>
      </c>
      <c r="M32" s="160" t="s">
        <v>384</v>
      </c>
      <c r="N32" s="160" t="s">
        <v>135</v>
      </c>
      <c r="O32" s="160" t="s">
        <v>79</v>
      </c>
      <c r="P32" s="160" t="s">
        <v>57</v>
      </c>
      <c r="Q32" s="161" t="str">
        <f>(BanzukeTable!E8)</f>
        <v>0-0</v>
      </c>
      <c r="R32" s="23">
        <f t="shared" si="2"/>
        <v>10</v>
      </c>
      <c r="S32" s="23" t="s">
        <v>365</v>
      </c>
      <c r="T32">
        <f>countcoloredcells(B32:P32,A78)</f>
        <v>10</v>
      </c>
      <c r="U32">
        <f>COUNTIF(MASTER!bonuspoints2,"endo")</f>
        <v>0</v>
      </c>
      <c r="X32">
        <f t="shared" si="3"/>
        <v>2.5</v>
      </c>
    </row>
    <row r="33">
      <c r="A33" s="158" t="s">
        <v>32</v>
      </c>
      <c r="B33" s="168" t="s">
        <v>431</v>
      </c>
      <c r="C33" s="160" t="s">
        <v>428</v>
      </c>
      <c r="D33" s="160"/>
      <c r="E33" s="160"/>
      <c r="F33" s="160" t="s">
        <v>122</v>
      </c>
      <c r="G33" s="160" t="s">
        <v>379</v>
      </c>
      <c r="H33" s="175"/>
      <c r="I33" s="160"/>
      <c r="J33" s="160" t="s">
        <v>414</v>
      </c>
      <c r="K33" s="160"/>
      <c r="L33" s="160"/>
      <c r="M33" s="160" t="s">
        <v>57</v>
      </c>
      <c r="N33" s="160"/>
      <c r="O33" s="160"/>
      <c r="P33" s="160" t="s">
        <v>195</v>
      </c>
      <c r="Q33" s="161" t="str">
        <f>(BanzukeTable!A9)</f>
        <v>0-0</v>
      </c>
      <c r="R33" s="23">
        <f t="shared" si="2"/>
        <v>7</v>
      </c>
      <c r="S33" s="198" t="s">
        <v>426</v>
      </c>
      <c r="T33">
        <f>countcoloredcells(B33:P33,A81)</f>
        <v>7</v>
      </c>
      <c r="U33">
        <f>COUNTIF(MASTER!bonuspoints2,"shodai")</f>
        <v>0</v>
      </c>
      <c r="X33">
        <f t="shared" si="3"/>
        <v>-0.5</v>
      </c>
    </row>
    <row r="34">
      <c r="A34" s="177" t="s">
        <v>40</v>
      </c>
      <c r="B34" s="168" t="s">
        <v>122</v>
      </c>
      <c r="C34" s="160"/>
      <c r="D34" s="160"/>
      <c r="E34" s="160" t="s">
        <v>428</v>
      </c>
      <c r="F34" s="160" t="s">
        <v>431</v>
      </c>
      <c r="G34" s="160"/>
      <c r="H34" s="160"/>
      <c r="I34" s="160"/>
      <c r="J34" s="160" t="s">
        <v>79</v>
      </c>
      <c r="K34" s="160" t="s">
        <v>430</v>
      </c>
      <c r="L34" s="160" t="s">
        <v>32</v>
      </c>
      <c r="M34" s="160" t="s">
        <v>23</v>
      </c>
      <c r="N34" s="160"/>
      <c r="O34" s="160" t="s">
        <v>429</v>
      </c>
      <c r="P34" s="179"/>
      <c r="Q34" s="161" t="str">
        <f>(BanzukeTable!E9)</f>
        <v>0-0</v>
      </c>
      <c r="R34" s="23">
        <f t="shared" si="2"/>
        <v>8</v>
      </c>
      <c r="S34" s="23" t="s">
        <v>425</v>
      </c>
      <c r="T34">
        <f t="shared" ref="T34:T35" si="7">countcoloredcells(B34:P34,A77)</f>
        <v>8</v>
      </c>
      <c r="U34">
        <f>COUNTIF(MASTER!bonuspoints2,"daieisho")</f>
        <v>0</v>
      </c>
      <c r="X34">
        <f t="shared" si="3"/>
        <v>0.5</v>
      </c>
    </row>
    <row r="35">
      <c r="A35" s="158" t="s">
        <v>122</v>
      </c>
      <c r="B35" s="168"/>
      <c r="C35" s="160"/>
      <c r="D35" s="160"/>
      <c r="E35" s="160"/>
      <c r="F35" s="160"/>
      <c r="G35" s="160"/>
      <c r="H35" s="160" t="s">
        <v>79</v>
      </c>
      <c r="I35" s="160" t="s">
        <v>236</v>
      </c>
      <c r="J35" s="160"/>
      <c r="K35" s="160"/>
      <c r="L35" s="178"/>
      <c r="M35" s="179"/>
      <c r="N35" s="160" t="s">
        <v>163</v>
      </c>
      <c r="O35" s="160"/>
      <c r="P35" s="160" t="s">
        <v>429</v>
      </c>
      <c r="Q35" s="161" t="str">
        <f>(BanzukeTable!A10)</f>
        <v>0-0</v>
      </c>
      <c r="R35" s="23">
        <f t="shared" si="2"/>
        <v>4</v>
      </c>
      <c r="S35" s="23" t="s">
        <v>365</v>
      </c>
      <c r="T35">
        <f t="shared" si="7"/>
        <v>4</v>
      </c>
      <c r="U35">
        <f>COUNTIF(MASTER!bonuspoints2,"meisei")</f>
        <v>0</v>
      </c>
      <c r="X35">
        <f t="shared" si="3"/>
        <v>-3.5</v>
      </c>
    </row>
    <row r="36">
      <c r="A36" s="158" t="s">
        <v>146</v>
      </c>
      <c r="B36" s="168"/>
      <c r="C36" s="160" t="s">
        <v>40</v>
      </c>
      <c r="D36" s="160" t="s">
        <v>122</v>
      </c>
      <c r="E36" s="160" t="s">
        <v>79</v>
      </c>
      <c r="F36" s="160" t="s">
        <v>111</v>
      </c>
      <c r="G36" s="160" t="s">
        <v>433</v>
      </c>
      <c r="H36" s="160"/>
      <c r="I36" s="160"/>
      <c r="J36" s="160" t="s">
        <v>378</v>
      </c>
      <c r="K36" s="160"/>
      <c r="L36" s="160" t="s">
        <v>431</v>
      </c>
      <c r="M36" s="160" t="s">
        <v>203</v>
      </c>
      <c r="N36" s="160"/>
      <c r="O36" s="160"/>
      <c r="P36" s="160" t="s">
        <v>107</v>
      </c>
      <c r="Q36" s="161" t="str">
        <f>(BanzukeTable!E10)</f>
        <v>0-0</v>
      </c>
      <c r="R36" s="23">
        <f t="shared" si="2"/>
        <v>9</v>
      </c>
      <c r="S36" s="23" t="s">
        <v>425</v>
      </c>
      <c r="T36">
        <f>countcoloredcells(B36:P36,A77)</f>
        <v>9</v>
      </c>
      <c r="U36">
        <f>COUNTIF(MASTER!bonuspoints2,"ichinojo")</f>
        <v>0</v>
      </c>
      <c r="X36">
        <f t="shared" si="3"/>
        <v>1.5</v>
      </c>
    </row>
    <row r="37">
      <c r="A37" s="177" t="s">
        <v>114</v>
      </c>
      <c r="B37" s="168" t="s">
        <v>146</v>
      </c>
      <c r="C37" s="160" t="s">
        <v>122</v>
      </c>
      <c r="D37" s="160" t="s">
        <v>40</v>
      </c>
      <c r="E37" s="160"/>
      <c r="F37" s="160" t="s">
        <v>79</v>
      </c>
      <c r="G37" s="160"/>
      <c r="H37" s="160"/>
      <c r="I37" s="160"/>
      <c r="J37" s="160" t="s">
        <v>102</v>
      </c>
      <c r="K37" s="160"/>
      <c r="L37" s="160"/>
      <c r="M37" s="160" t="s">
        <v>238</v>
      </c>
      <c r="N37" s="160"/>
      <c r="O37" s="160" t="s">
        <v>378</v>
      </c>
      <c r="P37" s="175"/>
      <c r="Q37" s="161" t="str">
        <f>(BanzukeTable!A11)</f>
        <v>0-0</v>
      </c>
      <c r="R37" s="23">
        <f t="shared" si="2"/>
        <v>7</v>
      </c>
      <c r="S37" s="23" t="s">
        <v>357</v>
      </c>
      <c r="T37">
        <f>countcoloredcells(B37:P37,A80)</f>
        <v>7</v>
      </c>
      <c r="U37">
        <f>COUNTIF(MASTER!bonuspoints2,"kotoshogiku")</f>
        <v>0</v>
      </c>
      <c r="X37">
        <f t="shared" si="3"/>
        <v>-0.5</v>
      </c>
    </row>
    <row r="38">
      <c r="A38" s="158" t="s">
        <v>79</v>
      </c>
      <c r="B38" s="168"/>
      <c r="C38" s="160" t="s">
        <v>135</v>
      </c>
      <c r="D38" s="160"/>
      <c r="E38" s="160"/>
      <c r="F38" s="160"/>
      <c r="G38" s="160" t="s">
        <v>203</v>
      </c>
      <c r="H38" s="179"/>
      <c r="I38" s="160"/>
      <c r="J38" s="160"/>
      <c r="K38" s="160" t="s">
        <v>45</v>
      </c>
      <c r="L38" s="160" t="s">
        <v>138</v>
      </c>
      <c r="M38" s="160" t="s">
        <v>191</v>
      </c>
      <c r="N38" s="160"/>
      <c r="O38" s="160"/>
      <c r="P38" s="160" t="s">
        <v>199</v>
      </c>
      <c r="Q38" s="161" t="str">
        <f>(BanzukeTable!E11)</f>
        <v>0-0</v>
      </c>
      <c r="R38" s="23">
        <f t="shared" si="2"/>
        <v>6</v>
      </c>
      <c r="S38" s="23" t="s">
        <v>423</v>
      </c>
      <c r="T38">
        <f>countcoloredcells(B38:P38,A82)</f>
        <v>6</v>
      </c>
      <c r="U38">
        <f>COUNTIF(MASTER!bonuspoints2,"takarafuji")</f>
        <v>0</v>
      </c>
      <c r="X38">
        <f t="shared" si="3"/>
        <v>-1.5</v>
      </c>
    </row>
    <row r="39">
      <c r="A39" s="158" t="s">
        <v>111</v>
      </c>
      <c r="B39" s="168" t="s">
        <v>79</v>
      </c>
      <c r="C39" s="160" t="s">
        <v>62</v>
      </c>
      <c r="D39" s="160"/>
      <c r="E39" s="160" t="s">
        <v>114</v>
      </c>
      <c r="F39" s="160"/>
      <c r="G39" s="160"/>
      <c r="H39" s="160" t="s">
        <v>203</v>
      </c>
      <c r="I39" s="160" t="s">
        <v>138</v>
      </c>
      <c r="J39" s="160" t="s">
        <v>45</v>
      </c>
      <c r="K39" s="160"/>
      <c r="L39" s="160"/>
      <c r="M39" s="179"/>
      <c r="N39" s="160" t="s">
        <v>84</v>
      </c>
      <c r="O39" s="160"/>
      <c r="P39" s="178" t="s">
        <v>237</v>
      </c>
      <c r="Q39" s="161" t="str">
        <f>(BanzukeTable!A12)</f>
        <v>0-0</v>
      </c>
      <c r="R39" s="23">
        <f t="shared" si="2"/>
        <v>8</v>
      </c>
      <c r="S39" s="23" t="s">
        <v>425</v>
      </c>
      <c r="T39">
        <f>countcoloredcells(B39:P39,A77)</f>
        <v>8</v>
      </c>
      <c r="U39">
        <f>COUNTIF(MASTER!bonuspoints2,"chiyotairyu")</f>
        <v>0</v>
      </c>
      <c r="X39">
        <f t="shared" si="3"/>
        <v>0.5</v>
      </c>
    </row>
    <row r="40">
      <c r="A40" s="158" t="s">
        <v>135</v>
      </c>
      <c r="B40" s="168"/>
      <c r="C40" s="160"/>
      <c r="D40" s="160" t="s">
        <v>111</v>
      </c>
      <c r="E40" s="160"/>
      <c r="F40" s="160" t="s">
        <v>102</v>
      </c>
      <c r="G40" s="160"/>
      <c r="H40" s="160" t="s">
        <v>114</v>
      </c>
      <c r="I40" s="160" t="s">
        <v>45</v>
      </c>
      <c r="J40" s="160" t="s">
        <v>138</v>
      </c>
      <c r="K40" s="160" t="s">
        <v>199</v>
      </c>
      <c r="L40" s="160"/>
      <c r="M40" s="160" t="s">
        <v>195</v>
      </c>
      <c r="N40" s="160"/>
      <c r="O40" s="160" t="s">
        <v>90</v>
      </c>
      <c r="P40" s="179"/>
      <c r="Q40" s="161" t="str">
        <f>(BanzukeTable!E12)</f>
        <v>0-0</v>
      </c>
      <c r="R40" s="23">
        <f t="shared" si="2"/>
        <v>8</v>
      </c>
      <c r="S40" s="23" t="s">
        <v>425</v>
      </c>
      <c r="T40">
        <f>countcoloredcells(B40:P40,A77)</f>
        <v>8</v>
      </c>
      <c r="U40">
        <f>COUNTIF(MASTER!bonuspoints2,"shimanoumi")</f>
        <v>0</v>
      </c>
      <c r="X40">
        <f t="shared" si="3"/>
        <v>0.5</v>
      </c>
    </row>
    <row r="41">
      <c r="A41" s="158" t="s">
        <v>62</v>
      </c>
      <c r="B41" s="168" t="s">
        <v>135</v>
      </c>
      <c r="C41" s="160"/>
      <c r="D41" s="160" t="s">
        <v>79</v>
      </c>
      <c r="E41" s="160" t="s">
        <v>102</v>
      </c>
      <c r="F41" s="160"/>
      <c r="G41" s="160" t="s">
        <v>114</v>
      </c>
      <c r="H41" s="160" t="s">
        <v>146</v>
      </c>
      <c r="I41" s="160" t="s">
        <v>191</v>
      </c>
      <c r="J41" s="160" t="s">
        <v>237</v>
      </c>
      <c r="K41" s="160" t="s">
        <v>138</v>
      </c>
      <c r="L41" s="160"/>
      <c r="M41" s="179"/>
      <c r="N41" s="160"/>
      <c r="O41" s="160"/>
      <c r="P41" s="179"/>
      <c r="Q41" s="161" t="str">
        <f>(BanzukeTable!A13)</f>
        <v>0-0</v>
      </c>
      <c r="R41" s="23">
        <f t="shared" si="2"/>
        <v>8</v>
      </c>
      <c r="S41" s="23" t="s">
        <v>423</v>
      </c>
      <c r="T41">
        <f>countcoloredcells(B41:P41,A82)</f>
        <v>8</v>
      </c>
      <c r="U41">
        <f>COUNTIF(MASTER!bonuspoints2,"myogiryu")</f>
        <v>0</v>
      </c>
      <c r="X41">
        <f t="shared" si="3"/>
        <v>0.5</v>
      </c>
    </row>
    <row r="42">
      <c r="A42" s="158" t="s">
        <v>203</v>
      </c>
      <c r="B42" s="168" t="s">
        <v>102</v>
      </c>
      <c r="C42" s="160" t="s">
        <v>45</v>
      </c>
      <c r="D42" s="160" t="s">
        <v>138</v>
      </c>
      <c r="E42" s="160" t="s">
        <v>135</v>
      </c>
      <c r="F42" s="160" t="s">
        <v>62</v>
      </c>
      <c r="G42" s="160"/>
      <c r="H42" s="160"/>
      <c r="I42" s="160" t="s">
        <v>114</v>
      </c>
      <c r="J42" s="160" t="s">
        <v>84</v>
      </c>
      <c r="K42" s="160" t="s">
        <v>195</v>
      </c>
      <c r="L42" s="160" t="s">
        <v>157</v>
      </c>
      <c r="M42" s="179"/>
      <c r="N42" s="160" t="s">
        <v>377</v>
      </c>
      <c r="O42" s="160" t="s">
        <v>107</v>
      </c>
      <c r="P42" s="179"/>
      <c r="Q42" s="161" t="str">
        <f>(BanzukeTable!E13)</f>
        <v>0-0</v>
      </c>
      <c r="R42" s="23">
        <f t="shared" si="2"/>
        <v>11</v>
      </c>
      <c r="S42" s="198" t="s">
        <v>357</v>
      </c>
      <c r="T42">
        <f>countcoloredcells(B42:P42,A80)</f>
        <v>11</v>
      </c>
      <c r="U42">
        <f>COUNTIF(MASTER!bonuspoints2,"tomokaze")</f>
        <v>0</v>
      </c>
      <c r="X42">
        <f t="shared" si="3"/>
        <v>3.5</v>
      </c>
    </row>
    <row r="43">
      <c r="A43" s="177" t="s">
        <v>102</v>
      </c>
      <c r="B43" s="168"/>
      <c r="C43" s="160" t="s">
        <v>138</v>
      </c>
      <c r="D43" s="160"/>
      <c r="E43" s="160"/>
      <c r="F43" s="160"/>
      <c r="G43" s="160" t="s">
        <v>111</v>
      </c>
      <c r="H43" s="160" t="s">
        <v>191</v>
      </c>
      <c r="I43" s="160" t="s">
        <v>79</v>
      </c>
      <c r="J43" s="160"/>
      <c r="K43" s="160" t="s">
        <v>105</v>
      </c>
      <c r="L43" s="160" t="s">
        <v>119</v>
      </c>
      <c r="M43" s="179"/>
      <c r="N43" s="160"/>
      <c r="O43" s="160"/>
      <c r="P43" s="179"/>
      <c r="Q43" s="161" t="str">
        <f>(BanzukeTable!A14)</f>
        <v>0-0</v>
      </c>
      <c r="R43" s="23">
        <f t="shared" si="2"/>
        <v>6</v>
      </c>
      <c r="S43" s="23" t="s">
        <v>357</v>
      </c>
      <c r="T43">
        <f>countcoloredcells(B43:P43,A80)</f>
        <v>6</v>
      </c>
      <c r="U43">
        <f>COUNTIF(MASTER!bonuspoints2,"onosho")</f>
        <v>0</v>
      </c>
      <c r="X43">
        <f t="shared" si="3"/>
        <v>-1.5</v>
      </c>
    </row>
    <row r="44">
      <c r="A44" s="158" t="s">
        <v>45</v>
      </c>
      <c r="B44" s="168"/>
      <c r="C44" s="160"/>
      <c r="D44" s="160" t="s">
        <v>102</v>
      </c>
      <c r="E44" s="160"/>
      <c r="F44" s="160" t="s">
        <v>107</v>
      </c>
      <c r="G44" s="160" t="s">
        <v>195</v>
      </c>
      <c r="H44" s="160" t="s">
        <v>153</v>
      </c>
      <c r="I44" s="160"/>
      <c r="J44" s="160"/>
      <c r="K44" s="160"/>
      <c r="L44" s="160" t="s">
        <v>62</v>
      </c>
      <c r="M44" s="160" t="s">
        <v>163</v>
      </c>
      <c r="N44" s="160"/>
      <c r="O44" s="160" t="s">
        <v>238</v>
      </c>
      <c r="P44" s="160" t="s">
        <v>84</v>
      </c>
      <c r="Q44" s="161" t="str">
        <f>(BanzukeTable!E14)</f>
        <v>0-0</v>
      </c>
      <c r="R44" s="23">
        <f t="shared" si="2"/>
        <v>8</v>
      </c>
      <c r="S44" s="23" t="s">
        <v>424</v>
      </c>
      <c r="T44">
        <f>countcoloredcells(B44:P44,A79)</f>
        <v>8</v>
      </c>
      <c r="U44">
        <f>COUNTIF(MASTER!bonuspoints2,"okinoumi")</f>
        <v>0</v>
      </c>
      <c r="X44">
        <f t="shared" si="3"/>
        <v>0.5</v>
      </c>
    </row>
    <row r="45">
      <c r="A45" s="158" t="s">
        <v>138</v>
      </c>
      <c r="B45" s="168" t="s">
        <v>45</v>
      </c>
      <c r="C45" s="160"/>
      <c r="D45" s="160"/>
      <c r="E45" s="160" t="s">
        <v>107</v>
      </c>
      <c r="F45" s="160"/>
      <c r="G45" s="160" t="s">
        <v>153</v>
      </c>
      <c r="H45" s="160" t="s">
        <v>195</v>
      </c>
      <c r="I45" s="160"/>
      <c r="J45" s="160"/>
      <c r="K45" s="160"/>
      <c r="L45" s="160"/>
      <c r="M45" s="160" t="s">
        <v>100</v>
      </c>
      <c r="N45" s="160"/>
      <c r="O45" s="160" t="s">
        <v>163</v>
      </c>
      <c r="P45" s="179"/>
      <c r="Q45" s="161" t="str">
        <f>(BanzukeTable!A15)</f>
        <v>0-0</v>
      </c>
      <c r="R45" s="23">
        <f t="shared" si="2"/>
        <v>6</v>
      </c>
      <c r="S45" s="23" t="s">
        <v>423</v>
      </c>
      <c r="T45">
        <f>countcoloredcells(B45:P45,A82)</f>
        <v>6</v>
      </c>
      <c r="U45">
        <f>COUNTIF(MASTER!bonuspoints2,"shohozan")</f>
        <v>0</v>
      </c>
      <c r="X45">
        <f t="shared" si="3"/>
        <v>-1.5</v>
      </c>
    </row>
    <row r="46">
      <c r="A46" s="158" t="s">
        <v>191</v>
      </c>
      <c r="B46" s="168"/>
      <c r="C46" s="160"/>
      <c r="D46" s="160"/>
      <c r="E46" s="160" t="s">
        <v>45</v>
      </c>
      <c r="F46" s="160" t="s">
        <v>138</v>
      </c>
      <c r="G46" s="160" t="s">
        <v>238</v>
      </c>
      <c r="H46" s="160"/>
      <c r="I46" s="160"/>
      <c r="J46" s="160" t="s">
        <v>163</v>
      </c>
      <c r="K46" s="160"/>
      <c r="L46" s="160" t="s">
        <v>111</v>
      </c>
      <c r="M46" s="179"/>
      <c r="N46" s="160" t="s">
        <v>199</v>
      </c>
      <c r="O46" s="160"/>
      <c r="P46" s="179"/>
      <c r="Q46" s="161" t="str">
        <f>(BanzukeTable!E15)</f>
        <v>0-0</v>
      </c>
      <c r="R46" s="23">
        <f t="shared" si="2"/>
        <v>6</v>
      </c>
      <c r="S46" s="23" t="s">
        <v>365</v>
      </c>
      <c r="T46">
        <f t="shared" ref="T46:T47" si="8">countcoloredcells(B46:P46,A78)</f>
        <v>6</v>
      </c>
      <c r="U46">
        <f>COUNTIF(MASTER!bonuspoints2,"daishoho")</f>
        <v>0</v>
      </c>
      <c r="X46">
        <f t="shared" si="3"/>
        <v>-1.5</v>
      </c>
    </row>
    <row r="47">
      <c r="A47" s="158" t="s">
        <v>107</v>
      </c>
      <c r="B47" s="168" t="s">
        <v>191</v>
      </c>
      <c r="C47" s="160" t="s">
        <v>153</v>
      </c>
      <c r="D47" s="160"/>
      <c r="E47" s="160"/>
      <c r="F47" s="160"/>
      <c r="G47" s="160"/>
      <c r="H47" s="178" t="s">
        <v>119</v>
      </c>
      <c r="I47" s="160" t="s">
        <v>238</v>
      </c>
      <c r="J47" s="160" t="s">
        <v>199</v>
      </c>
      <c r="K47" s="160" t="s">
        <v>111</v>
      </c>
      <c r="L47" s="160" t="s">
        <v>135</v>
      </c>
      <c r="M47" s="160" t="s">
        <v>105</v>
      </c>
      <c r="N47" s="160" t="s">
        <v>100</v>
      </c>
      <c r="O47" s="160"/>
      <c r="P47" s="179"/>
      <c r="Q47" s="161" t="str">
        <f>(BanzukeTable!A16)</f>
        <v>0-0</v>
      </c>
      <c r="R47" s="23">
        <f t="shared" si="2"/>
        <v>9</v>
      </c>
      <c r="S47" s="23" t="s">
        <v>424</v>
      </c>
      <c r="T47">
        <f t="shared" si="8"/>
        <v>9</v>
      </c>
      <c r="U47">
        <f>COUNTIF(MASTER!bonuspoints2,"kotoeko")</f>
        <v>0</v>
      </c>
      <c r="X47">
        <f t="shared" si="3"/>
        <v>1.5</v>
      </c>
    </row>
    <row r="48">
      <c r="A48" s="158" t="s">
        <v>195</v>
      </c>
      <c r="B48" s="168" t="s">
        <v>153</v>
      </c>
      <c r="C48" s="160" t="s">
        <v>191</v>
      </c>
      <c r="D48" s="160" t="s">
        <v>107</v>
      </c>
      <c r="E48" s="160"/>
      <c r="F48" s="160" t="s">
        <v>84</v>
      </c>
      <c r="G48" s="175"/>
      <c r="H48" s="160"/>
      <c r="I48" s="160"/>
      <c r="J48" s="160"/>
      <c r="K48" s="160"/>
      <c r="L48" s="160"/>
      <c r="M48" s="179"/>
      <c r="N48" s="160"/>
      <c r="O48" s="160"/>
      <c r="P48" s="179"/>
      <c r="Q48" s="161" t="str">
        <f>(BanzukeTable!E16)</f>
        <v>0-0</v>
      </c>
      <c r="R48" s="23">
        <f t="shared" si="2"/>
        <v>4</v>
      </c>
      <c r="S48" s="23" t="s">
        <v>424</v>
      </c>
      <c r="T48">
        <f>countcoloredcells(B48:P48,A79)</f>
        <v>4</v>
      </c>
      <c r="U48">
        <f>COUNTIF(MASTER!bonuspoints2,"takagenji")</f>
        <v>0</v>
      </c>
      <c r="X48">
        <f t="shared" si="3"/>
        <v>-3.5</v>
      </c>
    </row>
    <row r="49">
      <c r="A49" s="177" t="s">
        <v>246</v>
      </c>
      <c r="B49" s="168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79"/>
      <c r="N49" s="160"/>
      <c r="O49" s="160"/>
      <c r="P49" s="179"/>
      <c r="Q49" s="161" t="str">
        <f>(BanzukeTable!A17)</f>
        <v>0-0</v>
      </c>
      <c r="R49" s="23">
        <f t="shared" si="2"/>
        <v>0</v>
      </c>
      <c r="T49">
        <f t="shared" ref="T49:T50" si="9">countcoloredcells(B49:P49,A77)</f>
        <v>0</v>
      </c>
      <c r="U49">
        <f>COUNTIF(MASTER!bonuspoints2,"yoshikaze")</f>
        <v>0</v>
      </c>
      <c r="X49">
        <f t="shared" si="3"/>
        <v>-7.5</v>
      </c>
    </row>
    <row r="50">
      <c r="A50" s="158" t="s">
        <v>153</v>
      </c>
      <c r="B50" s="168"/>
      <c r="C50" s="160"/>
      <c r="D50" s="160" t="s">
        <v>191</v>
      </c>
      <c r="E50" s="160" t="s">
        <v>84</v>
      </c>
      <c r="F50" s="160"/>
      <c r="G50" s="160"/>
      <c r="H50" s="160"/>
      <c r="I50" s="160" t="s">
        <v>119</v>
      </c>
      <c r="J50" s="160"/>
      <c r="K50" s="160"/>
      <c r="L50" s="160"/>
      <c r="M50" s="160" t="s">
        <v>199</v>
      </c>
      <c r="N50" s="160" t="s">
        <v>238</v>
      </c>
      <c r="O50" s="160"/>
      <c r="P50" s="160" t="s">
        <v>163</v>
      </c>
      <c r="Q50" s="161" t="str">
        <f>(BanzukeTable!E17)</f>
        <v>0-0</v>
      </c>
      <c r="R50" s="23">
        <f t="shared" si="2"/>
        <v>6</v>
      </c>
      <c r="S50" s="23" t="s">
        <v>365</v>
      </c>
      <c r="T50">
        <f t="shared" si="9"/>
        <v>6</v>
      </c>
      <c r="U50">
        <f>COUNTIF(MASTER!bonuspoints2,"nishikigi")</f>
        <v>0</v>
      </c>
      <c r="X50">
        <f t="shared" si="3"/>
        <v>-1.5</v>
      </c>
    </row>
    <row r="51">
      <c r="A51" s="158" t="s">
        <v>238</v>
      </c>
      <c r="B51" s="168"/>
      <c r="C51" s="160" t="s">
        <v>163</v>
      </c>
      <c r="D51" s="160"/>
      <c r="E51" s="160" t="s">
        <v>195</v>
      </c>
      <c r="F51" s="160"/>
      <c r="G51" s="160"/>
      <c r="H51" s="160"/>
      <c r="I51" s="160"/>
      <c r="J51" s="160"/>
      <c r="K51" s="160" t="s">
        <v>119</v>
      </c>
      <c r="L51" s="160" t="s">
        <v>237</v>
      </c>
      <c r="M51" s="179"/>
      <c r="N51" s="160"/>
      <c r="O51" s="160"/>
      <c r="P51" s="160" t="s">
        <v>138</v>
      </c>
      <c r="Q51" s="161" t="str">
        <f>(BanzukeTable!A18)</f>
        <v>0-0</v>
      </c>
      <c r="R51" s="23">
        <f t="shared" si="2"/>
        <v>5</v>
      </c>
      <c r="S51" s="23" t="s">
        <v>426</v>
      </c>
      <c r="T51">
        <f>countcoloredcells(B51:P51,A81)</f>
        <v>5</v>
      </c>
      <c r="U51">
        <f>COUNTIF(MASTER!bonuspoints2,"tochiozan")</f>
        <v>0</v>
      </c>
      <c r="X51">
        <f t="shared" si="3"/>
        <v>-2.5</v>
      </c>
    </row>
    <row r="52">
      <c r="A52" s="158" t="s">
        <v>84</v>
      </c>
      <c r="B52" s="168" t="s">
        <v>238</v>
      </c>
      <c r="C52" s="160"/>
      <c r="D52" s="160" t="s">
        <v>163</v>
      </c>
      <c r="E52" s="160"/>
      <c r="F52" s="160"/>
      <c r="G52" s="160" t="s">
        <v>107</v>
      </c>
      <c r="H52" s="160" t="s">
        <v>100</v>
      </c>
      <c r="I52" s="160" t="s">
        <v>65</v>
      </c>
      <c r="J52" s="160"/>
      <c r="K52" s="160"/>
      <c r="L52" s="160" t="s">
        <v>199</v>
      </c>
      <c r="M52" s="179"/>
      <c r="N52" s="160"/>
      <c r="O52" s="160" t="s">
        <v>102</v>
      </c>
      <c r="P52" s="179"/>
      <c r="Q52" s="161" t="str">
        <f>(BanzukeTable!E18)</f>
        <v>0-0</v>
      </c>
      <c r="R52" s="23">
        <f t="shared" si="2"/>
        <v>2</v>
      </c>
      <c r="S52" s="23" t="s">
        <v>357</v>
      </c>
      <c r="T52">
        <f>countcoloredcells(B52:P52,A80)</f>
        <v>2</v>
      </c>
      <c r="U52">
        <f>COUNTIF(MASTER!bonuspoints2,"kagayaki")</f>
        <v>0</v>
      </c>
      <c r="X52">
        <f t="shared" si="3"/>
        <v>-5.5</v>
      </c>
    </row>
    <row r="53">
      <c r="A53" s="158" t="s">
        <v>163</v>
      </c>
      <c r="B53" s="168" t="s">
        <v>105</v>
      </c>
      <c r="C53" s="160"/>
      <c r="D53" s="160"/>
      <c r="E53" s="160"/>
      <c r="F53" s="160" t="s">
        <v>119</v>
      </c>
      <c r="G53" s="160" t="s">
        <v>237</v>
      </c>
      <c r="H53" s="160"/>
      <c r="I53" s="160" t="s">
        <v>100</v>
      </c>
      <c r="J53" s="160"/>
      <c r="K53" s="160"/>
      <c r="L53" s="160" t="s">
        <v>195</v>
      </c>
      <c r="M53" s="179"/>
      <c r="N53" s="160"/>
      <c r="O53" s="160"/>
      <c r="P53" s="179"/>
      <c r="Q53" s="161" t="str">
        <f>(BanzukeTable!A19)</f>
        <v>0-0</v>
      </c>
      <c r="R53" s="23">
        <f t="shared" si="2"/>
        <v>5</v>
      </c>
      <c r="S53" s="198" t="s">
        <v>424</v>
      </c>
      <c r="T53">
        <f>countcoloredcells(B53:P53,A79)</f>
        <v>5</v>
      </c>
      <c r="U53">
        <f>COUNTIF(MASTER!bonuspoints2,"chiyomaru")</f>
        <v>0</v>
      </c>
      <c r="X53">
        <f t="shared" si="3"/>
        <v>-2.5</v>
      </c>
    </row>
    <row r="54">
      <c r="A54" s="158" t="s">
        <v>105</v>
      </c>
      <c r="B54" s="168"/>
      <c r="C54" s="160" t="s">
        <v>84</v>
      </c>
      <c r="D54" s="160" t="s">
        <v>238</v>
      </c>
      <c r="E54" s="160"/>
      <c r="F54" s="160" t="s">
        <v>153</v>
      </c>
      <c r="G54" s="160" t="s">
        <v>65</v>
      </c>
      <c r="H54" s="160"/>
      <c r="I54" s="160" t="s">
        <v>199</v>
      </c>
      <c r="J54" s="160" t="s">
        <v>119</v>
      </c>
      <c r="K54" s="160"/>
      <c r="L54" s="160" t="s">
        <v>100</v>
      </c>
      <c r="M54" s="179"/>
      <c r="N54" s="160" t="s">
        <v>195</v>
      </c>
      <c r="O54" s="160" t="s">
        <v>191</v>
      </c>
      <c r="P54" s="179"/>
      <c r="Q54" s="161" t="str">
        <f>(BanzukeTable!E19)</f>
        <v>0-0</v>
      </c>
      <c r="R54" s="23">
        <f t="shared" si="2"/>
        <v>9</v>
      </c>
      <c r="S54" s="23" t="s">
        <v>426</v>
      </c>
      <c r="T54">
        <f>countcoloredcells(B54:P54,A81)</f>
        <v>9</v>
      </c>
      <c r="U54">
        <f>COUNTIF(MASTER!bonuspoints2,"sadanoumi")</f>
        <v>0</v>
      </c>
      <c r="V54">
        <f>COUNTIF(KIMARITE!B37:P37,"JW")</f>
        <v>0</v>
      </c>
      <c r="W54">
        <f>COUNTIF(KIMARITE!B37:P37,"Jl")</f>
        <v>0</v>
      </c>
      <c r="X54">
        <f t="shared" si="3"/>
        <v>1.5</v>
      </c>
    </row>
    <row r="55">
      <c r="A55" s="158" t="s">
        <v>237</v>
      </c>
      <c r="B55" s="168"/>
      <c r="C55" s="160"/>
      <c r="D55" s="160"/>
      <c r="E55" s="160" t="s">
        <v>119</v>
      </c>
      <c r="F55" s="160"/>
      <c r="G55" s="160"/>
      <c r="H55" s="160" t="s">
        <v>105</v>
      </c>
      <c r="I55" s="160" t="s">
        <v>195</v>
      </c>
      <c r="J55" s="160"/>
      <c r="K55" s="160" t="s">
        <v>84</v>
      </c>
      <c r="L55" s="160"/>
      <c r="M55" s="160" t="s">
        <v>102</v>
      </c>
      <c r="N55" s="160" t="s">
        <v>138</v>
      </c>
      <c r="O55" s="160" t="s">
        <v>153</v>
      </c>
      <c r="P55" s="179"/>
      <c r="Q55" s="161" t="str">
        <f>(BanzukeTable!A20)</f>
        <v>0-0</v>
      </c>
      <c r="R55" s="23">
        <f t="shared" si="2"/>
        <v>3</v>
      </c>
      <c r="S55" s="23" t="s">
        <v>365</v>
      </c>
      <c r="T55">
        <f t="shared" ref="T55:T56" si="10">countcoloredcells(B55:P55,A78)</f>
        <v>3</v>
      </c>
      <c r="V55">
        <f>COUNTIF(KIMARITE!B38:P38,"JW")</f>
        <v>0</v>
      </c>
      <c r="W55">
        <f>COUNTIF(KIMARITE!B38:P38,"Jl")</f>
        <v>0</v>
      </c>
      <c r="X55">
        <f t="shared" si="3"/>
        <v>-4.5</v>
      </c>
    </row>
    <row r="56">
      <c r="A56" s="181" t="s">
        <v>100</v>
      </c>
      <c r="B56" s="168" t="s">
        <v>237</v>
      </c>
      <c r="C56" s="160" t="s">
        <v>119</v>
      </c>
      <c r="D56" s="160" t="s">
        <v>157</v>
      </c>
      <c r="E56" s="160"/>
      <c r="F56" s="160" t="s">
        <v>238</v>
      </c>
      <c r="G56" s="160" t="s">
        <v>199</v>
      </c>
      <c r="H56" s="160"/>
      <c r="I56" s="160"/>
      <c r="J56" s="178" t="s">
        <v>195</v>
      </c>
      <c r="K56" s="160" t="s">
        <v>153</v>
      </c>
      <c r="L56" s="160"/>
      <c r="M56" s="179"/>
      <c r="N56" s="160"/>
      <c r="O56" s="160" t="s">
        <v>62</v>
      </c>
      <c r="P56" s="160" t="s">
        <v>191</v>
      </c>
      <c r="Q56" s="161" t="str">
        <f>(BanzukeTable!E20)</f>
        <v>0-0</v>
      </c>
      <c r="R56" s="23">
        <f t="shared" si="2"/>
        <v>9</v>
      </c>
      <c r="S56" s="23" t="s">
        <v>424</v>
      </c>
      <c r="T56">
        <f t="shared" si="10"/>
        <v>9</v>
      </c>
      <c r="U56">
        <f>COUNTIF(MASTER!bonuspoints2,"enho")</f>
        <v>0</v>
      </c>
      <c r="V56">
        <f>COUNTIF(KIMARITE!B39:P39,"JW")</f>
        <v>0</v>
      </c>
      <c r="W56">
        <f>COUNTIF(KIMARITE!B39:P39,"Jl")</f>
        <v>0</v>
      </c>
      <c r="X56">
        <f t="shared" si="3"/>
        <v>1.5</v>
      </c>
    </row>
    <row r="57">
      <c r="A57" s="158" t="s">
        <v>199</v>
      </c>
      <c r="B57" s="168"/>
      <c r="C57" s="160"/>
      <c r="D57" s="160" t="s">
        <v>237</v>
      </c>
      <c r="E57" s="160" t="s">
        <v>163</v>
      </c>
      <c r="F57" s="160"/>
      <c r="G57" s="160"/>
      <c r="H57" s="160" t="s">
        <v>238</v>
      </c>
      <c r="I57" s="160"/>
      <c r="J57" s="160"/>
      <c r="K57" s="160"/>
      <c r="L57" s="160"/>
      <c r="M57" s="175"/>
      <c r="N57" s="160"/>
      <c r="O57" s="160" t="s">
        <v>195</v>
      </c>
      <c r="P57" s="179"/>
      <c r="Q57" s="161" t="str">
        <f>(BanzukeTable!A21)</f>
        <v>0-0</v>
      </c>
      <c r="R57" s="23">
        <f t="shared" si="2"/>
        <v>4</v>
      </c>
      <c r="S57" s="23" t="s">
        <v>425</v>
      </c>
      <c r="T57">
        <f t="shared" ref="T57:T60" si="11">countcoloredcells(B57:P57,A77)</f>
        <v>4</v>
      </c>
      <c r="V57">
        <f>COUNTIF(KIMARITE!B40:P40,"JW")</f>
        <v>0</v>
      </c>
      <c r="W57">
        <f>COUNTIF(KIMARITE!B40:P40,"Jl")</f>
        <v>0</v>
      </c>
      <c r="X57">
        <f t="shared" si="3"/>
        <v>-3.5</v>
      </c>
    </row>
    <row r="58">
      <c r="A58" s="158" t="s">
        <v>119</v>
      </c>
      <c r="B58" s="168" t="s">
        <v>199</v>
      </c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79"/>
      <c r="N58" s="160"/>
      <c r="O58" s="160"/>
      <c r="P58" s="179"/>
      <c r="Q58" s="161" t="str">
        <f>(BanzukeTable!E21)</f>
        <v>0-0</v>
      </c>
      <c r="R58" s="23">
        <f t="shared" si="2"/>
        <v>1</v>
      </c>
      <c r="S58" s="23" t="s">
        <v>365</v>
      </c>
      <c r="T58">
        <f t="shared" si="11"/>
        <v>1</v>
      </c>
      <c r="V58">
        <f>COUNTIF(KIMARITE!B41:P41,"JW")</f>
        <v>0</v>
      </c>
      <c r="W58">
        <f>COUNTIF(KIMARITE!B41:P41,"Jl")</f>
        <v>0</v>
      </c>
      <c r="X58">
        <f t="shared" si="3"/>
        <v>-6.5</v>
      </c>
    </row>
    <row r="59">
      <c r="A59" s="177" t="s">
        <v>157</v>
      </c>
      <c r="B59" s="168"/>
      <c r="C59" s="178" t="s">
        <v>199</v>
      </c>
      <c r="D59" s="175"/>
      <c r="E59" s="160" t="s">
        <v>105</v>
      </c>
      <c r="F59" s="160" t="s">
        <v>237</v>
      </c>
      <c r="G59" s="160" t="s">
        <v>119</v>
      </c>
      <c r="H59" s="160" t="s">
        <v>163</v>
      </c>
      <c r="I59" s="175"/>
      <c r="J59" s="160" t="s">
        <v>153</v>
      </c>
      <c r="K59" s="160" t="s">
        <v>191</v>
      </c>
      <c r="L59" s="160"/>
      <c r="M59" s="160" t="s">
        <v>84</v>
      </c>
      <c r="N59" s="160" t="s">
        <v>45</v>
      </c>
      <c r="O59" s="160" t="s">
        <v>122</v>
      </c>
      <c r="P59" s="160" t="s">
        <v>62</v>
      </c>
      <c r="Q59" s="161" t="str">
        <f>(BanzukeTable!A22)</f>
        <v>0-0</v>
      </c>
      <c r="R59" s="23">
        <f t="shared" si="2"/>
        <v>4</v>
      </c>
      <c r="S59" s="23" t="s">
        <v>424</v>
      </c>
      <c r="T59">
        <f t="shared" si="11"/>
        <v>4</v>
      </c>
      <c r="V59">
        <f>COUNTIF(KIMARITE!B42:P42,"JW")</f>
        <v>0</v>
      </c>
      <c r="W59">
        <f>COUNTIF(KIMARITE!B42:P42,"Jl")</f>
        <v>0</v>
      </c>
      <c r="X59">
        <f t="shared" si="3"/>
        <v>-3.5</v>
      </c>
    </row>
    <row r="60">
      <c r="A60" s="158" t="s">
        <v>65</v>
      </c>
      <c r="B60" s="185" t="s">
        <v>157</v>
      </c>
      <c r="C60" s="160" t="s">
        <v>237</v>
      </c>
      <c r="D60" s="160" t="s">
        <v>119</v>
      </c>
      <c r="E60" s="160" t="s">
        <v>100</v>
      </c>
      <c r="F60" s="356" t="s">
        <v>199</v>
      </c>
      <c r="G60" s="160"/>
      <c r="H60" s="160"/>
      <c r="I60" s="160"/>
      <c r="J60" s="160" t="s">
        <v>238</v>
      </c>
      <c r="K60" s="160" t="s">
        <v>163</v>
      </c>
      <c r="L60" s="160" t="s">
        <v>153</v>
      </c>
      <c r="M60" s="160" t="s">
        <v>62</v>
      </c>
      <c r="N60" s="160" t="s">
        <v>102</v>
      </c>
      <c r="O60" s="160"/>
      <c r="P60" s="160" t="s">
        <v>203</v>
      </c>
      <c r="Q60" s="161" t="str">
        <f>(BanzukeTable!E22)</f>
        <v>0-0</v>
      </c>
      <c r="R60" s="23">
        <f t="shared" si="2"/>
        <v>6</v>
      </c>
      <c r="S60" s="23" t="s">
        <v>357</v>
      </c>
      <c r="T60">
        <f t="shared" si="11"/>
        <v>6</v>
      </c>
      <c r="U60" s="234">
        <f>COUNTIF(MASTER!bonuspoints2,"terutsuyoshi")</f>
        <v>0</v>
      </c>
      <c r="V60">
        <f>COUNTIF(KIMARITE!B43:P43,"JW")</f>
        <v>0</v>
      </c>
      <c r="W60">
        <f>COUNTIF(KIMARITE!B43:P43,"Jl")</f>
        <v>0</v>
      </c>
      <c r="X60">
        <f t="shared" si="3"/>
        <v>-1.5</v>
      </c>
    </row>
    <row r="61">
      <c r="A61" s="187" t="s">
        <v>341</v>
      </c>
      <c r="B61" s="357" t="s">
        <v>32</v>
      </c>
      <c r="C61" s="358" t="s">
        <v>88</v>
      </c>
      <c r="D61" s="358" t="s">
        <v>88</v>
      </c>
      <c r="E61" s="359" t="s">
        <v>57</v>
      </c>
      <c r="F61" s="357" t="s">
        <v>23</v>
      </c>
      <c r="G61" s="357" t="s">
        <v>32</v>
      </c>
      <c r="H61" s="358" t="s">
        <v>88</v>
      </c>
      <c r="I61" s="360"/>
      <c r="J61" s="358" t="s">
        <v>131</v>
      </c>
      <c r="K61" s="359" t="s">
        <v>57</v>
      </c>
      <c r="L61" s="357" t="s">
        <v>90</v>
      </c>
      <c r="M61" s="357" t="s">
        <v>90</v>
      </c>
      <c r="N61" s="359" t="s">
        <v>203</v>
      </c>
      <c r="O61" s="361" t="s">
        <v>40</v>
      </c>
      <c r="P61" s="362" t="s">
        <v>122</v>
      </c>
      <c r="Q61" s="363" t="s">
        <v>19</v>
      </c>
      <c r="R61" s="364" t="s">
        <v>203</v>
      </c>
      <c r="S61" s="365" t="s">
        <v>48</v>
      </c>
      <c r="T61" s="364" t="s">
        <v>65</v>
      </c>
      <c r="U61" s="366" t="s">
        <v>100</v>
      </c>
      <c r="V61" s="192"/>
      <c r="W61" s="192"/>
      <c r="X61" s="192"/>
      <c r="Y61" s="192"/>
      <c r="Z61" s="192"/>
      <c r="AA61" s="192"/>
      <c r="AB61" s="192"/>
      <c r="AC61" s="192"/>
    </row>
    <row r="62">
      <c r="A62" s="194"/>
      <c r="B62" s="367" t="s">
        <v>32</v>
      </c>
      <c r="C62" s="368" t="s">
        <v>88</v>
      </c>
      <c r="D62" s="368" t="s">
        <v>88</v>
      </c>
      <c r="E62" s="369" t="s">
        <v>57</v>
      </c>
      <c r="F62" s="370" t="s">
        <v>23</v>
      </c>
      <c r="G62" s="367" t="s">
        <v>32</v>
      </c>
      <c r="H62" s="369" t="s">
        <v>57</v>
      </c>
      <c r="I62" s="371"/>
      <c r="J62" s="367" t="s">
        <v>23</v>
      </c>
      <c r="K62" s="372" t="s">
        <v>40</v>
      </c>
      <c r="L62" s="373" t="s">
        <v>48</v>
      </c>
      <c r="M62" s="373" t="s">
        <v>48</v>
      </c>
      <c r="N62" s="369" t="s">
        <v>203</v>
      </c>
      <c r="O62" s="369" t="s">
        <v>114</v>
      </c>
      <c r="P62" s="371"/>
      <c r="Q62" s="374" t="s">
        <v>19</v>
      </c>
      <c r="R62" s="375" t="s">
        <v>203</v>
      </c>
      <c r="S62" s="376" t="s">
        <v>48</v>
      </c>
      <c r="T62" s="375" t="s">
        <v>65</v>
      </c>
      <c r="U62" s="377" t="s">
        <v>100</v>
      </c>
      <c r="V62" s="198" t="s">
        <v>348</v>
      </c>
      <c r="W62" s="193"/>
      <c r="X62" s="193"/>
      <c r="Y62" s="193"/>
      <c r="Z62" s="193"/>
      <c r="AA62" s="193"/>
      <c r="AB62" s="193"/>
      <c r="AC62" s="193"/>
    </row>
    <row r="63">
      <c r="A63" s="194"/>
      <c r="B63" s="367" t="s">
        <v>90</v>
      </c>
      <c r="C63" s="367" t="s">
        <v>90</v>
      </c>
      <c r="D63" s="371"/>
      <c r="E63" s="369" t="s">
        <v>57</v>
      </c>
      <c r="F63" s="367" t="s">
        <v>23</v>
      </c>
      <c r="G63" s="367" t="s">
        <v>32</v>
      </c>
      <c r="H63" s="373" t="s">
        <v>48</v>
      </c>
      <c r="I63" s="371"/>
      <c r="J63" s="369" t="s">
        <v>57</v>
      </c>
      <c r="K63" s="372" t="s">
        <v>40</v>
      </c>
      <c r="L63" s="372" t="s">
        <v>146</v>
      </c>
      <c r="M63" s="371"/>
      <c r="N63" s="369" t="s">
        <v>203</v>
      </c>
      <c r="O63" s="369" t="s">
        <v>114</v>
      </c>
      <c r="P63" s="371"/>
      <c r="Q63" s="374" t="s">
        <v>19</v>
      </c>
      <c r="R63" s="375" t="s">
        <v>203</v>
      </c>
      <c r="S63" s="376" t="s">
        <v>48</v>
      </c>
      <c r="T63" s="375" t="s">
        <v>65</v>
      </c>
      <c r="U63" s="377" t="s">
        <v>100</v>
      </c>
      <c r="V63" s="198" t="s">
        <v>349</v>
      </c>
      <c r="W63" s="193"/>
      <c r="X63" s="193"/>
      <c r="Y63" s="193"/>
      <c r="Z63" s="193"/>
      <c r="AA63" s="193"/>
      <c r="AB63" s="193"/>
      <c r="AC63" s="193"/>
    </row>
    <row r="64">
      <c r="A64" s="194"/>
      <c r="B64" s="367" t="s">
        <v>90</v>
      </c>
      <c r="C64" s="367" t="s">
        <v>90</v>
      </c>
      <c r="D64" s="378"/>
      <c r="E64" s="373" t="s">
        <v>48</v>
      </c>
      <c r="F64" s="379" t="s">
        <v>57</v>
      </c>
      <c r="G64" s="371"/>
      <c r="H64" s="373" t="s">
        <v>48</v>
      </c>
      <c r="I64" s="378"/>
      <c r="J64" s="369" t="s">
        <v>57</v>
      </c>
      <c r="K64" s="371"/>
      <c r="L64" s="372" t="s">
        <v>146</v>
      </c>
      <c r="M64" s="371"/>
      <c r="N64" s="369" t="s">
        <v>203</v>
      </c>
      <c r="O64" s="369" t="s">
        <v>114</v>
      </c>
      <c r="P64" s="371"/>
      <c r="Q64" s="374" t="s">
        <v>19</v>
      </c>
      <c r="R64" s="375" t="s">
        <v>203</v>
      </c>
      <c r="S64" s="376" t="s">
        <v>48</v>
      </c>
      <c r="T64" s="375" t="s">
        <v>65</v>
      </c>
      <c r="U64" s="377" t="s">
        <v>100</v>
      </c>
      <c r="V64" s="193">
        <f>countcoloredcells(dewanoumi!lastday,W64)</f>
        <v>0</v>
      </c>
      <c r="W64" s="380" t="s">
        <v>417</v>
      </c>
      <c r="X64" s="193"/>
      <c r="Y64" s="193"/>
      <c r="Z64" s="193"/>
      <c r="AA64" s="193"/>
      <c r="AB64" s="193"/>
      <c r="AC64" s="193"/>
    </row>
    <row r="65">
      <c r="A65" s="194"/>
      <c r="B65" s="373" t="s">
        <v>48</v>
      </c>
      <c r="C65" s="367" t="s">
        <v>32</v>
      </c>
      <c r="D65" s="378"/>
      <c r="E65" s="373" t="s">
        <v>48</v>
      </c>
      <c r="F65" s="379" t="s">
        <v>57</v>
      </c>
      <c r="G65" s="371"/>
      <c r="H65" s="373" t="s">
        <v>48</v>
      </c>
      <c r="I65" s="378"/>
      <c r="J65" s="367" t="s">
        <v>32</v>
      </c>
      <c r="K65" s="381"/>
      <c r="L65" s="378"/>
      <c r="M65" s="371"/>
      <c r="N65" s="381"/>
      <c r="O65" s="379" t="s">
        <v>114</v>
      </c>
      <c r="P65" s="371"/>
      <c r="Q65" s="374" t="s">
        <v>19</v>
      </c>
      <c r="R65" s="375" t="s">
        <v>203</v>
      </c>
      <c r="S65" s="376" t="s">
        <v>48</v>
      </c>
      <c r="T65" s="375" t="s">
        <v>65</v>
      </c>
      <c r="U65" s="377" t="s">
        <v>100</v>
      </c>
      <c r="V65" s="193">
        <f>countcoloredcells(dewanoumi!lastday,W65)</f>
        <v>5</v>
      </c>
      <c r="W65" s="281" t="s">
        <v>418</v>
      </c>
      <c r="X65" s="193"/>
      <c r="Y65" s="193"/>
      <c r="Z65" s="193"/>
      <c r="AA65" s="193"/>
      <c r="AB65" s="193"/>
      <c r="AC65" s="193"/>
    </row>
    <row r="66">
      <c r="A66" s="194"/>
      <c r="B66" s="373" t="s">
        <v>48</v>
      </c>
      <c r="C66" s="370" t="s">
        <v>32</v>
      </c>
      <c r="D66" s="378"/>
      <c r="E66" s="372" t="s">
        <v>40</v>
      </c>
      <c r="F66" s="382" t="s">
        <v>40</v>
      </c>
      <c r="G66" s="371"/>
      <c r="H66" s="371"/>
      <c r="I66" s="378"/>
      <c r="J66" s="367" t="s">
        <v>32</v>
      </c>
      <c r="K66" s="381"/>
      <c r="L66" s="378"/>
      <c r="M66" s="371"/>
      <c r="N66" s="381"/>
      <c r="O66" s="378"/>
      <c r="P66" s="378"/>
      <c r="Q66" s="195"/>
      <c r="R66" s="196"/>
      <c r="S66" s="196"/>
      <c r="T66" s="196"/>
      <c r="U66" s="196"/>
      <c r="V66" s="193">
        <f>countcoloredcells(dewanoumi!lastday,W66)</f>
        <v>5</v>
      </c>
      <c r="W66" s="283" t="s">
        <v>419</v>
      </c>
      <c r="X66" s="193"/>
      <c r="Y66" s="193"/>
      <c r="Z66" s="193"/>
      <c r="AA66" s="193"/>
      <c r="AB66" s="193"/>
      <c r="AC66" s="193"/>
    </row>
    <row r="67">
      <c r="A67" s="194"/>
      <c r="B67" s="373" t="s">
        <v>48</v>
      </c>
      <c r="C67" s="370" t="s">
        <v>32</v>
      </c>
      <c r="D67" s="378"/>
      <c r="E67" s="372" t="s">
        <v>40</v>
      </c>
      <c r="F67" s="382" t="s">
        <v>40</v>
      </c>
      <c r="G67" s="371"/>
      <c r="H67" s="383"/>
      <c r="I67" s="378"/>
      <c r="J67" s="367" t="s">
        <v>32</v>
      </c>
      <c r="K67" s="381"/>
      <c r="L67" s="378"/>
      <c r="M67" s="383"/>
      <c r="N67" s="381"/>
      <c r="O67" s="378"/>
      <c r="P67" s="381"/>
      <c r="Q67" s="195"/>
      <c r="R67" s="196"/>
      <c r="S67" s="196"/>
      <c r="T67" s="196"/>
      <c r="U67" s="196"/>
      <c r="V67" s="193">
        <f>countcoloredcells(dewanoumi!lastday,W67)</f>
        <v>10</v>
      </c>
      <c r="W67" s="284" t="s">
        <v>397</v>
      </c>
      <c r="X67" s="193"/>
      <c r="Y67" s="193"/>
      <c r="Z67" s="193"/>
      <c r="AA67" s="193"/>
      <c r="AB67" s="193"/>
      <c r="AC67" s="193"/>
    </row>
    <row r="68">
      <c r="A68" s="194"/>
      <c r="B68" s="367" t="s">
        <v>23</v>
      </c>
      <c r="C68" s="378"/>
      <c r="D68" s="378"/>
      <c r="E68" s="372" t="s">
        <v>40</v>
      </c>
      <c r="F68" s="378"/>
      <c r="G68" s="383"/>
      <c r="H68" s="383"/>
      <c r="I68" s="378"/>
      <c r="J68" s="372" t="s">
        <v>146</v>
      </c>
      <c r="K68" s="381"/>
      <c r="L68" s="378"/>
      <c r="M68" s="383"/>
      <c r="N68" s="381"/>
      <c r="O68" s="378"/>
      <c r="P68" s="381"/>
      <c r="Q68" s="195"/>
      <c r="R68" s="196"/>
      <c r="S68" s="196"/>
      <c r="T68" s="196"/>
      <c r="U68" s="196"/>
      <c r="V68" s="193">
        <f>countcoloredcells(dewanoumi!lastday,W68)</f>
        <v>0</v>
      </c>
      <c r="W68" s="285" t="s">
        <v>420</v>
      </c>
      <c r="X68" s="193"/>
      <c r="Y68" s="193"/>
      <c r="Z68" s="193"/>
      <c r="AA68" s="193"/>
      <c r="AB68" s="193"/>
      <c r="AC68" s="193"/>
    </row>
    <row r="69">
      <c r="A69" s="194"/>
      <c r="B69" s="367" t="s">
        <v>23</v>
      </c>
      <c r="C69" s="378"/>
      <c r="D69" s="378"/>
      <c r="E69" s="383"/>
      <c r="F69" s="378"/>
      <c r="G69" s="383"/>
      <c r="H69" s="383"/>
      <c r="I69" s="381"/>
      <c r="J69" s="372" t="s">
        <v>146</v>
      </c>
      <c r="K69" s="381"/>
      <c r="L69" s="378"/>
      <c r="M69" s="383"/>
      <c r="N69" s="381"/>
      <c r="O69" s="378"/>
      <c r="P69" s="381"/>
      <c r="Q69" s="195"/>
      <c r="R69" s="196"/>
      <c r="S69" s="196"/>
      <c r="T69" s="196"/>
      <c r="U69" s="196"/>
      <c r="V69" s="193">
        <f>countcoloredcells(dewanoumi!lastday,W69)</f>
        <v>5</v>
      </c>
      <c r="W69" s="286" t="str">
        <f t="shared" ref="W69:W70" si="12">A82</f>
        <v>Slap Yak</v>
      </c>
      <c r="X69" s="193"/>
      <c r="Y69" s="193"/>
      <c r="Z69" s="193"/>
      <c r="AA69" s="193"/>
      <c r="AB69" s="193"/>
      <c r="AC69" s="193"/>
    </row>
    <row r="70">
      <c r="A70" s="194"/>
      <c r="B70" s="367" t="s">
        <v>23</v>
      </c>
      <c r="C70" s="378"/>
      <c r="D70" s="378"/>
      <c r="E70" s="381"/>
      <c r="F70" s="378"/>
      <c r="G70" s="383"/>
      <c r="H70" s="383"/>
      <c r="I70" s="381"/>
      <c r="J70" s="372" t="s">
        <v>146</v>
      </c>
      <c r="K70" s="381"/>
      <c r="L70" s="378"/>
      <c r="M70" s="383"/>
      <c r="N70" s="381"/>
      <c r="O70" s="378"/>
      <c r="P70" s="381"/>
      <c r="Q70" s="195"/>
      <c r="R70" s="196"/>
      <c r="S70" s="196"/>
      <c r="T70" s="196"/>
      <c r="U70" s="196"/>
      <c r="V70" s="193">
        <f>countcoloredcells(dewanoumi!lastday,W70)</f>
        <v>0</v>
      </c>
      <c r="W70" s="287" t="str">
        <f t="shared" si="12"/>
        <v/>
      </c>
      <c r="X70" s="193"/>
      <c r="Y70" s="193"/>
      <c r="Z70" s="193"/>
      <c r="AA70" s="193"/>
      <c r="AB70" s="193"/>
      <c r="AC70" s="193"/>
    </row>
    <row r="71">
      <c r="A71" s="194"/>
      <c r="B71" s="371"/>
      <c r="C71" s="378"/>
      <c r="D71" s="378"/>
      <c r="E71" s="381"/>
      <c r="F71" s="378"/>
      <c r="G71" s="383"/>
      <c r="H71" s="383"/>
      <c r="I71" s="381"/>
      <c r="J71" s="372" t="s">
        <v>146</v>
      </c>
      <c r="K71" s="381"/>
      <c r="L71" s="378"/>
      <c r="M71" s="383"/>
      <c r="N71" s="381"/>
      <c r="O71" s="378"/>
      <c r="P71" s="381"/>
      <c r="Q71" s="195"/>
      <c r="R71" s="196"/>
      <c r="S71" s="196"/>
      <c r="T71" s="196"/>
      <c r="U71" s="196"/>
      <c r="V71" s="193"/>
      <c r="W71" s="225"/>
      <c r="X71" s="193"/>
      <c r="Y71" s="193"/>
      <c r="Z71" s="193"/>
      <c r="AA71" s="193"/>
      <c r="AB71" s="193"/>
      <c r="AC71" s="193"/>
    </row>
    <row r="72">
      <c r="A72" s="194"/>
      <c r="B72" s="371"/>
      <c r="C72" s="378"/>
      <c r="D72" s="378"/>
      <c r="E72" s="381"/>
      <c r="F72" s="378"/>
      <c r="G72" s="383"/>
      <c r="H72" s="383"/>
      <c r="I72" s="381"/>
      <c r="J72" s="383"/>
      <c r="K72" s="381"/>
      <c r="L72" s="378"/>
      <c r="M72" s="383"/>
      <c r="N72" s="381"/>
      <c r="O72" s="381"/>
      <c r="P72" s="381"/>
      <c r="Q72" s="195"/>
      <c r="R72" s="196"/>
      <c r="S72" s="196"/>
      <c r="T72" s="196"/>
      <c r="U72" s="196"/>
      <c r="V72" s="193"/>
      <c r="W72" s="225"/>
      <c r="X72" s="193"/>
      <c r="Y72" s="193"/>
      <c r="Z72" s="193"/>
      <c r="AA72" s="193"/>
      <c r="AB72" s="193"/>
      <c r="AC72" s="193"/>
    </row>
    <row r="73">
      <c r="A73" s="194"/>
      <c r="B73" s="371"/>
      <c r="C73" s="378"/>
      <c r="D73" s="378"/>
      <c r="E73" s="381"/>
      <c r="F73" s="378"/>
      <c r="G73" s="383"/>
      <c r="H73" s="383"/>
      <c r="I73" s="381"/>
      <c r="J73" s="383"/>
      <c r="K73" s="381"/>
      <c r="L73" s="381"/>
      <c r="M73" s="383"/>
      <c r="N73" s="381"/>
      <c r="O73" s="381"/>
      <c r="P73" s="381"/>
      <c r="Q73" s="195"/>
      <c r="R73" s="196"/>
      <c r="S73" s="196"/>
      <c r="T73" s="196"/>
      <c r="U73" s="196"/>
      <c r="V73" s="193"/>
      <c r="W73" s="225"/>
      <c r="X73" s="193"/>
      <c r="Y73" s="193"/>
      <c r="Z73" s="193"/>
      <c r="AA73" s="193"/>
      <c r="AB73" s="193"/>
      <c r="AC73" s="193"/>
    </row>
    <row r="74">
      <c r="A74" s="194"/>
      <c r="B74" s="371"/>
      <c r="C74" s="378"/>
      <c r="D74" s="378"/>
      <c r="E74" s="381"/>
      <c r="F74" s="378"/>
      <c r="G74" s="383"/>
      <c r="H74" s="383"/>
      <c r="I74" s="381"/>
      <c r="J74" s="383"/>
      <c r="K74" s="381"/>
      <c r="L74" s="381"/>
      <c r="M74" s="383"/>
      <c r="N74" s="381"/>
      <c r="O74" s="381"/>
      <c r="P74" s="381"/>
      <c r="Q74" s="195"/>
      <c r="R74" s="196"/>
      <c r="S74" s="196"/>
      <c r="T74" s="196"/>
      <c r="U74" s="196"/>
      <c r="V74" s="193"/>
      <c r="W74" s="225"/>
      <c r="X74" s="193"/>
      <c r="Y74" s="193"/>
      <c r="Z74" s="193"/>
      <c r="AA74" s="193"/>
      <c r="AB74" s="193"/>
      <c r="AC74" s="193"/>
    </row>
    <row r="75">
      <c r="A75" s="194"/>
      <c r="B75" s="371"/>
      <c r="C75" s="378"/>
      <c r="D75" s="378"/>
      <c r="E75" s="381"/>
      <c r="F75" s="378"/>
      <c r="G75" s="383"/>
      <c r="H75" s="383"/>
      <c r="I75" s="381"/>
      <c r="J75" s="383"/>
      <c r="K75" s="381"/>
      <c r="L75" s="381"/>
      <c r="M75" s="383"/>
      <c r="N75" s="381"/>
      <c r="O75" s="381"/>
      <c r="P75" s="381"/>
      <c r="Q75" s="195"/>
      <c r="R75" s="196"/>
      <c r="S75" s="196"/>
      <c r="T75" s="196"/>
      <c r="U75" s="196"/>
      <c r="V75" s="193"/>
      <c r="W75" s="225"/>
      <c r="X75" s="193"/>
      <c r="Y75" s="193"/>
      <c r="Z75" s="193"/>
      <c r="AA75" s="193"/>
      <c r="AB75" s="193"/>
      <c r="AC75" s="193"/>
    </row>
    <row r="76">
      <c r="A76" s="206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207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</row>
    <row r="77">
      <c r="A77" s="380" t="s">
        <v>417</v>
      </c>
      <c r="B77" s="198">
        <v>2.0</v>
      </c>
      <c r="C77" s="198">
        <v>3.0</v>
      </c>
      <c r="D77" s="198">
        <v>4.0</v>
      </c>
      <c r="E77" s="198">
        <v>8.0</v>
      </c>
      <c r="F77" s="198">
        <v>5.0</v>
      </c>
      <c r="G77" s="198">
        <v>2.0</v>
      </c>
      <c r="H77" s="198">
        <v>4.0</v>
      </c>
      <c r="I77" s="198">
        <v>3.0</v>
      </c>
      <c r="J77" s="198">
        <v>8.0</v>
      </c>
      <c r="K77" s="198">
        <v>4.0</v>
      </c>
      <c r="L77" s="198">
        <v>5.0</v>
      </c>
      <c r="M77" s="198">
        <f>countcoloredcells(dewanoumi!day_12,A77)</f>
        <v>3</v>
      </c>
      <c r="N77" s="198">
        <v>2.0</v>
      </c>
      <c r="O77" s="198">
        <v>4.0</v>
      </c>
      <c r="P77" s="198">
        <f>countcoloredcells(dewanoumi!day_15,A77)</f>
        <v>3</v>
      </c>
      <c r="Q77" s="208" t="s">
        <v>350</v>
      </c>
      <c r="R77" s="209">
        <f t="shared" ref="R77:R83" si="13">sum(B77:P77)+V64</f>
        <v>60</v>
      </c>
      <c r="S77" s="380" t="s">
        <v>417</v>
      </c>
      <c r="T77" s="210" t="s">
        <v>351</v>
      </c>
      <c r="U77" s="211">
        <f>countcoloredcells(dewanoumi!normalpoints,A77)</f>
        <v>46</v>
      </c>
      <c r="V77" s="380" t="s">
        <v>417</v>
      </c>
    </row>
    <row r="78">
      <c r="A78" s="281" t="s">
        <v>418</v>
      </c>
      <c r="B78" s="198">
        <v>6.0</v>
      </c>
      <c r="C78" s="198">
        <v>1.0</v>
      </c>
      <c r="D78" s="198">
        <v>2.0</v>
      </c>
      <c r="E78" s="198">
        <v>6.0</v>
      </c>
      <c r="F78" s="198">
        <v>2.0</v>
      </c>
      <c r="G78" s="198">
        <v>2.0</v>
      </c>
      <c r="H78" s="198">
        <v>6.0</v>
      </c>
      <c r="I78" s="198">
        <v>3.0</v>
      </c>
      <c r="J78" s="198">
        <v>2.0</v>
      </c>
      <c r="K78" s="198">
        <v>2.0</v>
      </c>
      <c r="L78" s="198">
        <v>4.0</v>
      </c>
      <c r="M78" s="198">
        <f>countcoloredcells(dewanoumi!day_12,A78)</f>
        <v>5</v>
      </c>
      <c r="N78" s="198">
        <v>6.0</v>
      </c>
      <c r="O78" s="198">
        <v>2.0</v>
      </c>
      <c r="P78" s="198">
        <f>countcoloredcells(dewanoumi!day_15,A78)</f>
        <v>4</v>
      </c>
      <c r="Q78" s="161"/>
      <c r="R78" s="209">
        <f t="shared" si="13"/>
        <v>58</v>
      </c>
      <c r="S78" s="281" t="s">
        <v>418</v>
      </c>
      <c r="U78" s="211">
        <f>countcoloredcells(dewanoumi!normalpoints,A78)</f>
        <v>42</v>
      </c>
      <c r="V78" s="281" t="s">
        <v>418</v>
      </c>
    </row>
    <row r="79">
      <c r="A79" s="283" t="s">
        <v>419</v>
      </c>
      <c r="B79" s="198">
        <v>5.0</v>
      </c>
      <c r="C79" s="198">
        <v>3.0</v>
      </c>
      <c r="D79" s="198">
        <v>4.0</v>
      </c>
      <c r="E79" s="198">
        <v>1.0</v>
      </c>
      <c r="F79" s="198">
        <v>5.0</v>
      </c>
      <c r="G79" s="198">
        <v>4.0</v>
      </c>
      <c r="H79" s="198">
        <v>3.0</v>
      </c>
      <c r="I79" s="198">
        <v>3.0</v>
      </c>
      <c r="J79" s="198">
        <v>2.0</v>
      </c>
      <c r="K79" s="198">
        <v>3.0</v>
      </c>
      <c r="L79" s="198">
        <v>3.0</v>
      </c>
      <c r="M79" s="198">
        <f>countcoloredcells(dewanoumi!day_12,A79)</f>
        <v>3</v>
      </c>
      <c r="N79" s="198">
        <v>2.0</v>
      </c>
      <c r="O79" s="198">
        <v>3.0</v>
      </c>
      <c r="P79" s="198">
        <f>countcoloredcells(dewanoumi!day_15,A79)</f>
        <v>3</v>
      </c>
      <c r="Q79" s="212"/>
      <c r="R79" s="209">
        <f t="shared" si="13"/>
        <v>52</v>
      </c>
      <c r="S79" s="283" t="s">
        <v>419</v>
      </c>
      <c r="U79" s="211">
        <f>countcoloredcells(dewanoumi!normalpoints,A79)</f>
        <v>47</v>
      </c>
      <c r="V79" s="283" t="s">
        <v>419</v>
      </c>
    </row>
    <row r="80">
      <c r="A80" s="284" t="s">
        <v>397</v>
      </c>
      <c r="B80" s="198">
        <v>2.0</v>
      </c>
      <c r="C80" s="198">
        <v>4.0</v>
      </c>
      <c r="D80" s="198">
        <v>3.0</v>
      </c>
      <c r="E80" s="198">
        <v>5.0</v>
      </c>
      <c r="F80" s="198">
        <v>6.0</v>
      </c>
      <c r="G80" s="198">
        <v>2.0</v>
      </c>
      <c r="H80" s="198">
        <v>3.0</v>
      </c>
      <c r="I80" s="198">
        <v>3.0</v>
      </c>
      <c r="J80" s="198">
        <v>6.0</v>
      </c>
      <c r="K80" s="198">
        <v>5.0</v>
      </c>
      <c r="L80" s="198">
        <v>4.0</v>
      </c>
      <c r="M80" s="198">
        <f>countcoloredcells(dewanoumi!day_12,A80)</f>
        <v>2</v>
      </c>
      <c r="N80" s="198">
        <v>7.0</v>
      </c>
      <c r="O80" s="198">
        <v>8.0</v>
      </c>
      <c r="P80" s="198">
        <f>countcoloredcells(dewanoumi!day_15,A80)</f>
        <v>1</v>
      </c>
      <c r="Q80" s="161"/>
      <c r="R80" s="209">
        <f t="shared" si="13"/>
        <v>71</v>
      </c>
      <c r="S80" s="284" t="s">
        <v>397</v>
      </c>
      <c r="U80" s="211">
        <f>countcoloredcells(dewanoumi!normalpoints,A80)</f>
        <v>44</v>
      </c>
      <c r="V80" s="284" t="s">
        <v>397</v>
      </c>
    </row>
    <row r="81">
      <c r="A81" s="285" t="s">
        <v>420</v>
      </c>
      <c r="B81" s="198">
        <v>10.0</v>
      </c>
      <c r="C81" s="198">
        <v>9.0</v>
      </c>
      <c r="D81" s="198">
        <v>1.0</v>
      </c>
      <c r="E81" s="198">
        <v>2.0</v>
      </c>
      <c r="F81" s="198">
        <v>6.0</v>
      </c>
      <c r="G81" s="198">
        <v>6.0</v>
      </c>
      <c r="H81" s="198">
        <v>0.0</v>
      </c>
      <c r="I81" s="198">
        <v>2.0</v>
      </c>
      <c r="J81" s="198">
        <v>7.0</v>
      </c>
      <c r="K81" s="198">
        <v>2.0</v>
      </c>
      <c r="L81" s="198">
        <v>5.0</v>
      </c>
      <c r="M81" s="198">
        <f>countcoloredcells(dewanoumi!day_12,A81)</f>
        <v>4</v>
      </c>
      <c r="N81" s="198">
        <v>3.0</v>
      </c>
      <c r="O81" s="198">
        <v>3.0</v>
      </c>
      <c r="P81" s="198">
        <f>countcoloredcells(dewanoumi!day_15,A81)</f>
        <v>5</v>
      </c>
      <c r="Q81" s="161"/>
      <c r="R81" s="209">
        <f t="shared" si="13"/>
        <v>65</v>
      </c>
      <c r="S81" s="285" t="s">
        <v>420</v>
      </c>
      <c r="U81" s="211">
        <f>countcoloredcells(dewanoumi!normalpoints,A81)</f>
        <v>41</v>
      </c>
      <c r="V81" s="285" t="s">
        <v>420</v>
      </c>
    </row>
    <row r="82">
      <c r="A82" s="286" t="s">
        <v>396</v>
      </c>
      <c r="B82" s="198">
        <v>3.0</v>
      </c>
      <c r="C82" s="198">
        <v>5.0</v>
      </c>
      <c r="D82" s="198">
        <v>6.0</v>
      </c>
      <c r="E82" s="198">
        <v>3.0</v>
      </c>
      <c r="F82" s="198">
        <v>1.0</v>
      </c>
      <c r="G82" s="198">
        <v>5.0</v>
      </c>
      <c r="H82" s="198">
        <v>5.0</v>
      </c>
      <c r="I82" s="198">
        <v>3.0</v>
      </c>
      <c r="J82" s="198">
        <v>4.0</v>
      </c>
      <c r="K82" s="198">
        <v>4.0</v>
      </c>
      <c r="L82" s="198">
        <v>2.0</v>
      </c>
      <c r="M82" s="198">
        <f>countcoloredcells(dewanoumi!day_12,A82)</f>
        <v>3</v>
      </c>
      <c r="N82" s="198">
        <v>2.0</v>
      </c>
      <c r="O82" s="198">
        <v>3.0</v>
      </c>
      <c r="P82" s="198">
        <f>countcoloredcells(dewanoumi!day_15,A82)</f>
        <v>3</v>
      </c>
      <c r="Q82" s="212"/>
      <c r="R82" s="209">
        <f t="shared" si="13"/>
        <v>57</v>
      </c>
      <c r="S82" s="286" t="str">
        <f t="shared" ref="S82:S83" si="14">A82</f>
        <v>Slap Yak</v>
      </c>
      <c r="U82" s="213">
        <f>countcoloredcells(dewanoumi!normalpoints,A82)</f>
        <v>46</v>
      </c>
      <c r="V82" s="286" t="str">
        <f t="shared" ref="V82:V83" si="15">A82</f>
        <v>Slap Yak</v>
      </c>
    </row>
    <row r="83">
      <c r="A83" s="287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214"/>
      <c r="R83" s="215">
        <f t="shared" si="13"/>
        <v>0</v>
      </c>
      <c r="S83" s="384" t="str">
        <f t="shared" si="14"/>
        <v/>
      </c>
      <c r="U83" s="213">
        <f>countcoloredcells(dewanoumi!normalpoints,A83)</f>
        <v>0</v>
      </c>
      <c r="V83" s="287" t="str">
        <f t="shared" si="15"/>
        <v/>
      </c>
    </row>
    <row r="84">
      <c r="A84" s="198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198"/>
      <c r="O84" s="198"/>
      <c r="P84" s="198"/>
    </row>
    <row r="85">
      <c r="A85" s="23" t="s">
        <v>352</v>
      </c>
      <c r="B85" s="198">
        <f t="shared" ref="B85:P85" si="16">SUM(B77:B83)</f>
        <v>28</v>
      </c>
      <c r="C85" s="198">
        <f t="shared" si="16"/>
        <v>25</v>
      </c>
      <c r="D85" s="198">
        <f t="shared" si="16"/>
        <v>20</v>
      </c>
      <c r="E85" s="198">
        <f t="shared" si="16"/>
        <v>25</v>
      </c>
      <c r="F85" s="198">
        <f t="shared" si="16"/>
        <v>25</v>
      </c>
      <c r="G85" s="198">
        <f t="shared" si="16"/>
        <v>21</v>
      </c>
      <c r="H85" s="198">
        <f t="shared" si="16"/>
        <v>21</v>
      </c>
      <c r="I85" s="198">
        <f t="shared" si="16"/>
        <v>17</v>
      </c>
      <c r="J85" s="198">
        <f t="shared" si="16"/>
        <v>29</v>
      </c>
      <c r="K85" s="198">
        <f t="shared" si="16"/>
        <v>20</v>
      </c>
      <c r="L85" s="198">
        <f t="shared" si="16"/>
        <v>23</v>
      </c>
      <c r="M85" s="198">
        <f t="shared" si="16"/>
        <v>20</v>
      </c>
      <c r="N85" s="198">
        <f t="shared" si="16"/>
        <v>22</v>
      </c>
      <c r="O85" s="198">
        <f t="shared" si="16"/>
        <v>23</v>
      </c>
      <c r="P85" s="198">
        <f t="shared" si="16"/>
        <v>19</v>
      </c>
      <c r="Q85" s="23" t="s">
        <v>353</v>
      </c>
      <c r="R85">
        <f>Z18-Z19</f>
        <v>-97</v>
      </c>
    </row>
    <row r="86">
      <c r="A86" s="99"/>
      <c r="B86" s="33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</row>
    <row r="87">
      <c r="A87" s="340"/>
      <c r="B87" s="341"/>
      <c r="C87" s="183"/>
      <c r="D87" s="183"/>
      <c r="E87" s="183"/>
      <c r="F87" s="183"/>
      <c r="G87" s="183"/>
      <c r="H87" s="183"/>
    </row>
    <row r="88">
      <c r="A88" s="172">
        <v>1.0</v>
      </c>
      <c r="B88" s="198">
        <f>B77</f>
        <v>2</v>
      </c>
      <c r="C88">
        <f>B78</f>
        <v>6</v>
      </c>
      <c r="D88">
        <f>B79</f>
        <v>5</v>
      </c>
      <c r="E88">
        <f>B80</f>
        <v>2</v>
      </c>
      <c r="F88">
        <f>B81</f>
        <v>10</v>
      </c>
      <c r="G88">
        <f>B82</f>
        <v>3</v>
      </c>
      <c r="H88" t="str">
        <f>B83</f>
        <v/>
      </c>
    </row>
    <row r="89">
      <c r="A89" s="172">
        <v>2.0</v>
      </c>
      <c r="B89" s="198">
        <f>C77+B88</f>
        <v>5</v>
      </c>
      <c r="C89">
        <f>C88+C78</f>
        <v>7</v>
      </c>
      <c r="D89">
        <f>D88+C79</f>
        <v>8</v>
      </c>
      <c r="E89">
        <f>E88+C80</f>
        <v>6</v>
      </c>
      <c r="F89">
        <f>F88+C81</f>
        <v>19</v>
      </c>
      <c r="G89">
        <f>G88+C82</f>
        <v>8</v>
      </c>
      <c r="H89">
        <f>H88+C83</f>
        <v>0</v>
      </c>
    </row>
    <row r="90">
      <c r="A90" s="172">
        <v>3.0</v>
      </c>
      <c r="B90" s="198">
        <f>D77+B89</f>
        <v>9</v>
      </c>
      <c r="C90">
        <f>C89+D78</f>
        <v>9</v>
      </c>
      <c r="D90">
        <f>D79+D89</f>
        <v>12</v>
      </c>
      <c r="E90">
        <f>E89+D80</f>
        <v>9</v>
      </c>
      <c r="F90">
        <f>F89+D81</f>
        <v>20</v>
      </c>
      <c r="G90">
        <f>G89+D82</f>
        <v>14</v>
      </c>
      <c r="H90">
        <f>H89+D83</f>
        <v>0</v>
      </c>
    </row>
    <row r="91">
      <c r="A91" s="172">
        <v>4.0</v>
      </c>
      <c r="B91">
        <f>B90+E77</f>
        <v>17</v>
      </c>
      <c r="C91">
        <f>C90+E78</f>
        <v>15</v>
      </c>
      <c r="D91">
        <f>D90+E79</f>
        <v>13</v>
      </c>
      <c r="E91">
        <f>E90+E80</f>
        <v>14</v>
      </c>
      <c r="F91">
        <f>F90+E81</f>
        <v>22</v>
      </c>
      <c r="G91">
        <f>G90+E82</f>
        <v>17</v>
      </c>
      <c r="H91">
        <f>H90+E83</f>
        <v>0</v>
      </c>
    </row>
    <row r="92">
      <c r="A92" s="172">
        <v>5.0</v>
      </c>
      <c r="B92">
        <f>B91+F77</f>
        <v>22</v>
      </c>
      <c r="C92">
        <f>C91+F78</f>
        <v>17</v>
      </c>
      <c r="D92">
        <f>D91+F79</f>
        <v>18</v>
      </c>
      <c r="E92">
        <f>E91+F80</f>
        <v>20</v>
      </c>
      <c r="F92">
        <f>F91+F81</f>
        <v>28</v>
      </c>
      <c r="G92">
        <f>G91+F82</f>
        <v>18</v>
      </c>
      <c r="H92">
        <f>H91+F83</f>
        <v>0</v>
      </c>
    </row>
    <row r="93">
      <c r="A93" s="172">
        <v>6.0</v>
      </c>
      <c r="B93">
        <f>B92+G77</f>
        <v>24</v>
      </c>
      <c r="C93">
        <f>C92+G78</f>
        <v>19</v>
      </c>
      <c r="D93">
        <f>D92+G79</f>
        <v>22</v>
      </c>
      <c r="E93">
        <f>E92+G80</f>
        <v>22</v>
      </c>
      <c r="F93">
        <f>F92+G81</f>
        <v>34</v>
      </c>
      <c r="G93">
        <f>G92+G82</f>
        <v>23</v>
      </c>
      <c r="H93">
        <f>H92+G83</f>
        <v>0</v>
      </c>
    </row>
    <row r="94">
      <c r="A94" s="172">
        <v>7.0</v>
      </c>
      <c r="B94">
        <f>B93+H77</f>
        <v>28</v>
      </c>
      <c r="C94">
        <f>C93+H78</f>
        <v>25</v>
      </c>
      <c r="D94">
        <f>D93+H79</f>
        <v>25</v>
      </c>
      <c r="E94">
        <f>E93+H80</f>
        <v>25</v>
      </c>
      <c r="F94">
        <f>F93+H81</f>
        <v>34</v>
      </c>
      <c r="G94">
        <f>G93+H82</f>
        <v>28</v>
      </c>
      <c r="H94">
        <f>H93+H83</f>
        <v>0</v>
      </c>
    </row>
    <row r="95">
      <c r="A95" s="172">
        <v>8.0</v>
      </c>
      <c r="B95">
        <f>B94+I77</f>
        <v>31</v>
      </c>
      <c r="C95">
        <f>C94+I78</f>
        <v>28</v>
      </c>
      <c r="D95">
        <f>D94+I79</f>
        <v>28</v>
      </c>
      <c r="E95">
        <f>E94+I80</f>
        <v>28</v>
      </c>
      <c r="F95">
        <f>F94+I81</f>
        <v>36</v>
      </c>
      <c r="G95">
        <f>G94+I82</f>
        <v>31</v>
      </c>
      <c r="H95">
        <f>H94+I83</f>
        <v>0</v>
      </c>
    </row>
    <row r="96">
      <c r="A96" s="172">
        <v>9.0</v>
      </c>
      <c r="B96">
        <f>B95+J77</f>
        <v>39</v>
      </c>
      <c r="C96">
        <f>C95+J78</f>
        <v>30</v>
      </c>
      <c r="D96">
        <f>D95+J79</f>
        <v>30</v>
      </c>
      <c r="E96">
        <f>E95+J80</f>
        <v>34</v>
      </c>
      <c r="F96">
        <f>F95+J81</f>
        <v>43</v>
      </c>
      <c r="G96">
        <f>G95+J82</f>
        <v>35</v>
      </c>
      <c r="H96">
        <f>H95+J83</f>
        <v>0</v>
      </c>
    </row>
    <row r="97">
      <c r="A97" s="172">
        <v>10.0</v>
      </c>
      <c r="B97">
        <f>B96+K77</f>
        <v>43</v>
      </c>
      <c r="C97">
        <f>C96+K78</f>
        <v>32</v>
      </c>
      <c r="D97">
        <f>D96+K79</f>
        <v>33</v>
      </c>
      <c r="E97">
        <f>E96+K80</f>
        <v>39</v>
      </c>
      <c r="F97">
        <f>F96+K81</f>
        <v>45</v>
      </c>
      <c r="G97">
        <f>G96+K82</f>
        <v>39</v>
      </c>
      <c r="H97">
        <f>H96+K83</f>
        <v>0</v>
      </c>
    </row>
    <row r="98">
      <c r="A98" s="172">
        <v>11.0</v>
      </c>
      <c r="B98">
        <f>B97+L77</f>
        <v>48</v>
      </c>
      <c r="C98">
        <f>C97+L78</f>
        <v>36</v>
      </c>
      <c r="D98">
        <f>D97+L79</f>
        <v>36</v>
      </c>
      <c r="E98">
        <f>E97+L80</f>
        <v>43</v>
      </c>
      <c r="F98">
        <f>F97+L81</f>
        <v>50</v>
      </c>
      <c r="G98">
        <f>G97+L82</f>
        <v>41</v>
      </c>
      <c r="H98">
        <f>H97+L83</f>
        <v>0</v>
      </c>
    </row>
    <row r="99">
      <c r="A99" s="172">
        <v>12.0</v>
      </c>
      <c r="B99">
        <f>B98+M77</f>
        <v>51</v>
      </c>
      <c r="C99">
        <f>C98+M78</f>
        <v>41</v>
      </c>
      <c r="D99">
        <f>D98+M79</f>
        <v>39</v>
      </c>
      <c r="E99">
        <f>E98+M80</f>
        <v>45</v>
      </c>
      <c r="F99">
        <f>F98+M81</f>
        <v>54</v>
      </c>
      <c r="G99">
        <f>G98+M82</f>
        <v>44</v>
      </c>
      <c r="H99">
        <f>H98+M83</f>
        <v>0</v>
      </c>
    </row>
    <row r="100">
      <c r="A100" s="172">
        <v>13.0</v>
      </c>
      <c r="B100">
        <f>B99+N77</f>
        <v>53</v>
      </c>
      <c r="C100">
        <f>C99+N78</f>
        <v>47</v>
      </c>
      <c r="D100">
        <f>D99+N79</f>
        <v>41</v>
      </c>
      <c r="E100">
        <f>E99+N80</f>
        <v>52</v>
      </c>
      <c r="F100">
        <f>F99+N81</f>
        <v>57</v>
      </c>
      <c r="G100">
        <f>G99+N82</f>
        <v>46</v>
      </c>
      <c r="H100">
        <f>H99+N83</f>
        <v>0</v>
      </c>
    </row>
    <row r="101">
      <c r="A101" s="172">
        <v>14.0</v>
      </c>
      <c r="B101">
        <f>B100+O77</f>
        <v>57</v>
      </c>
      <c r="C101">
        <f>C100+O78</f>
        <v>49</v>
      </c>
      <c r="D101">
        <f>D100+O79</f>
        <v>44</v>
      </c>
      <c r="E101">
        <f>E100+O80</f>
        <v>60</v>
      </c>
      <c r="F101">
        <f>F100+O81</f>
        <v>60</v>
      </c>
      <c r="G101">
        <f>G100+O82</f>
        <v>49</v>
      </c>
      <c r="H101">
        <f>H100+O83</f>
        <v>0</v>
      </c>
    </row>
    <row r="102">
      <c r="A102" s="172">
        <v>15.0</v>
      </c>
      <c r="B102">
        <f>B101+P77</f>
        <v>60</v>
      </c>
      <c r="C102">
        <f>C101+P78</f>
        <v>53</v>
      </c>
      <c r="D102">
        <f>D101+P79</f>
        <v>47</v>
      </c>
      <c r="E102">
        <f>E101+P80</f>
        <v>61</v>
      </c>
      <c r="F102">
        <f>F101+P81</f>
        <v>65</v>
      </c>
      <c r="G102">
        <f>G101+P82</f>
        <v>52</v>
      </c>
      <c r="H102">
        <f>H101+P83</f>
        <v>0</v>
      </c>
    </row>
    <row r="103">
      <c r="A103" s="172">
        <v>16.0</v>
      </c>
      <c r="B103">
        <f>B102+V64</f>
        <v>60</v>
      </c>
      <c r="C103">
        <f>C102+V65</f>
        <v>58</v>
      </c>
      <c r="D103">
        <f>D102+V66</f>
        <v>52</v>
      </c>
      <c r="E103">
        <f>E102+V67</f>
        <v>71</v>
      </c>
      <c r="F103">
        <f>F102+V68</f>
        <v>65</v>
      </c>
      <c r="G103">
        <f>G102+V69</f>
        <v>57</v>
      </c>
      <c r="H103">
        <f>H102+V70</f>
        <v>0</v>
      </c>
    </row>
  </sheetData>
  <conditionalFormatting sqref="R85">
    <cfRule type="cellIs" dxfId="0" priority="1" operator="notEqual">
      <formula>0</formula>
    </cfRule>
  </conditionalFormatting>
  <conditionalFormatting sqref="R85">
    <cfRule type="cellIs" dxfId="0" priority="2" operator="notEqual">
      <formula>0</formula>
    </cfRule>
  </conditionalFormatting>
  <conditionalFormatting sqref="AC19">
    <cfRule type="notContainsBlanks" dxfId="2" priority="3">
      <formula>LEN(TRIM(AC19))&gt;0</formula>
    </cfRule>
  </conditionalFormatting>
  <conditionalFormatting sqref="AC19">
    <cfRule type="notContainsBlanks" dxfId="2" priority="4">
      <formula>LEN(TRIM(AC19))&gt;0</formula>
    </cfRule>
  </conditionalFormatting>
  <conditionalFormatting sqref="B26:P26 B29:P29 B31:P31 B33:P33 B51:P51 B54:P54">
    <cfRule type="notContainsBlanks" dxfId="3" priority="5">
      <formula>LEN(TRIM(B26))&gt;0</formula>
    </cfRule>
  </conditionalFormatting>
  <conditionalFormatting sqref="B25:P25 B34:P34 B36:P36 B39:P40 B57:P57">
    <cfRule type="notContainsBlanks" dxfId="6" priority="6">
      <formula>LEN(TRIM(B25))&gt;0</formula>
    </cfRule>
  </conditionalFormatting>
  <conditionalFormatting sqref="B22:P22 B44:P44 B47:P48 B53:P53 B56:P56 M59:P59">
    <cfRule type="notContainsBlanks" dxfId="4" priority="7">
      <formula>LEN(TRIM(B22))&gt;0</formula>
    </cfRule>
  </conditionalFormatting>
  <conditionalFormatting sqref="B20:P20 B32:P32 B35:P35 B46:P46 B50:P50 B58:P58 M55:P55">
    <cfRule type="notContainsBlanks" dxfId="0" priority="8">
      <formula>LEN(TRIM(B20))&gt;0</formula>
    </cfRule>
  </conditionalFormatting>
  <conditionalFormatting sqref="B21:P21 B24:P24 B30:P30 B37:P37 B42:P43 H60:P60 J52:P52">
    <cfRule type="notContainsBlanks" dxfId="5" priority="9">
      <formula>LEN(TRIM(B21))&gt;0</formula>
    </cfRule>
  </conditionalFormatting>
  <conditionalFormatting sqref="B19:P19 B27:P28 B38:P38 B41:P41 B45:P45">
    <cfRule type="notContainsBlanks" dxfId="1" priority="10">
      <formula>LEN(TRIM(B19))&gt;0</formula>
    </cfRule>
  </conditionalFormatting>
  <drawing r:id="rId1"/>
</worksheet>
</file>