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defaultThemeVersion="166925"/>
  <mc:AlternateContent xmlns:mc="http://schemas.openxmlformats.org/markup-compatibility/2006">
    <mc:Choice Requires="x15">
      <x15ac:absPath xmlns:x15ac="http://schemas.microsoft.com/office/spreadsheetml/2010/11/ac" url="C:\Users\ryter\Dropbox (MIT)\Group Research Folder_Olivetti\Displacement\00 Simulation\06 Module integration\Data\"/>
    </mc:Choice>
  </mc:AlternateContent>
  <xr:revisionPtr revIDLastSave="0" documentId="13_ncr:1_{49CBDF9F-30A2-4515-9009-E172001DDC48}" xr6:coauthVersionLast="36" xr6:coauthVersionMax="36" xr10:uidLastSave="{00000000-0000-0000-0000-000000000000}"/>
  <bookViews>
    <workbookView xWindow="0" yWindow="0" windowWidth="19008" windowHeight="7044" firstSheet="9" activeTab="13" xr2:uid="{6B5C917F-AEDA-49D4-9DA8-56288D4A410C}"/>
  </bookViews>
  <sheets>
    <sheet name="Processes" sheetId="1" r:id="rId1"/>
    <sheet name="Materials" sheetId="2" r:id="rId2"/>
    <sheet name="Mines Northey1" sheetId="3" r:id="rId3"/>
    <sheet name="Mines Northey2" sheetId="5" r:id="rId4"/>
    <sheet name="Mines Total" sheetId="4" r:id="rId5"/>
    <sheet name="Conc Ecoinvent" sheetId="12" r:id="rId6"/>
    <sheet name="SX-EW Ecoinvent" sheetId="19" r:id="rId7"/>
    <sheet name="Conc Mult" sheetId="7" r:id="rId8"/>
    <sheet name="SX-EW Mult" sheetId="20" r:id="rId9"/>
    <sheet name="Ref_Metals" sheetId="8" r:id="rId10"/>
    <sheet name="Scrap Refining1" sheetId="9" r:id="rId11"/>
    <sheet name="Scrap Ecoinvent" sheetId="11" r:id="rId12"/>
    <sheet name="Primary Refinery Ecoinvent" sheetId="13" r:id="rId13"/>
    <sheet name="Semis" sheetId="15" r:id="rId14"/>
    <sheet name="Semis Distribution" sheetId="16" r:id="rId15"/>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0" i="4" l="1"/>
  <c r="N8" i="8" l="1"/>
  <c r="N7" i="8"/>
  <c r="N6" i="8"/>
  <c r="N5" i="8"/>
  <c r="N4" i="8"/>
  <c r="N3" i="8"/>
  <c r="N2" i="8"/>
  <c r="L3" i="15"/>
  <c r="L4" i="15"/>
  <c r="L5" i="15"/>
  <c r="L6" i="15"/>
  <c r="L7" i="15"/>
  <c r="L2" i="15"/>
  <c r="H36" i="16"/>
  <c r="B8" i="16" s="1"/>
  <c r="B5" i="16" l="1"/>
  <c r="I2" i="16"/>
  <c r="I34" i="16"/>
  <c r="I30" i="16"/>
  <c r="I26" i="16"/>
  <c r="I22" i="16"/>
  <c r="I18" i="16"/>
  <c r="I14" i="16"/>
  <c r="I10" i="16"/>
  <c r="I6" i="16"/>
  <c r="B2" i="16"/>
  <c r="B6" i="16"/>
  <c r="I31" i="16"/>
  <c r="I23" i="16"/>
  <c r="I7" i="16"/>
  <c r="B3" i="16"/>
  <c r="B7" i="16"/>
  <c r="I35" i="16"/>
  <c r="I27" i="16"/>
  <c r="I19" i="16"/>
  <c r="I15" i="16"/>
  <c r="I11" i="16"/>
  <c r="I3" i="16"/>
  <c r="I37" i="16"/>
  <c r="I33" i="16"/>
  <c r="I29" i="16"/>
  <c r="I25" i="16"/>
  <c r="I21" i="16"/>
  <c r="I17" i="16"/>
  <c r="I13" i="16"/>
  <c r="I9" i="16"/>
  <c r="I5" i="16"/>
  <c r="I36" i="16"/>
  <c r="I32" i="16"/>
  <c r="I28" i="16"/>
  <c r="I24" i="16"/>
  <c r="I20" i="16"/>
  <c r="I16" i="16"/>
  <c r="I12" i="16"/>
  <c r="I8" i="16"/>
  <c r="I4" i="16"/>
  <c r="B4" i="16"/>
  <c r="M13" i="4"/>
  <c r="H10" i="9"/>
  <c r="H11" i="9"/>
  <c r="H12" i="9"/>
  <c r="H9" i="9"/>
  <c r="I12" i="9"/>
  <c r="J12" i="9" s="1"/>
  <c r="G12" i="9"/>
  <c r="I11" i="9"/>
  <c r="J11" i="9" s="1"/>
  <c r="G11" i="9"/>
  <c r="I10" i="9"/>
  <c r="J10" i="9" s="1"/>
  <c r="G10" i="9"/>
  <c r="I9" i="9"/>
  <c r="J9" i="9" s="1"/>
  <c r="G9" i="9"/>
  <c r="L7" i="11"/>
  <c r="M7" i="11"/>
  <c r="N7" i="11"/>
  <c r="O7" i="11"/>
  <c r="P7" i="11"/>
  <c r="Q7" i="11"/>
  <c r="R7" i="11"/>
  <c r="S7" i="11"/>
  <c r="L8" i="11"/>
  <c r="M8" i="11"/>
  <c r="N8" i="11"/>
  <c r="O8" i="11"/>
  <c r="P8" i="11"/>
  <c r="Q8" i="11"/>
  <c r="R8" i="11"/>
  <c r="S8" i="11"/>
  <c r="L9" i="11"/>
  <c r="M9" i="11"/>
  <c r="N9" i="11"/>
  <c r="O9" i="11"/>
  <c r="P9" i="11"/>
  <c r="Q9" i="11"/>
  <c r="R9" i="11"/>
  <c r="S9" i="11"/>
  <c r="L10" i="11"/>
  <c r="M10" i="11"/>
  <c r="N10" i="11"/>
  <c r="O10" i="11"/>
  <c r="P10" i="11"/>
  <c r="Q10" i="11"/>
  <c r="R10" i="11"/>
  <c r="S10" i="11"/>
  <c r="K7" i="11"/>
  <c r="L3" i="11"/>
  <c r="D8" i="11"/>
  <c r="S66" i="4"/>
  <c r="T66" i="4"/>
  <c r="U66" i="4"/>
  <c r="V66" i="4"/>
  <c r="W66" i="4"/>
  <c r="X66" i="4"/>
  <c r="Y66" i="4"/>
  <c r="Z66" i="4"/>
  <c r="AA66" i="4"/>
  <c r="AB66" i="4"/>
  <c r="AC66" i="4"/>
  <c r="AD66" i="4"/>
  <c r="AE66" i="4"/>
  <c r="AF66" i="4"/>
  <c r="AG66" i="4"/>
  <c r="AH66" i="4"/>
  <c r="AI66" i="4"/>
  <c r="R66" i="4"/>
  <c r="S60" i="4"/>
  <c r="T60" i="4"/>
  <c r="U60" i="4"/>
  <c r="V60" i="4"/>
  <c r="W60" i="4"/>
  <c r="X60" i="4"/>
  <c r="Y60" i="4"/>
  <c r="Z60" i="4"/>
  <c r="AA60" i="4"/>
  <c r="AB60" i="4"/>
  <c r="AC60" i="4"/>
  <c r="AD60" i="4"/>
  <c r="AE60" i="4"/>
  <c r="AF60" i="4"/>
  <c r="AG60" i="4"/>
  <c r="AH60" i="4"/>
  <c r="AI60" i="4"/>
  <c r="S61" i="4"/>
  <c r="T61" i="4"/>
  <c r="U61" i="4"/>
  <c r="V61" i="4"/>
  <c r="W61" i="4"/>
  <c r="X61" i="4"/>
  <c r="Y61" i="4"/>
  <c r="Z61" i="4"/>
  <c r="AA61" i="4"/>
  <c r="AB61" i="4"/>
  <c r="AC61" i="4"/>
  <c r="AD61" i="4"/>
  <c r="AE61" i="4"/>
  <c r="AF61" i="4"/>
  <c r="AG61" i="4"/>
  <c r="AH61" i="4"/>
  <c r="AI61" i="4"/>
  <c r="S62" i="4"/>
  <c r="T62" i="4"/>
  <c r="U62" i="4"/>
  <c r="V62" i="4"/>
  <c r="W62" i="4"/>
  <c r="X62" i="4"/>
  <c r="Y62" i="4"/>
  <c r="Z62" i="4"/>
  <c r="AA62" i="4"/>
  <c r="AB62" i="4"/>
  <c r="AC62" i="4"/>
  <c r="AD62" i="4"/>
  <c r="AE62" i="4"/>
  <c r="AF62" i="4"/>
  <c r="AG62" i="4"/>
  <c r="AH62" i="4"/>
  <c r="AI62" i="4"/>
  <c r="S63" i="4"/>
  <c r="T63" i="4"/>
  <c r="U63" i="4"/>
  <c r="V63" i="4"/>
  <c r="W63" i="4"/>
  <c r="X63" i="4"/>
  <c r="Y63" i="4"/>
  <c r="Z63" i="4"/>
  <c r="AA63" i="4"/>
  <c r="AB63" i="4"/>
  <c r="AC63" i="4"/>
  <c r="AD63" i="4"/>
  <c r="AE63" i="4"/>
  <c r="AF63" i="4"/>
  <c r="AG63" i="4"/>
  <c r="AH63" i="4"/>
  <c r="AI63" i="4"/>
  <c r="R61" i="4"/>
  <c r="R62" i="4"/>
  <c r="R63" i="4"/>
  <c r="S73" i="4"/>
  <c r="T73" i="4"/>
  <c r="U73" i="4"/>
  <c r="V73" i="4"/>
  <c r="W73" i="4"/>
  <c r="X73" i="4"/>
  <c r="Y73" i="4"/>
  <c r="Z73" i="4"/>
  <c r="AA73" i="4"/>
  <c r="AC73" i="4"/>
  <c r="AD73" i="4"/>
  <c r="AE73" i="4"/>
  <c r="AF73" i="4"/>
  <c r="AG73" i="4"/>
  <c r="AH73" i="4"/>
  <c r="AI73" i="4"/>
  <c r="AB72" i="4"/>
  <c r="AB73" i="4" s="1"/>
  <c r="R73" i="4"/>
  <c r="G108" i="4"/>
  <c r="G109" i="4"/>
  <c r="G110" i="4"/>
  <c r="G111" i="4"/>
  <c r="G112" i="4"/>
  <c r="G113" i="4"/>
  <c r="G107" i="4"/>
  <c r="B109" i="4"/>
  <c r="O76" i="4"/>
  <c r="P76" i="4"/>
  <c r="Q76" i="4"/>
  <c r="R76" i="4"/>
  <c r="S76" i="4"/>
  <c r="T76" i="4"/>
  <c r="O77" i="4"/>
  <c r="P77" i="4"/>
  <c r="Q77" i="4"/>
  <c r="R77" i="4"/>
  <c r="S77" i="4"/>
  <c r="T77" i="4"/>
  <c r="O78" i="4"/>
  <c r="P78" i="4"/>
  <c r="Q78" i="4"/>
  <c r="R78" i="4"/>
  <c r="S78" i="4"/>
  <c r="T78" i="4"/>
  <c r="O79" i="4"/>
  <c r="P79" i="4"/>
  <c r="Q79" i="4"/>
  <c r="R79" i="4"/>
  <c r="S79" i="4"/>
  <c r="T79" i="4"/>
  <c r="O80" i="4"/>
  <c r="P80" i="4"/>
  <c r="Q80" i="4"/>
  <c r="R80" i="4"/>
  <c r="S80" i="4"/>
  <c r="T80" i="4"/>
  <c r="O81" i="4"/>
  <c r="P81" i="4"/>
  <c r="Q81" i="4"/>
  <c r="R81" i="4"/>
  <c r="S81" i="4"/>
  <c r="T81" i="4"/>
  <c r="O82" i="4"/>
  <c r="P82" i="4"/>
  <c r="Q82" i="4"/>
  <c r="R82" i="4"/>
  <c r="S82" i="4"/>
  <c r="T82" i="4"/>
  <c r="N77" i="4"/>
  <c r="N78" i="4"/>
  <c r="N79" i="4"/>
  <c r="N80" i="4"/>
  <c r="N81" i="4"/>
  <c r="N82" i="4"/>
  <c r="N76" i="4"/>
  <c r="C77" i="4"/>
  <c r="D77" i="4"/>
  <c r="E77" i="4"/>
  <c r="F77" i="4"/>
  <c r="G77" i="4"/>
  <c r="H77" i="4"/>
  <c r="B77" i="4"/>
  <c r="B7" i="13"/>
  <c r="S55" i="4"/>
  <c r="T55" i="4"/>
  <c r="U55" i="4"/>
  <c r="V55" i="4"/>
  <c r="W55" i="4"/>
  <c r="X55" i="4"/>
  <c r="Y55" i="4"/>
  <c r="Z55" i="4"/>
  <c r="AA55" i="4"/>
  <c r="R55" i="4"/>
  <c r="R47" i="4"/>
  <c r="S54" i="4"/>
  <c r="T54" i="4"/>
  <c r="U54" i="4"/>
  <c r="V54" i="4"/>
  <c r="W54" i="4"/>
  <c r="X54" i="4"/>
  <c r="Y54" i="4"/>
  <c r="Z54" i="4"/>
  <c r="AA54" i="4"/>
  <c r="R54" i="4"/>
  <c r="S47" i="4"/>
  <c r="T47" i="4"/>
  <c r="U47" i="4"/>
  <c r="V47" i="4"/>
  <c r="W47" i="4"/>
  <c r="X47" i="4"/>
  <c r="Y47" i="4"/>
  <c r="Z47" i="4"/>
  <c r="AA47" i="4"/>
  <c r="S48" i="4"/>
  <c r="T48" i="4"/>
  <c r="U48" i="4"/>
  <c r="V48" i="4"/>
  <c r="W48" i="4"/>
  <c r="X48" i="4"/>
  <c r="Y48" i="4"/>
  <c r="Z48" i="4"/>
  <c r="AA48" i="4"/>
  <c r="S49" i="4"/>
  <c r="T49" i="4"/>
  <c r="U49" i="4"/>
  <c r="V49" i="4"/>
  <c r="W49" i="4"/>
  <c r="X49" i="4"/>
  <c r="Y49" i="4"/>
  <c r="Z49" i="4"/>
  <c r="AA49" i="4"/>
  <c r="S50" i="4"/>
  <c r="T50" i="4"/>
  <c r="U50" i="4"/>
  <c r="V50" i="4"/>
  <c r="W50" i="4"/>
  <c r="X50" i="4"/>
  <c r="Y50" i="4"/>
  <c r="Z50" i="4"/>
  <c r="AA50" i="4"/>
  <c r="S51" i="4"/>
  <c r="T51" i="4"/>
  <c r="U51" i="4"/>
  <c r="V51" i="4"/>
  <c r="W51" i="4"/>
  <c r="X51" i="4"/>
  <c r="Y51" i="4"/>
  <c r="Z51" i="4"/>
  <c r="AA51" i="4"/>
  <c r="S52" i="4"/>
  <c r="T52" i="4"/>
  <c r="U52" i="4"/>
  <c r="V52" i="4"/>
  <c r="W52" i="4"/>
  <c r="X52" i="4"/>
  <c r="Y52" i="4"/>
  <c r="Z52" i="4"/>
  <c r="AA52" i="4"/>
  <c r="S53" i="4"/>
  <c r="T53" i="4"/>
  <c r="U53" i="4"/>
  <c r="V53" i="4"/>
  <c r="W53" i="4"/>
  <c r="X53" i="4"/>
  <c r="Y53" i="4"/>
  <c r="Z53" i="4"/>
  <c r="AA53" i="4"/>
  <c r="R48" i="4"/>
  <c r="R49" i="4"/>
  <c r="R50" i="4"/>
  <c r="R51" i="4"/>
  <c r="R52" i="4"/>
  <c r="R53" i="4"/>
  <c r="D50" i="4"/>
  <c r="E50" i="4"/>
  <c r="F50" i="4"/>
  <c r="G50" i="4"/>
  <c r="H50" i="4"/>
  <c r="I50" i="4"/>
  <c r="J50" i="4"/>
  <c r="K50" i="4"/>
  <c r="L50" i="4"/>
  <c r="C50" i="4"/>
  <c r="AS14" i="4"/>
  <c r="AT14" i="4"/>
  <c r="AU14" i="4"/>
  <c r="AV14" i="4"/>
  <c r="AW14" i="4"/>
  <c r="AX14" i="4"/>
  <c r="AY14" i="4"/>
  <c r="AS15" i="4"/>
  <c r="AT15" i="4"/>
  <c r="AU15" i="4"/>
  <c r="AV15" i="4"/>
  <c r="AW15" i="4"/>
  <c r="AX15" i="4"/>
  <c r="AY15" i="4"/>
  <c r="AS16" i="4"/>
  <c r="AT16" i="4"/>
  <c r="AU16" i="4"/>
  <c r="AV16" i="4"/>
  <c r="AW16" i="4"/>
  <c r="AX16" i="4"/>
  <c r="AY16" i="4"/>
  <c r="AS17" i="4"/>
  <c r="AT17" i="4"/>
  <c r="AU17" i="4"/>
  <c r="AV17" i="4"/>
  <c r="AW17" i="4"/>
  <c r="AX17" i="4"/>
  <c r="AY17" i="4"/>
  <c r="AS18" i="4"/>
  <c r="AT18" i="4"/>
  <c r="AU18" i="4"/>
  <c r="AV18" i="4"/>
  <c r="AW18" i="4"/>
  <c r="AX18" i="4"/>
  <c r="AY18" i="4"/>
  <c r="AS19" i="4"/>
  <c r="AT19" i="4"/>
  <c r="AU19" i="4"/>
  <c r="AV19" i="4"/>
  <c r="AW19" i="4"/>
  <c r="AX19" i="4"/>
  <c r="AY19" i="4"/>
  <c r="AY13" i="4"/>
  <c r="AX13" i="4"/>
  <c r="AT13" i="4"/>
  <c r="AU13" i="4"/>
  <c r="AV13" i="4"/>
  <c r="AW13" i="4"/>
  <c r="AS13" i="4"/>
  <c r="C123" i="4"/>
  <c r="C127" i="4"/>
  <c r="O15" i="4"/>
  <c r="O13" i="4"/>
  <c r="N14" i="4"/>
  <c r="N15" i="4"/>
  <c r="N16" i="4"/>
  <c r="N17" i="4"/>
  <c r="N18" i="4"/>
  <c r="N19" i="4"/>
  <c r="N13" i="4"/>
  <c r="M14" i="4"/>
  <c r="O14" i="4" s="1"/>
  <c r="M15" i="4"/>
  <c r="M16" i="4"/>
  <c r="O16" i="4" s="1"/>
  <c r="M17" i="4"/>
  <c r="O17" i="4" s="1"/>
  <c r="M18" i="4"/>
  <c r="O18" i="4" s="1"/>
  <c r="M19" i="4"/>
  <c r="O19" i="4" s="1"/>
  <c r="J14" i="4"/>
  <c r="J15" i="4"/>
  <c r="J16" i="4"/>
  <c r="J17" i="4"/>
  <c r="J18" i="4"/>
  <c r="J19" i="4"/>
  <c r="J13" i="4"/>
  <c r="I14" i="4"/>
  <c r="K14" i="4" s="1"/>
  <c r="I15" i="4"/>
  <c r="K15" i="4" s="1"/>
  <c r="I16" i="4"/>
  <c r="K16" i="4" s="1"/>
  <c r="I17" i="4"/>
  <c r="K17" i="4" s="1"/>
  <c r="I18" i="4"/>
  <c r="K18" i="4" s="1"/>
  <c r="I19" i="4"/>
  <c r="K19" i="4" s="1"/>
  <c r="I13" i="4"/>
  <c r="K13" i="4" s="1"/>
  <c r="C118" i="4"/>
  <c r="C124" i="4" s="1"/>
  <c r="G92" i="4"/>
  <c r="G93" i="4"/>
  <c r="E94" i="4"/>
  <c r="H95" i="4"/>
  <c r="G96" i="4"/>
  <c r="H96" i="4"/>
  <c r="G97" i="4"/>
  <c r="E98" i="4"/>
  <c r="D93" i="4"/>
  <c r="D96" i="4"/>
  <c r="D97" i="4"/>
  <c r="C91" i="4"/>
  <c r="BG13" i="4" s="1"/>
  <c r="G88" i="4"/>
  <c r="G94" i="4" s="1"/>
  <c r="F88" i="4"/>
  <c r="F94" i="4" s="1"/>
  <c r="E88" i="4"/>
  <c r="E95" i="4" s="1"/>
  <c r="D88" i="4"/>
  <c r="D94" i="4" s="1"/>
  <c r="H88" i="4"/>
  <c r="H92" i="4" s="1"/>
  <c r="I88" i="4"/>
  <c r="I95" i="4" s="1"/>
  <c r="C88" i="4"/>
  <c r="U6" i="12"/>
  <c r="E13" i="4"/>
  <c r="G13" i="4" s="1"/>
  <c r="AT7" i="4"/>
  <c r="AU7" i="4"/>
  <c r="AV7" i="4"/>
  <c r="AW7" i="4"/>
  <c r="AX7" i="4"/>
  <c r="AY7" i="4"/>
  <c r="AZ7" i="4"/>
  <c r="BA7" i="4"/>
  <c r="BB7" i="4"/>
  <c r="AS7" i="4"/>
  <c r="D20" i="4"/>
  <c r="F20" i="4" s="1"/>
  <c r="B6" i="4"/>
  <c r="E14" i="4"/>
  <c r="G14" i="4" s="1"/>
  <c r="E15" i="4"/>
  <c r="G15" i="4" s="1"/>
  <c r="E16" i="4"/>
  <c r="G16" i="4" s="1"/>
  <c r="E17" i="4"/>
  <c r="E18" i="4"/>
  <c r="G18" i="4" s="1"/>
  <c r="E19" i="4"/>
  <c r="G19" i="4" s="1"/>
  <c r="F14" i="4"/>
  <c r="F15" i="4"/>
  <c r="F16" i="4"/>
  <c r="F17" i="4"/>
  <c r="F18" i="4"/>
  <c r="F19" i="4"/>
  <c r="F13" i="4"/>
  <c r="I98" i="4" l="1"/>
  <c r="F97" i="4"/>
  <c r="I94" i="4"/>
  <c r="F93" i="4"/>
  <c r="D92" i="4"/>
  <c r="D95" i="4"/>
  <c r="H98" i="4"/>
  <c r="I97" i="4"/>
  <c r="E97" i="4"/>
  <c r="F96" i="4"/>
  <c r="G95" i="4"/>
  <c r="H94" i="4"/>
  <c r="I93" i="4"/>
  <c r="E93" i="4"/>
  <c r="F92" i="4"/>
  <c r="J20" i="4"/>
  <c r="C126" i="4"/>
  <c r="C122" i="4"/>
  <c r="D98" i="4"/>
  <c r="G98" i="4"/>
  <c r="H97" i="4"/>
  <c r="I96" i="4"/>
  <c r="E96" i="4"/>
  <c r="F95" i="4"/>
  <c r="H93" i="4"/>
  <c r="I92" i="4"/>
  <c r="E92" i="4"/>
  <c r="C125" i="4"/>
  <c r="P17" i="4" s="1"/>
  <c r="F98" i="4"/>
  <c r="C121" i="4"/>
  <c r="P16" i="4"/>
  <c r="P19" i="4"/>
  <c r="P15" i="4"/>
  <c r="P18" i="4"/>
  <c r="P14" i="4"/>
  <c r="C94" i="4"/>
  <c r="O96" i="4"/>
  <c r="O97" i="4" s="1"/>
  <c r="B7" i="4"/>
  <c r="G17" i="4"/>
  <c r="BG16" i="4" l="1"/>
  <c r="L15" i="4"/>
  <c r="BL15" i="4"/>
  <c r="BI15" i="4"/>
  <c r="F9" i="4"/>
  <c r="J9" i="4"/>
  <c r="E9" i="4"/>
  <c r="G9" i="4"/>
  <c r="K9" i="4"/>
  <c r="C9" i="4"/>
  <c r="D9" i="4"/>
  <c r="H9" i="4"/>
  <c r="L9" i="4"/>
  <c r="I9" i="4"/>
  <c r="C93" i="4"/>
  <c r="C98" i="4"/>
  <c r="P96" i="4"/>
  <c r="P97" i="4" s="1"/>
  <c r="BM15" i="4"/>
  <c r="C95" i="4"/>
  <c r="BK16" i="4" s="1"/>
  <c r="C97" i="4"/>
  <c r="BL18" i="4" s="1"/>
  <c r="BI14" i="4"/>
  <c r="BJ18" i="4"/>
  <c r="BH15" i="4"/>
  <c r="BK15" i="4"/>
  <c r="N96" i="4"/>
  <c r="N97" i="4" s="1"/>
  <c r="C96" i="4"/>
  <c r="BL14" i="4"/>
  <c r="BM14" i="4"/>
  <c r="BI18" i="4"/>
  <c r="R96" i="4"/>
  <c r="R97" i="4" s="1"/>
  <c r="BJ15" i="4"/>
  <c r="Q96" i="4"/>
  <c r="Q97" i="4" s="1"/>
  <c r="C128" i="4"/>
  <c r="C129" i="4" s="1"/>
  <c r="P13" i="4"/>
  <c r="C20" i="4"/>
  <c r="I20" i="4" s="1"/>
  <c r="L17" i="4" l="1"/>
  <c r="BG18" i="4"/>
  <c r="BL17" i="4"/>
  <c r="BH17" i="4"/>
  <c r="BK17" i="4"/>
  <c r="BM17" i="4"/>
  <c r="L19" i="4"/>
  <c r="BI19" i="4"/>
  <c r="AI6" i="4"/>
  <c r="AI3" i="4"/>
  <c r="AI7" i="4"/>
  <c r="AI4" i="4"/>
  <c r="AI8" i="4"/>
  <c r="AI5" i="4"/>
  <c r="AI9" i="4"/>
  <c r="AH3" i="4"/>
  <c r="AH7" i="4"/>
  <c r="AH4" i="4"/>
  <c r="AH8" i="4"/>
  <c r="AH5" i="4"/>
  <c r="AH9" i="4"/>
  <c r="AH6" i="4"/>
  <c r="BK19" i="4"/>
  <c r="BM19" i="4"/>
  <c r="BH16" i="4"/>
  <c r="BL19" i="4"/>
  <c r="BI17" i="4"/>
  <c r="BK14" i="4"/>
  <c r="L14" i="4"/>
  <c r="BH14" i="4"/>
  <c r="BG15" i="4"/>
  <c r="AE6" i="4"/>
  <c r="BO6" i="4" s="1"/>
  <c r="AE9" i="4"/>
  <c r="AE3" i="4"/>
  <c r="AE7" i="4"/>
  <c r="AE5" i="4"/>
  <c r="AE4" i="4"/>
  <c r="AE8" i="4"/>
  <c r="AF5" i="4"/>
  <c r="AF9" i="4"/>
  <c r="AF4" i="4"/>
  <c r="AF6" i="4"/>
  <c r="AF8" i="4"/>
  <c r="AF3" i="4"/>
  <c r="AF7" i="4"/>
  <c r="BJ14" i="4"/>
  <c r="BJ16" i="4"/>
  <c r="BH19" i="4"/>
  <c r="BJ17" i="4"/>
  <c r="BK18" i="4"/>
  <c r="L18" i="4"/>
  <c r="BH18" i="4"/>
  <c r="BG19" i="4"/>
  <c r="AJ5" i="4"/>
  <c r="AJ9" i="4"/>
  <c r="AJ6" i="4"/>
  <c r="BN6" i="4" s="1"/>
  <c r="AJ3" i="4"/>
  <c r="AJ7" i="4"/>
  <c r="AJ4" i="4"/>
  <c r="AJ8" i="4"/>
  <c r="BN8" i="4" s="1"/>
  <c r="AD4" i="4"/>
  <c r="AD8" i="4"/>
  <c r="AD3" i="4"/>
  <c r="AD5" i="4"/>
  <c r="AD9" i="4"/>
  <c r="AD6" i="4"/>
  <c r="AD7" i="4"/>
  <c r="AK4" i="4"/>
  <c r="BO4" i="4" s="1"/>
  <c r="AK8" i="4"/>
  <c r="AK3" i="4"/>
  <c r="AK7" i="4"/>
  <c r="AK5" i="4"/>
  <c r="BO5" i="4" s="1"/>
  <c r="AK9" i="4"/>
  <c r="AK6" i="4"/>
  <c r="BM18" i="4"/>
  <c r="BJ19" i="4"/>
  <c r="L16" i="4"/>
  <c r="BG17" i="4"/>
  <c r="BM16" i="4"/>
  <c r="BI16" i="4"/>
  <c r="BL16" i="4"/>
  <c r="AM6" i="4"/>
  <c r="AM5" i="4"/>
  <c r="AM9" i="4"/>
  <c r="AM3" i="4"/>
  <c r="AM7" i="4"/>
  <c r="AM4" i="4"/>
  <c r="AM8" i="4"/>
  <c r="AL3" i="4"/>
  <c r="BP3" i="4" s="1"/>
  <c r="AL7" i="4"/>
  <c r="AL6" i="4"/>
  <c r="AL4" i="4"/>
  <c r="AL8" i="4"/>
  <c r="AL5" i="4"/>
  <c r="AL9" i="4"/>
  <c r="AG4" i="4"/>
  <c r="AG8" i="4"/>
  <c r="AG5" i="4"/>
  <c r="AG9" i="4"/>
  <c r="AG6" i="4"/>
  <c r="AG3" i="4"/>
  <c r="AG7" i="4"/>
  <c r="BP5" i="4"/>
  <c r="BK8" i="4"/>
  <c r="BK3" i="4"/>
  <c r="BO8" i="4"/>
  <c r="BN3" i="4"/>
  <c r="BM8" i="4"/>
  <c r="BJ8" i="4"/>
  <c r="BL8" i="4"/>
  <c r="BQ8" i="4"/>
  <c r="O3" i="5"/>
  <c r="AL3" i="5"/>
  <c r="AL6" i="5"/>
  <c r="AL8" i="5"/>
  <c r="AL16" i="5"/>
  <c r="AL22" i="5"/>
  <c r="AL24" i="5"/>
  <c r="AL19" i="5"/>
  <c r="AG19" i="5"/>
  <c r="AG20" i="5"/>
  <c r="AG21" i="5"/>
  <c r="AG22" i="5"/>
  <c r="AG23" i="5"/>
  <c r="AG24" i="5"/>
  <c r="AF19" i="5"/>
  <c r="AG15" i="5"/>
  <c r="AG16" i="5"/>
  <c r="AG11" i="5"/>
  <c r="AG6" i="5"/>
  <c r="AG4" i="5"/>
  <c r="AG5" i="5"/>
  <c r="AG7" i="5"/>
  <c r="AG8" i="5"/>
  <c r="AF4" i="5"/>
  <c r="AG3" i="5"/>
  <c r="T4" i="5"/>
  <c r="T5" i="5"/>
  <c r="T6" i="5"/>
  <c r="T7" i="5"/>
  <c r="T8" i="5"/>
  <c r="T9" i="5"/>
  <c r="T10" i="5"/>
  <c r="T11" i="5"/>
  <c r="T12" i="5"/>
  <c r="T14" i="5"/>
  <c r="T16" i="5"/>
  <c r="T17" i="5"/>
  <c r="T19" i="5"/>
  <c r="T20" i="5"/>
  <c r="T21" i="5"/>
  <c r="T23" i="5"/>
  <c r="T25" i="5"/>
  <c r="T26" i="5"/>
  <c r="T27" i="5"/>
  <c r="T28" i="5"/>
  <c r="T29" i="5"/>
  <c r="T30" i="5"/>
  <c r="T31" i="5"/>
  <c r="T32" i="5"/>
  <c r="T33" i="5"/>
  <c r="T34" i="5"/>
  <c r="T35" i="5"/>
  <c r="T36" i="5"/>
  <c r="T37" i="5"/>
  <c r="T38" i="5"/>
  <c r="T3" i="5"/>
  <c r="AF3" i="5"/>
  <c r="AF5" i="5"/>
  <c r="AF6" i="5"/>
  <c r="AF7" i="5"/>
  <c r="AF8" i="5"/>
  <c r="L3" i="5"/>
  <c r="AH19" i="5"/>
  <c r="AI19" i="5"/>
  <c r="AJ19" i="5"/>
  <c r="AK19" i="5"/>
  <c r="AO19" i="5" s="1"/>
  <c r="AH20" i="5"/>
  <c r="AI20" i="5"/>
  <c r="AJ20" i="5"/>
  <c r="AK20" i="5"/>
  <c r="AH21" i="5"/>
  <c r="AI21" i="5"/>
  <c r="AJ21" i="5"/>
  <c r="AK21" i="5"/>
  <c r="AH22" i="5"/>
  <c r="AI22" i="5"/>
  <c r="AJ22" i="5"/>
  <c r="AK22" i="5"/>
  <c r="AO22" i="5" s="1"/>
  <c r="AH23" i="5"/>
  <c r="AI23" i="5"/>
  <c r="AJ23" i="5"/>
  <c r="AK23" i="5"/>
  <c r="AH24" i="5"/>
  <c r="AI24" i="5"/>
  <c r="AJ24" i="5"/>
  <c r="AK24" i="5"/>
  <c r="AO24" i="5" s="1"/>
  <c r="AF24" i="5"/>
  <c r="AF23" i="5"/>
  <c r="AF22" i="5"/>
  <c r="AF21" i="5"/>
  <c r="AF20" i="5"/>
  <c r="AN24" i="5"/>
  <c r="AM24" i="5"/>
  <c r="AN22" i="5"/>
  <c r="AM22" i="5"/>
  <c r="AN19" i="5"/>
  <c r="AM19" i="5"/>
  <c r="AF16" i="5"/>
  <c r="AF15" i="5"/>
  <c r="AF11" i="5"/>
  <c r="AM6" i="5"/>
  <c r="AN8" i="5"/>
  <c r="AM3" i="5"/>
  <c r="AI15" i="5"/>
  <c r="AJ15" i="5"/>
  <c r="AK15" i="5"/>
  <c r="AI16" i="5"/>
  <c r="AM16" i="5" s="1"/>
  <c r="AJ16" i="5"/>
  <c r="AN16" i="5" s="1"/>
  <c r="AK16" i="5"/>
  <c r="AO16" i="5" s="1"/>
  <c r="AH11" i="5"/>
  <c r="AI3" i="5"/>
  <c r="AI11" i="5" s="1"/>
  <c r="AJ3" i="5"/>
  <c r="AN3" i="5" s="1"/>
  <c r="AK3" i="5"/>
  <c r="AK11" i="5" s="1"/>
  <c r="AI4" i="5"/>
  <c r="AJ4" i="5"/>
  <c r="AK4" i="5"/>
  <c r="AI5" i="5"/>
  <c r="AJ5" i="5"/>
  <c r="AK5" i="5"/>
  <c r="AI6" i="5"/>
  <c r="AJ6" i="5"/>
  <c r="AN6" i="5" s="1"/>
  <c r="AK6" i="5"/>
  <c r="AO6" i="5" s="1"/>
  <c r="AI7" i="5"/>
  <c r="AJ7" i="5"/>
  <c r="AK7" i="5"/>
  <c r="AI8" i="5"/>
  <c r="AM8" i="5" s="1"/>
  <c r="AJ8" i="5"/>
  <c r="AK8" i="5"/>
  <c r="AO8" i="5" s="1"/>
  <c r="AH16" i="5"/>
  <c r="AH15" i="5"/>
  <c r="AH13" i="5"/>
  <c r="AH3" i="5"/>
  <c r="AH8" i="5"/>
  <c r="AH7" i="5"/>
  <c r="AH6" i="5"/>
  <c r="AH5" i="5"/>
  <c r="AH4" i="5"/>
  <c r="W4" i="5"/>
  <c r="X4" i="5"/>
  <c r="W5" i="5"/>
  <c r="X5" i="5"/>
  <c r="W6" i="5"/>
  <c r="X6" i="5"/>
  <c r="W7" i="5"/>
  <c r="X7" i="5"/>
  <c r="W8" i="5"/>
  <c r="X8" i="5"/>
  <c r="W9" i="5"/>
  <c r="X9" i="5"/>
  <c r="W10" i="5"/>
  <c r="X10" i="5"/>
  <c r="W11" i="5"/>
  <c r="X11" i="5"/>
  <c r="W12" i="5"/>
  <c r="X12" i="5"/>
  <c r="W14" i="5"/>
  <c r="X14" i="5"/>
  <c r="W16" i="5"/>
  <c r="X16" i="5"/>
  <c r="W17" i="5"/>
  <c r="X17" i="5"/>
  <c r="W19" i="5"/>
  <c r="X19" i="5"/>
  <c r="W20" i="5"/>
  <c r="X20" i="5"/>
  <c r="W21" i="5"/>
  <c r="X21" i="5"/>
  <c r="W23" i="5"/>
  <c r="X23" i="5"/>
  <c r="W25" i="5"/>
  <c r="X25" i="5"/>
  <c r="W26" i="5"/>
  <c r="X26" i="5"/>
  <c r="W27" i="5"/>
  <c r="X27" i="5"/>
  <c r="W28" i="5"/>
  <c r="X28" i="5"/>
  <c r="W29" i="5"/>
  <c r="X29" i="5"/>
  <c r="W30" i="5"/>
  <c r="X30" i="5"/>
  <c r="W31" i="5"/>
  <c r="X31" i="5"/>
  <c r="W32" i="5"/>
  <c r="X32" i="5"/>
  <c r="W33" i="5"/>
  <c r="X33" i="5"/>
  <c r="W34" i="5"/>
  <c r="X34" i="5"/>
  <c r="W35" i="5"/>
  <c r="X35" i="5"/>
  <c r="W36" i="5"/>
  <c r="X36" i="5"/>
  <c r="W37" i="5"/>
  <c r="X37" i="5"/>
  <c r="W38" i="5"/>
  <c r="X38" i="5"/>
  <c r="X3" i="5"/>
  <c r="W3" i="5"/>
  <c r="V23" i="5"/>
  <c r="V14" i="5"/>
  <c r="V12" i="5"/>
  <c r="V11" i="5"/>
  <c r="V10" i="5"/>
  <c r="V9" i="5"/>
  <c r="V8" i="5"/>
  <c r="V7" i="5"/>
  <c r="V6" i="5"/>
  <c r="V5" i="5"/>
  <c r="V4" i="5"/>
  <c r="V3" i="5"/>
  <c r="BQ6" i="4" l="1"/>
  <c r="BJ6" i="4"/>
  <c r="BL6" i="4"/>
  <c r="BM6" i="4"/>
  <c r="BK6" i="4"/>
  <c r="BQ4" i="4"/>
  <c r="BL4" i="4"/>
  <c r="BJ4" i="4"/>
  <c r="BK4" i="4"/>
  <c r="BM4" i="4"/>
  <c r="BN4" i="4"/>
  <c r="BQ5" i="4"/>
  <c r="BJ5" i="4"/>
  <c r="BO3" i="4"/>
  <c r="BH9" i="4"/>
  <c r="BO7" i="4"/>
  <c r="BP8" i="4"/>
  <c r="BJ9" i="4"/>
  <c r="AF10" i="4"/>
  <c r="AF11" i="4" s="1"/>
  <c r="BQ7" i="4"/>
  <c r="BL7" i="4"/>
  <c r="H15" i="4"/>
  <c r="BI5" i="4"/>
  <c r="BH5" i="4"/>
  <c r="BQ9" i="4"/>
  <c r="AM10" i="4"/>
  <c r="AM11" i="4" s="1"/>
  <c r="BQ3" i="4"/>
  <c r="BL5" i="4"/>
  <c r="BL3" i="4"/>
  <c r="BJ3" i="4"/>
  <c r="BM9" i="4"/>
  <c r="AI10" i="4"/>
  <c r="AI11" i="4" s="1"/>
  <c r="BM7" i="4"/>
  <c r="BN9" i="4"/>
  <c r="AJ10" i="4"/>
  <c r="AJ11" i="4" s="1"/>
  <c r="H18" i="4"/>
  <c r="BI8" i="4"/>
  <c r="H16" i="4"/>
  <c r="BI6" i="4"/>
  <c r="BK9" i="4"/>
  <c r="AG10" i="4"/>
  <c r="AG11" i="4" s="1"/>
  <c r="BP9" i="4"/>
  <c r="AL10" i="4"/>
  <c r="AL11" i="4" s="1"/>
  <c r="BP4" i="4"/>
  <c r="BH7" i="4"/>
  <c r="BH8" i="4"/>
  <c r="H17" i="4"/>
  <c r="BI7" i="4"/>
  <c r="AH10" i="4"/>
  <c r="AH11" i="4" s="1"/>
  <c r="BL9" i="4"/>
  <c r="BJ7" i="4"/>
  <c r="H13" i="4"/>
  <c r="BI3" i="4"/>
  <c r="BH3" i="4"/>
  <c r="BM5" i="4"/>
  <c r="BM3" i="4"/>
  <c r="BN7" i="4"/>
  <c r="BN5" i="4"/>
  <c r="BO9" i="4"/>
  <c r="AK10" i="4"/>
  <c r="AK11" i="4" s="1"/>
  <c r="H19" i="4"/>
  <c r="BI9" i="4"/>
  <c r="AE10" i="4"/>
  <c r="H14" i="4"/>
  <c r="BI4" i="4"/>
  <c r="BK7" i="4"/>
  <c r="BK5" i="4"/>
  <c r="BP6" i="4"/>
  <c r="BP7" i="4"/>
  <c r="BH6" i="4"/>
  <c r="BH4" i="4"/>
  <c r="AJ11" i="5"/>
  <c r="AO3" i="5"/>
  <c r="I31" i="5"/>
  <c r="I33" i="5"/>
  <c r="I35" i="5"/>
  <c r="N4" i="5" s="1"/>
  <c r="I37" i="5"/>
  <c r="I41" i="5"/>
  <c r="I43" i="5"/>
  <c r="I19" i="5"/>
  <c r="I20" i="5"/>
  <c r="I21" i="5"/>
  <c r="I22" i="5"/>
  <c r="I23" i="5"/>
  <c r="I25" i="5"/>
  <c r="I26" i="5"/>
  <c r="I27" i="5"/>
  <c r="I28" i="5"/>
  <c r="I29" i="5"/>
  <c r="I18" i="5"/>
  <c r="I16" i="5"/>
  <c r="I15" i="5"/>
  <c r="I4" i="5"/>
  <c r="I5" i="5"/>
  <c r="I6" i="5"/>
  <c r="I7" i="5"/>
  <c r="I8" i="5"/>
  <c r="I9" i="5"/>
  <c r="I10" i="5"/>
  <c r="I11" i="5"/>
  <c r="I3" i="5"/>
  <c r="K31" i="5"/>
  <c r="H20" i="4" l="1"/>
  <c r="AE11" i="4"/>
  <c r="N6" i="5"/>
  <c r="K3" i="5"/>
  <c r="N5" i="5"/>
  <c r="K18" i="5"/>
  <c r="N8" i="5" s="1"/>
  <c r="N9" i="5"/>
  <c r="N3" i="5"/>
  <c r="K15" i="5"/>
  <c r="H9" i="11"/>
  <c r="D9" i="11"/>
  <c r="E9" i="11"/>
  <c r="F9" i="11"/>
  <c r="G9" i="11"/>
  <c r="I9" i="11"/>
  <c r="J9" i="11"/>
  <c r="K9" i="11"/>
  <c r="D10" i="11"/>
  <c r="E10" i="11"/>
  <c r="F10" i="11"/>
  <c r="G10" i="11"/>
  <c r="H10" i="11"/>
  <c r="I10" i="11"/>
  <c r="J10" i="11"/>
  <c r="K10" i="11"/>
  <c r="E8" i="11"/>
  <c r="F8" i="11"/>
  <c r="G8" i="11"/>
  <c r="H8" i="11"/>
  <c r="I8" i="11"/>
  <c r="J8" i="11"/>
  <c r="K8" i="11"/>
  <c r="B9" i="11"/>
  <c r="B10" i="11"/>
  <c r="B8" i="11"/>
  <c r="C6" i="11"/>
  <c r="D6" i="11"/>
  <c r="E6" i="11"/>
  <c r="F6" i="11"/>
  <c r="G6" i="11"/>
  <c r="H6" i="11"/>
  <c r="I6" i="11"/>
  <c r="J6" i="11"/>
  <c r="K6" i="11"/>
  <c r="B6" i="11"/>
  <c r="E20" i="4"/>
  <c r="G20" i="4" s="1"/>
  <c r="B8" i="8"/>
  <c r="B7" i="8"/>
  <c r="B6" i="8"/>
  <c r="B5" i="8"/>
  <c r="B4" i="8"/>
  <c r="B3" i="8"/>
  <c r="B2" i="8"/>
  <c r="B3" i="2"/>
  <c r="B4" i="2"/>
  <c r="B5" i="2"/>
  <c r="B6" i="2"/>
  <c r="B7" i="2"/>
  <c r="B8" i="2"/>
  <c r="B9" i="2"/>
  <c r="AS4" i="4"/>
  <c r="AT4" i="4"/>
  <c r="AU4" i="4"/>
  <c r="AV4" i="4"/>
  <c r="AW4" i="4"/>
  <c r="AX4" i="4"/>
  <c r="AY4" i="4"/>
  <c r="AZ4" i="4"/>
  <c r="BA4" i="4"/>
  <c r="BB4" i="4"/>
  <c r="AS5" i="4"/>
  <c r="AT5" i="4"/>
  <c r="AU5" i="4"/>
  <c r="AV5" i="4"/>
  <c r="AW5" i="4"/>
  <c r="AX5" i="4"/>
  <c r="AY5" i="4"/>
  <c r="AZ5" i="4"/>
  <c r="BA5" i="4"/>
  <c r="BB5" i="4"/>
  <c r="AS6" i="4"/>
  <c r="AT6" i="4"/>
  <c r="AU6" i="4"/>
  <c r="AV6" i="4"/>
  <c r="AW6" i="4"/>
  <c r="AX6" i="4"/>
  <c r="AY6" i="4"/>
  <c r="AZ6" i="4"/>
  <c r="BA6" i="4"/>
  <c r="BB6" i="4"/>
  <c r="AS8" i="4"/>
  <c r="AT8" i="4"/>
  <c r="AU8" i="4"/>
  <c r="AV8" i="4"/>
  <c r="AW8" i="4"/>
  <c r="AX8" i="4"/>
  <c r="AY8" i="4"/>
  <c r="AZ8" i="4"/>
  <c r="BA8" i="4"/>
  <c r="BB8" i="4"/>
  <c r="AS9" i="4"/>
  <c r="AT9" i="4"/>
  <c r="AU9" i="4"/>
  <c r="AV9" i="4"/>
  <c r="AW9" i="4"/>
  <c r="AX9" i="4"/>
  <c r="AY9" i="4"/>
  <c r="AZ9" i="4"/>
  <c r="BA9" i="4"/>
  <c r="BB9" i="4"/>
  <c r="AU3" i="4"/>
  <c r="AV3" i="4"/>
  <c r="AW3" i="4"/>
  <c r="AX3" i="4"/>
  <c r="AY3" i="4"/>
  <c r="AZ3" i="4"/>
  <c r="BA3" i="4"/>
  <c r="BB3" i="4"/>
  <c r="AS3" i="4"/>
  <c r="AT3" i="4"/>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K43" i="5"/>
  <c r="K41" i="5"/>
  <c r="K37" i="5"/>
  <c r="K35" i="5"/>
  <c r="K33" i="5"/>
  <c r="O8" i="5" l="1"/>
  <c r="O9" i="5"/>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16" i="1"/>
  <c r="AD10" i="4"/>
  <c r="AD11" i="4" s="1"/>
  <c r="M96" i="4"/>
  <c r="M97" i="4" s="1"/>
  <c r="C92" i="4"/>
  <c r="L96" i="4" l="1"/>
  <c r="L97" i="4" s="1"/>
  <c r="L13" i="4"/>
  <c r="BG14" i="4"/>
  <c r="BL13" i="4"/>
  <c r="BK13" i="4"/>
  <c r="BJ13" i="4"/>
  <c r="BI13" i="4"/>
  <c r="BH13" i="4"/>
  <c r="BM13" i="4"/>
  <c r="S96" i="4"/>
  <c r="F7" i="11"/>
  <c r="J7" i="11"/>
  <c r="I7" i="11"/>
  <c r="E7" i="11"/>
  <c r="G7" i="11"/>
  <c r="D7" i="11"/>
  <c r="H7" i="11"/>
  <c r="B7" i="11"/>
</calcChain>
</file>

<file path=xl/sharedStrings.xml><?xml version="1.0" encoding="utf-8"?>
<sst xmlns="http://schemas.openxmlformats.org/spreadsheetml/2006/main" count="1391" uniqueCount="423">
  <si>
    <t xml:space="preserve">Calculation: </t>
  </si>
  <si>
    <t>Analyze</t>
  </si>
  <si>
    <t xml:space="preserve">Results: </t>
  </si>
  <si>
    <t>Impact assessment</t>
  </si>
  <si>
    <t xml:space="preserve">Product: </t>
  </si>
  <si>
    <t>1 p Compilation of all processes (Conseq) (of project Copper)</t>
  </si>
  <si>
    <t xml:space="preserve">Method: </t>
  </si>
  <si>
    <t>TRACI 2.1 V1.05 / Canada 2005</t>
  </si>
  <si>
    <t xml:space="preserve">Indicator: </t>
  </si>
  <si>
    <t>Characterization</t>
  </si>
  <si>
    <t xml:space="preserve">Skip categories: </t>
  </si>
  <si>
    <t>Never</t>
  </si>
  <si>
    <t xml:space="preserve">Exclude infrastructure processes: </t>
  </si>
  <si>
    <t>No</t>
  </si>
  <si>
    <t xml:space="preserve">Exclude long-term emissions: </t>
  </si>
  <si>
    <t xml:space="preserve">Sorted on item: </t>
  </si>
  <si>
    <t>Impact category</t>
  </si>
  <si>
    <t xml:space="preserve">Sort order: </t>
  </si>
  <si>
    <t>Ascending</t>
  </si>
  <si>
    <t>Unit</t>
  </si>
  <si>
    <t>Total</t>
  </si>
  <si>
    <t>Metal working, average for copper product manufacturing {GLO}| market for | Conseq, U</t>
  </si>
  <si>
    <t>Brass removed by turning, average, computer numerical controlled {GLO}| market for | Conseq, U</t>
  </si>
  <si>
    <t>Brass removed by turning, average, conventional {RER}| brass turning, average, conventional | Conseq, U</t>
  </si>
  <si>
    <t>Casting, brass {GLO}| market for | Conseq, U</t>
  </si>
  <si>
    <t>Casting, bronze {GLO}| market for | Conseq, U</t>
  </si>
  <si>
    <t>Contouring, bronze {GLO}| market for | Conseq, U</t>
  </si>
  <si>
    <t>Contouring, brass {GLO}| market for | Conseq, U</t>
  </si>
  <si>
    <t>Sheet rolling, copper {GLO}| market for | Conseq, U</t>
  </si>
  <si>
    <t>Wire drawing, copper {GLO}| market for | Conseq, U</t>
  </si>
  <si>
    <t>Machine, for treatment of waste electric and electronic equipment {GLO}| construction | Conseq, U</t>
  </si>
  <si>
    <t>Mechanical treatment facility, waste electric and electronic equipment {GLO}| construction | Conseq, U</t>
  </si>
  <si>
    <t>Process-specific burdens, import of copper to Switzerland {DE}| process-specific burdens, import of copper to Switzerland | Conseq, U</t>
  </si>
  <si>
    <t>Scrap preparation facility {GLO}| market for | Conseq, U</t>
  </si>
  <si>
    <t>Sorting facility, for construction waste {GLO}| market for | Conseq, U</t>
  </si>
  <si>
    <t>Slag landfill {GLO}| market for | Conseq, U</t>
  </si>
  <si>
    <t>Machine, for treatment of waste electric and electronic equipment {GLO}| market for | Conseq, U</t>
  </si>
  <si>
    <t>Manual treatment facility, waste electric and electronic equipment {GLO}| market for | Conseq, U</t>
  </si>
  <si>
    <t>Mechanical treatment facility, waste electric and electronic equipment {GLO}| market for | Conseq, U</t>
  </si>
  <si>
    <t>Sorting facility, for construction waste {CH}| sorting facility construction, for construction waste | Conseq, U</t>
  </si>
  <si>
    <t>Sorting facility, for construction waste {RoW}| sorting facility construction, for construction waste | Conseq, U</t>
  </si>
  <si>
    <t>Manual treatment facility, waste electric and electronic equipment {GLO}| construction | Conseq, U</t>
  </si>
  <si>
    <t>Scrap preparation facility {RER}| construction | Conseq, U</t>
  </si>
  <si>
    <t>Scrap preparation facility {RoW}| construction | Conseq, U</t>
  </si>
  <si>
    <t>Inert material landfill {CH}| construction | Conseq, U</t>
  </si>
  <si>
    <t>Inert material landfill {RoW}| construction | Conseq, U</t>
  </si>
  <si>
    <t>Residual material landfill {CH}| construction | Conseq, U</t>
  </si>
  <si>
    <t>Residual material landfill {RoW}| construction | Conseq, U</t>
  </si>
  <si>
    <t>Slag landfill {CH}| construction | Conseq, U</t>
  </si>
  <si>
    <t>Slag landfill {RoW}| construction | Conseq, U</t>
  </si>
  <si>
    <t>Sanitary landfill facility {CH}| construction | Conseq, U</t>
  </si>
  <si>
    <t>Sanitary landfill facility {RoW}| construction | Conseq, U</t>
  </si>
  <si>
    <t>Municipal waste collection service by 21 metric ton lorry {CH}| processing | Conseq, U</t>
  </si>
  <si>
    <t>Municipal waste collection service by 21 metric ton lorry {RoW}| processing | Conseq, U</t>
  </si>
  <si>
    <t>Electricity, medium voltage {CH}| market for | Conseq, U</t>
  </si>
  <si>
    <t>Electricity, medium voltage {GLO}| market group for | Conseq, U</t>
  </si>
  <si>
    <t>Energy and auxilliary inputs, metal working factory {RoW}| with heating from natural gas | Conseq, U</t>
  </si>
  <si>
    <t>Energy and auxilliary inputs, metal working factory {RoW}| with heating from light fuel oil | Conseq, U</t>
  </si>
  <si>
    <t>Energy and auxilliary inputs, metal working factory {RoW}| with heating from heavy fuel oil | Conseq, U</t>
  </si>
  <si>
    <t>Energy and auxilliary inputs, metal working factory {RoW}| with heating from hard coal | Conseq, U</t>
  </si>
  <si>
    <t>Energy and auxilliary inputs, metal working machine {RoW}| with process heat from hard coal | Conseq, U</t>
  </si>
  <si>
    <t>Energy and auxilliary inputs, metal working machine {RoW}| with process heat from heavy fuel oil | Conseq, U</t>
  </si>
  <si>
    <t>Energy and auxilliary inputs, metal working machine {RoW}| with process heat from light fuel oil | Conseq, U</t>
  </si>
  <si>
    <t>Energy and auxilliary inputs, metal working machine {RoW}| with process heat from natural gas | Conseq, U</t>
  </si>
  <si>
    <t>Metal working factory {RoW}| construction | Conseq, U</t>
  </si>
  <si>
    <t>Metal working, average for copper product manufacturing {RoW}| processing | Conseq, U</t>
  </si>
  <si>
    <t>Metal working, average for copper product manufacturing {RER}| processing | Conseq, U</t>
  </si>
  <si>
    <t>Rolling mill {RoW}| production | Conseq, U</t>
  </si>
  <si>
    <t>Ozone depletion</t>
  </si>
  <si>
    <t>kg CFC-11 eq</t>
  </si>
  <si>
    <t>Global warming</t>
  </si>
  <si>
    <t>kg CO2 eq</t>
  </si>
  <si>
    <t>Smog</t>
  </si>
  <si>
    <t>kg O3 eq</t>
  </si>
  <si>
    <t>Acidification</t>
  </si>
  <si>
    <t>kg SO2 eq</t>
  </si>
  <si>
    <t>Eutrophication</t>
  </si>
  <si>
    <t>kg N eq</t>
  </si>
  <si>
    <t>Carcinogenics</t>
  </si>
  <si>
    <t>CTUh</t>
  </si>
  <si>
    <t>Non carcinogenics</t>
  </si>
  <si>
    <t>Respiratory effects</t>
  </si>
  <si>
    <t>kg PM2.5 eq</t>
  </si>
  <si>
    <t>Ecotoxicity</t>
  </si>
  <si>
    <t>CTUe</t>
  </si>
  <si>
    <t>Fossil fuel depletion</t>
  </si>
  <si>
    <t>MJ surplus</t>
  </si>
  <si>
    <t>Region</t>
  </si>
  <si>
    <t>Module</t>
  </si>
  <si>
    <t>Semis</t>
  </si>
  <si>
    <t>Scrap</t>
  </si>
  <si>
    <t>Refining</t>
  </si>
  <si>
    <t>Any</t>
  </si>
  <si>
    <t>1 p Compilation of all materials (Conseq) (of project Copper)</t>
  </si>
  <si>
    <t>Brass {CH}| market for brass | Conseq, U</t>
  </si>
  <si>
    <t>Brass {RoW}| market for brass | Conseq, U</t>
  </si>
  <si>
    <t>Bronze {GLO}| market for | Conseq, U</t>
  </si>
  <si>
    <t>Copper {GLO}| market for | Conseq, U</t>
  </si>
  <si>
    <t>Brass {CH}| production | Conseq, U</t>
  </si>
  <si>
    <t>Brass {RoW}| production | Conseq, U</t>
  </si>
  <si>
    <t>Bronze {CH}| production | Conseq, U</t>
  </si>
  <si>
    <t>Copper {AU}| production, primary | APOS, U</t>
  </si>
  <si>
    <t>Copper {AU}| production, primary | Conseq, U</t>
  </si>
  <si>
    <t>Copper {GLO}| treatment of used cable | APOS, U</t>
  </si>
  <si>
    <t>Copper {RAS}| production, primary | APOS, U</t>
  </si>
  <si>
    <t>Copper {RAS}| production, primary | Conseq, U</t>
  </si>
  <si>
    <t>Copper {RER}| production, primary | APOS, U</t>
  </si>
  <si>
    <t>Copper {RER}| production, primary | Conseq, U</t>
  </si>
  <si>
    <t>Copper {RER}| treatment of scrap by electrolytic refining | APOS, U</t>
  </si>
  <si>
    <t>Copper {RLA}| production, primary | APOS, U</t>
  </si>
  <si>
    <t>Copper {RLA}| production, primary | Conseq, U</t>
  </si>
  <si>
    <t>Copper {RNA}| production, primary | APOS, U</t>
  </si>
  <si>
    <t>Copper {RNA}| production, primary | Conseq, U</t>
  </si>
  <si>
    <t>Copper {RoW}| gold-silver-zinc-lead-copper mine operation and refining | APOS, U</t>
  </si>
  <si>
    <t>Copper {RoW}| gold-silver-zinc-lead-copper mine operation and refining | Conseq, U</t>
  </si>
  <si>
    <t>Copper {RoW}| production, primary | APOS, U</t>
  </si>
  <si>
    <t>Copper {RoW}| production, primary | Conseq, U</t>
  </si>
  <si>
    <t>Copper {RoW}| treatment of metal part of electronics scrap, in blister-, by electrolytic refining | APOS, U</t>
  </si>
  <si>
    <t>Copper {RoW}| treatment of scrap by electrolytic refining | APOS, U</t>
  </si>
  <si>
    <t>Copper {SE}| gold-silver-zinc-lead-copper mine operation and refining | APOS, U</t>
  </si>
  <si>
    <t>Copper {SE}| gold-silver-zinc-lead-copper mine operation and refining | Conseq, U</t>
  </si>
  <si>
    <t>Copper {SE}| treatment of metal part of electronics scrap, in blister-, by electrolytic refining | APOS, U</t>
  </si>
  <si>
    <t>Copper concentrate, sulfide ore {AU}| copper mine operation, sulfide ore | APOS, U</t>
  </si>
  <si>
    <t>Copper concentrate, sulfide ore {AU}| copper mine operation, sulfide ore | Conseq, U</t>
  </si>
  <si>
    <t>Copper, blister-copper {RER}| production | APOS, U</t>
  </si>
  <si>
    <t>Copper, blister-copper {RER}| production | Conseq, U</t>
  </si>
  <si>
    <t>Copper, blister-copper {RoW}| production | APOS, U</t>
  </si>
  <si>
    <t>Copper, blister-copper {RoW}| production | Conseq, U</t>
  </si>
  <si>
    <t>Copper, cathode {GLO}| electrolytic refining of primary copper | APOS, U</t>
  </si>
  <si>
    <t>Copper, cathode {GLO}| electrolytic refining of primary copper | Conseq, U</t>
  </si>
  <si>
    <t>Copper, from solvent-extraction electro-winning {GLO}| copper production, solvent-extraction electro-winning | APOS, U</t>
  </si>
  <si>
    <t>Copper, from solvent-extraction electro-winning {GLO}| copper production, solvent-extraction electro-winning | Conseq, U</t>
  </si>
  <si>
    <t>Mining</t>
  </si>
  <si>
    <t>Mining &amp; Refining</t>
  </si>
  <si>
    <t>Scrap Refining</t>
  </si>
  <si>
    <t>Concentrate</t>
  </si>
  <si>
    <t>Blister</t>
  </si>
  <si>
    <t>SXEW</t>
  </si>
  <si>
    <t>GHG Intensity (t CO2/t Cu)</t>
  </si>
  <si>
    <t>Ore Grade (% Cu)</t>
  </si>
  <si>
    <t>Mine, Conc, Smelter, Refinery, and/or LSE</t>
  </si>
  <si>
    <t>Mine, Leaching, SX/EW (LSE)</t>
  </si>
  <si>
    <t>Mine, Conc</t>
  </si>
  <si>
    <t>Mine, Conc, LSE</t>
  </si>
  <si>
    <t>Mine, Conc, Smelter</t>
  </si>
  <si>
    <t xml:space="preserve">Notes: </t>
  </si>
  <si>
    <t>Data using webplot digitizer from figure 4 of: Northey, Stephen, Nawshad Haque, and G. Mudd. "Using sustainability reporting to assess the environmental footprint of copper mining." Journal of Cleaner Production 40 (2013): 118-128.</t>
  </si>
  <si>
    <t>World Mining Distribution</t>
  </si>
  <si>
    <t>Oceania</t>
  </si>
  <si>
    <t>Africa</t>
  </si>
  <si>
    <t>Europe</t>
  </si>
  <si>
    <t>North America</t>
  </si>
  <si>
    <t>Asia</t>
  </si>
  <si>
    <t>Latin America</t>
  </si>
  <si>
    <t>%</t>
  </si>
  <si>
    <t>Global warming (kg CO2eq)</t>
  </si>
  <si>
    <t>Australia</t>
  </si>
  <si>
    <t>kL water /t Cu</t>
  </si>
  <si>
    <t>Argentina</t>
  </si>
  <si>
    <t>Canada</t>
  </si>
  <si>
    <t>Chile</t>
  </si>
  <si>
    <t>Finland</t>
  </si>
  <si>
    <t>Laos</t>
  </si>
  <si>
    <t>South Africa</t>
  </si>
  <si>
    <t>Turkey</t>
  </si>
  <si>
    <t>Peru</t>
  </si>
  <si>
    <t>PNG</t>
  </si>
  <si>
    <t>USA</t>
  </si>
  <si>
    <t>kt ore/yr</t>
  </si>
  <si>
    <t>Operation</t>
  </si>
  <si>
    <t>Cadia-Ridgeway</t>
  </si>
  <si>
    <t>Ernest Henry</t>
  </si>
  <si>
    <t>Golden Grove</t>
  </si>
  <si>
    <t>Mount Isa</t>
  </si>
  <si>
    <t>Northparkes</t>
  </si>
  <si>
    <t>Olympic Dam</t>
  </si>
  <si>
    <t>Prominent Hill</t>
  </si>
  <si>
    <t>Rosebery</t>
  </si>
  <si>
    <t>Telfer</t>
  </si>
  <si>
    <t>Alumbrera</t>
  </si>
  <si>
    <t>Highland Valley</t>
  </si>
  <si>
    <t>Kidd Creek</t>
  </si>
  <si>
    <t>Andina</t>
  </si>
  <si>
    <t>Codelco Norte</t>
  </si>
  <si>
    <t>Collahuasi</t>
  </si>
  <si>
    <t>El Soldado</t>
  </si>
  <si>
    <t>El Teniente</t>
  </si>
  <si>
    <t>Escondida</t>
  </si>
  <si>
    <t>Lomas Bayas</t>
  </si>
  <si>
    <t>Los Bronces</t>
  </si>
  <si>
    <t>Mantos Blancos</t>
  </si>
  <si>
    <t>Mantoverde</t>
  </si>
  <si>
    <t>Salvador</t>
  </si>
  <si>
    <t>Quebrada Blanca</t>
  </si>
  <si>
    <t>Pyhasalmi</t>
  </si>
  <si>
    <t>Sepon</t>
  </si>
  <si>
    <t>Palabora</t>
  </si>
  <si>
    <t>Cayeli</t>
  </si>
  <si>
    <t>Tintaya</t>
  </si>
  <si>
    <t>Ok Tedi</t>
  </si>
  <si>
    <t>Kennecott Utah</t>
  </si>
  <si>
    <t>t CO2−e/t Cu</t>
  </si>
  <si>
    <t>t CO2/year</t>
  </si>
  <si>
    <t>avg CO2/ton Cu</t>
  </si>
  <si>
    <t>avg t CO2−e/t Cu</t>
  </si>
  <si>
    <t>Average</t>
  </si>
  <si>
    <t>Data from Mines Northey 2, used to create an offset for the ore grade-impact equation</t>
  </si>
  <si>
    <t>% Cu</t>
  </si>
  <si>
    <t>t Cu/year</t>
  </si>
  <si>
    <t>Ore Grade</t>
  </si>
  <si>
    <t>avg ore grade calc</t>
  </si>
  <si>
    <t>Results: 	Impact assessment</t>
  </si>
  <si>
    <t>Method: 	TRACI 2.1 V1.05 / Canada 2005</t>
  </si>
  <si>
    <t>Indicator: 	Characterization</t>
  </si>
  <si>
    <t>Skip categories: 	Never</t>
  </si>
  <si>
    <t>Exclude infrastructure processes: 	No</t>
  </si>
  <si>
    <t>Exclude long-term emissions: 	No</t>
  </si>
  <si>
    <t>Sorted on item: 	Impact category</t>
  </si>
  <si>
    <t>Sort order: 	Ascending</t>
  </si>
  <si>
    <t>Medium voltage grid CO2e</t>
  </si>
  <si>
    <t>Need to do this same process for water</t>
  </si>
  <si>
    <t>these values are using Copper production primary, TRACI, for each region</t>
  </si>
  <si>
    <t>of project Ecoinvent 3 - consequential - unit)</t>
  </si>
  <si>
    <t>Zinc {RoW}| primary production from concentrate | Conseq, U</t>
  </si>
  <si>
    <t>Calculation: 	Compare</t>
  </si>
  <si>
    <t xml:space="preserve">Product 1: 	1 kg Zinc {RoW}| primary production from concentrate | Conseq, U </t>
  </si>
  <si>
    <t xml:space="preserve">Product 2: 	1 kg Lead {GLO}| primary lead production from concentrate | Conseq, U </t>
  </si>
  <si>
    <t xml:space="preserve">Product 3: 	1 kg Tin {RoW}| production | Conseq, U </t>
  </si>
  <si>
    <t xml:space="preserve">Product 4: 	1 kg Nickel, 99.5% {GLO}| smelting and refining of nickel ore | Conseq, U </t>
  </si>
  <si>
    <t xml:space="preserve">Product 5: 	1 kg Aluminium, primary, ingot {RoW}| production | Conseq, U </t>
  </si>
  <si>
    <t xml:space="preserve">Product 6: 	1 kg Manganese {RoW}| production | Conseq, U </t>
  </si>
  <si>
    <t xml:space="preserve">Product 7: 	1 kg Iron pellet {GLO}| market for | Conseq, U </t>
  </si>
  <si>
    <t>Lead {GLO}| primary lead production from concentrate | Conseq, U</t>
  </si>
  <si>
    <t>Tin {RoW}| production | Conseq, U</t>
  </si>
  <si>
    <t>Nickel, 99.5% {GLO}| smelting and refining of nickel ore | Conseq, U</t>
  </si>
  <si>
    <t>Aluminium, primary, ingot {RoW}| production | Conseq, U</t>
  </si>
  <si>
    <t>Manganese {RoW}| production | Conseq, U</t>
  </si>
  <si>
    <t>Iron pellet {GLO}| market for | Conseq, U</t>
  </si>
  <si>
    <t>Regions</t>
  </si>
  <si>
    <t>Ozone depletion (kg CFC-kk)</t>
  </si>
  <si>
    <t>Global warming (kg CO2 eq)</t>
  </si>
  <si>
    <t>Smog (kg O3 eq)</t>
  </si>
  <si>
    <t>Acidification (kg SO2 eq)</t>
  </si>
  <si>
    <t>Eutrophication (kg N eq)</t>
  </si>
  <si>
    <t>Carcinogenics (CTUh)</t>
  </si>
  <si>
    <t>Non carcinogenics (CTUh)</t>
  </si>
  <si>
    <t>Respiratory effects (kg PM2.5 eq)</t>
  </si>
  <si>
    <t>Ecotoxicity (CTUe)</t>
  </si>
  <si>
    <t>Fossil fuel depletion (MJ surplus)</t>
  </si>
  <si>
    <t>SX-EW</t>
  </si>
  <si>
    <t>Calculated CO2 from ore grade (no SXEW)</t>
  </si>
  <si>
    <t>Calculated CO2 from ore grade (only SXEW)</t>
  </si>
  <si>
    <t>Pretreatment</t>
  </si>
  <si>
    <t>Fire Refining</t>
  </si>
  <si>
    <t>Electrorefining</t>
  </si>
  <si>
    <t>Acidification potential (kg SO2 eq)</t>
  </si>
  <si>
    <t>Abiotic depletion, MJ eq</t>
  </si>
  <si>
    <t>Eutrophication potential (kg PO4 eq)</t>
  </si>
  <si>
    <t>Global warming potential (kg CO2 eq)</t>
  </si>
  <si>
    <t>Human health damage (kg 1,4-DB eq)</t>
  </si>
  <si>
    <t>Photochemical ozone creation potential (kg ethene eq)</t>
  </si>
  <si>
    <t>From Chen, Jingjing, et al. "Environmental benefits of secondary copper from primary copper based on life cycle assessment in China." Resources, Conservation and Recycling 146 (2019): 35-44.</t>
  </si>
  <si>
    <t>Secondary Direct Melt</t>
  </si>
  <si>
    <t>Secondary Refining</t>
  </si>
  <si>
    <t>Copper concentrate, sulfide ore {RLA}| copper mine operation, sulfide ore | Conseq, U</t>
  </si>
  <si>
    <t>Copper concentrate, sulfide ore {RER}| copper mine operation, sulfide ore | Conseq, U</t>
  </si>
  <si>
    <t>Copper concentrate, sulfide ore {RAS}| copper mine operation, sulfide ore | Conseq, U</t>
  </si>
  <si>
    <t>Copper concentrate, sulfide ore {RNA}| copper mine operation, sulfide ore | Conseq, U</t>
  </si>
  <si>
    <t>Copper concentrate, sulfide ore {RoW}| copper mine operation, sulfide ore | Conseq, U</t>
  </si>
  <si>
    <t>Total Copper Distribution</t>
  </si>
  <si>
    <t>Just mine (up to concentrate)</t>
  </si>
  <si>
    <t>Sheet rolling</t>
  </si>
  <si>
    <t>Wire drawing</t>
  </si>
  <si>
    <t>Real Secondary Refining</t>
  </si>
  <si>
    <t>Potential China Secondary Refinery</t>
  </si>
  <si>
    <t>Low Grade</t>
  </si>
  <si>
    <t>Brass</t>
  </si>
  <si>
    <t>No2</t>
  </si>
  <si>
    <t>No1</t>
  </si>
  <si>
    <t>Metal working RER (Conseq)</t>
  </si>
  <si>
    <t>Metal working RoW (Conseq)</t>
  </si>
  <si>
    <t>Fraction Semis Production</t>
  </si>
  <si>
    <t>all fractions from ICSG Copper Factbook 2018</t>
  </si>
  <si>
    <t>World Mining Distribution using concentrate results from simapro as shown in columns 55:62</t>
  </si>
  <si>
    <t>t CO2e/t Cu</t>
  </si>
  <si>
    <t>China</t>
  </si>
  <si>
    <t>Mine type</t>
  </si>
  <si>
    <t>MC</t>
  </si>
  <si>
    <t>MCS</t>
  </si>
  <si>
    <t>MCSRL</t>
  </si>
  <si>
    <t>MCL</t>
  </si>
  <si>
    <t>MCSR</t>
  </si>
  <si>
    <t>MCSL</t>
  </si>
  <si>
    <t>MH</t>
  </si>
  <si>
    <t>ML</t>
  </si>
  <si>
    <t>GJ/t Cu</t>
  </si>
  <si>
    <t>Cu fraction</t>
  </si>
  <si>
    <t>Oceania:</t>
  </si>
  <si>
    <t>GJ/year</t>
  </si>
  <si>
    <t>kL water/year</t>
  </si>
  <si>
    <t>Process Key: M - Mine, C - Concentrator, S - Smelter, R - Refinery, L - Leaching &amp; SX-EW</t>
  </si>
  <si>
    <t>Regional Values</t>
  </si>
  <si>
    <t>Concentrate Mines</t>
  </si>
  <si>
    <t>SX-EW Mines</t>
  </si>
  <si>
    <t>t Cu / year</t>
  </si>
  <si>
    <t>t Cu/year</t>
  </si>
  <si>
    <t>t CO2/t Cu</t>
  </si>
  <si>
    <t>kL water/t Cu</t>
  </si>
  <si>
    <t>kt ore/year</t>
  </si>
  <si>
    <t>Grade (%)</t>
  </si>
  <si>
    <t>Overall values/averages</t>
  </si>
  <si>
    <t>t Cu in ore</t>
  </si>
  <si>
    <t>Undiscovered Resources</t>
  </si>
  <si>
    <t>Other Asia</t>
  </si>
  <si>
    <t>Refinery Distribution</t>
  </si>
  <si>
    <t>Creating regional SX-EW values from the global one: scaling by the weighted average ratio with that region from concentrate mining, then scaling to ensure correct weighted distribution so it matches with global SX-EW values</t>
  </si>
  <si>
    <t>Concentrate Ore Grade (comes from SNL averages using copper ore production times head grade divided by total ore production (weighted average ore grade for each region), performed in the Environmental Analysis section of China - Integration and scenarios - Updated.ipynb</t>
  </si>
  <si>
    <t>SX-EW Ore grade (see notes in cell to left of this one)</t>
  </si>
  <si>
    <t>Multiplier to get other damage measures for SX-EW</t>
  </si>
  <si>
    <t>Amount to scale function by for non SX-EW:</t>
  </si>
  <si>
    <t>Amount to scale function by for SX-EW</t>
  </si>
  <si>
    <t>used ore grade values from SNL: averages using copper ore production times head grade divided by total ore production (weighted average ore grade for each region), performed in the Environmental Analysis section of China - Integration and scenarios - Updated.ipynb</t>
  </si>
  <si>
    <t>Total (MJ)</t>
  </si>
  <si>
    <t>Non renewable, fossil (MJ)</t>
  </si>
  <si>
    <t>Non-renewable, nuclear (MJ)</t>
  </si>
  <si>
    <t>Non-renewable, biomass (MJ)</t>
  </si>
  <si>
    <t>Renewable, biomass (MJ)</t>
  </si>
  <si>
    <t>Renewable, wind, solar, geothermal (MJ)</t>
  </si>
  <si>
    <t>Renewable, water (MJ)</t>
  </si>
  <si>
    <t>Energy consumption, mining</t>
  </si>
  <si>
    <t>Energy consumption!</t>
  </si>
  <si>
    <t>Energy consumption, total</t>
  </si>
  <si>
    <t>Water consumption!</t>
  </si>
  <si>
    <t>1 p Overall copper, conseq (of project Copper)</t>
  </si>
  <si>
    <t>m3</t>
  </si>
  <si>
    <t>Water use (m3)</t>
  </si>
  <si>
    <t>Total copper production process</t>
  </si>
  <si>
    <t xml:space="preserve">Mining </t>
  </si>
  <si>
    <t>Cumulative Energy Demand V1.11</t>
  </si>
  <si>
    <t>TRACI Results</t>
  </si>
  <si>
    <t>Energy</t>
  </si>
  <si>
    <t xml:space="preserve">Ore grade </t>
  </si>
  <si>
    <t>Mine + Leaching, SX-EW</t>
  </si>
  <si>
    <t>Calculated average energy for Mine+Conc. From Northey</t>
  </si>
  <si>
    <t>Calculated average energy using Mine+Conc.+Smelter+Refinery+LSE from Northey as approx for SX-EW</t>
  </si>
  <si>
    <t>SX-EW, global</t>
  </si>
  <si>
    <t>Percent</t>
  </si>
  <si>
    <t>Weighted average</t>
  </si>
  <si>
    <t>Ratio with global</t>
  </si>
  <si>
    <t>Tot check</t>
  </si>
  <si>
    <t>Water</t>
  </si>
  <si>
    <t>Mining+Conc.</t>
  </si>
  <si>
    <t>Water Mining+SX-EW</t>
  </si>
  <si>
    <t>Water use (m3/kg)</t>
  </si>
  <si>
    <t>Berger et al 2014 (Water Scarcity) V1.00</t>
  </si>
  <si>
    <t>WDI</t>
  </si>
  <si>
    <t>Method: Berger et al 2014 (Water Scarcity) V1.00</t>
  </si>
  <si>
    <t>TRACI Scale</t>
  </si>
  <si>
    <t>Energy Scale</t>
  </si>
  <si>
    <t>Water Scale</t>
  </si>
  <si>
    <t>Fraction</t>
  </si>
  <si>
    <t>Concentrate multiplier to get to other damage measures (this is what's in next sheet)</t>
  </si>
  <si>
    <t>Concentrate multiplier for energy consumption</t>
  </si>
  <si>
    <t>SX-EW multiplier for energy consumption</t>
  </si>
  <si>
    <t>Weighted avg</t>
  </si>
  <si>
    <t>Global average minus global mining</t>
  </si>
  <si>
    <t>Primary</t>
  </si>
  <si>
    <t>RoW value from SimaPro (average of [[[Copper {RoW}| treatment of scrap by electrolytic refining | APOS, U]]] and [[[Copper {RoW}| treatment of metal part of electronics scrap, in blister-, by electrolytic refining | APOS, U]]]</t>
  </si>
  <si>
    <t>Above values scaled to China values based on CO2 from Chen, Jingjing, et al. "Environmental benefits of secondary copper from primary copper based on life cycle assessment in China." Resources, Conservation and Recycling 146 (2019): 35-44. in Scrap Refining1 sheet</t>
  </si>
  <si>
    <t>Secondary refining</t>
  </si>
  <si>
    <t>Secondary Refining: used Chen, Jingjing, et al. "Environmental benefits of secondary copper from primary copper based on life cycle assessment in China." Resources, Conservation and Recycling 146 (2019): 35-44. for China reference values, scaled those by respective primary refinery impacts to get RoW</t>
  </si>
  <si>
    <t>Secondary Refining: used Chen, Jingjing, et al. "Environmental benefits of secondary copper from primary copper based on life cycle assessment in China." Resources, Conservation and Recycling 146 (2019): 35-44. for China reference values, scaled those by respective primary refinery impacts to get to regions, done in the Mines Total sheet</t>
  </si>
  <si>
    <t>Bar0</t>
  </si>
  <si>
    <t>Bar1</t>
  </si>
  <si>
    <t>Bar2</t>
  </si>
  <si>
    <t>Bar3</t>
  </si>
  <si>
    <t>Production</t>
  </si>
  <si>
    <t>Emissions (kg CO2/kg Cu)</t>
  </si>
  <si>
    <t>Fraction Production</t>
  </si>
  <si>
    <t>Production (Mt) from bar</t>
  </si>
  <si>
    <t>Emissions (Mt) from bar</t>
  </si>
  <si>
    <t>Notes: Secondary refinery was determined from Chen, Jingjing, et al. "Environmental benefits of secondary copper from primary copper based on life cycle assessment in China." Resources, Conservation and Recycling 146 (2019): 35-44., except using the Copper {RoW}| treatment of scrap by electrolytic refining | APOS, U and  Copper {GLO}| treatment of used cable | APOS, U inventory items and adding a bunch of transportation, then scaling by 0.01 to get the CO2 to match with the above paper's CO2 value for secondary refined copper. The used cable and refining were each 1 kg in the original. Did similar for secondary direct melt, same 0.01 scaling but on 1 kg each of the Copper {GLO}| treatment of used cable | APOS, U and Aluminium, wrought alloy {RoW}| treatment of aluminium scrap, post-consumer, prepared for recycling, at remelter | APOS, U inventories plus transportation. Real secondary refinery came from Copper scrap, sorted, pressed {RoW}| treatment of copper scrap by electrolytic refining | APOS, U (which is so hard to find), and Potential China came from scaling Secondary refinery to have the same CO2 as Real, though that one doesn't make much sense either... Those for the last 4 come from the same paper(Giurco, D., et al. "Copper recycling alternatives: an environmental analysis." Proceedings of the 5th annual environmental engineering research event, Noosa, Australia (2006): 20-23.) and the CO2 values seem reasonable, though I extrapolated from the Secondary remelting for the other damage indicators. These seem the most reasonable for remelting.</t>
  </si>
  <si>
    <t>From Giurco, D., et al. "Copper recycling alternatives: an environmental analysis." Proceedings of the 5th annual environmental engineering research event, Noosa, Australia (2006): 20-23.</t>
  </si>
  <si>
    <t>Country</t>
  </si>
  <si>
    <t>Austria</t>
  </si>
  <si>
    <t>Benelux</t>
  </si>
  <si>
    <t>Brazil</t>
  </si>
  <si>
    <t>Bulgaria</t>
  </si>
  <si>
    <t>Egypt</t>
  </si>
  <si>
    <t>France</t>
  </si>
  <si>
    <t>Germany</t>
  </si>
  <si>
    <t>Greece</t>
  </si>
  <si>
    <t>Hungary</t>
  </si>
  <si>
    <t>India</t>
  </si>
  <si>
    <t>Italy</t>
  </si>
  <si>
    <t>Japan</t>
  </si>
  <si>
    <t>Kazak</t>
  </si>
  <si>
    <t>Korea</t>
  </si>
  <si>
    <t>Mex</t>
  </si>
  <si>
    <t>Philipp</t>
  </si>
  <si>
    <t>Poland</t>
  </si>
  <si>
    <t>Romania</t>
  </si>
  <si>
    <t>Russia</t>
  </si>
  <si>
    <t>Saudi</t>
  </si>
  <si>
    <t>Sweden</t>
  </si>
  <si>
    <t>Serbia</t>
  </si>
  <si>
    <t>Slovakia</t>
  </si>
  <si>
    <t>S Africa</t>
  </si>
  <si>
    <t>Spain</t>
  </si>
  <si>
    <t>Taipei, China</t>
  </si>
  <si>
    <t>UK</t>
  </si>
  <si>
    <t>UAE</t>
  </si>
  <si>
    <t>Uzbek</t>
  </si>
  <si>
    <t>Zambia</t>
  </si>
  <si>
    <t>World Total</t>
  </si>
  <si>
    <t>% of 2016 total</t>
  </si>
  <si>
    <t>Total with most recent years included</t>
  </si>
  <si>
    <t>Metal working RER (APOS)</t>
  </si>
  <si>
    <t>Metal working RoW (APOS)</t>
  </si>
  <si>
    <t>Primary refinery</t>
  </si>
  <si>
    <t>Identified Resources</t>
  </si>
  <si>
    <t>Primary refining: took global impacts associated with primary copper production from SimaPro and subtracted the global mining impacts, then scaled those global parameters by the regional primary copper production values</t>
  </si>
  <si>
    <t>2016 or MRY Total (kt, gross weight), from ICSG 2018 statistical yearbook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</si>
</sst>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font>
      <sz val="11"/>
      <color theme="1"/>
      <name val="Calibri"/>
      <family val="2"/>
      <scheme val="minor"/>
    </font>
    <font>
      <b/>
      <sz val="11"/>
      <color theme="1"/>
      <name val="Calibri"/>
      <family val="2"/>
      <scheme val="minor"/>
    </font>
    <font>
      <b/>
      <sz val="6"/>
      <color rgb="FF2E2E2E"/>
      <name val="Georgia"/>
      <family val="1"/>
    </font>
    <font>
      <sz val="6"/>
      <color rgb="FF2E2E2E"/>
      <name val="Georgia"/>
      <family val="1"/>
    </font>
    <font>
      <b/>
      <u/>
      <sz val="11"/>
      <color theme="1"/>
      <name val="Calibri"/>
      <family val="2"/>
      <scheme val="minor"/>
    </font>
    <font>
      <sz val="10"/>
      <color theme="1"/>
      <name val="Arial Unicode MS"/>
    </font>
    <font>
      <sz val="11"/>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6">
    <border>
      <left/>
      <right/>
      <top/>
      <bottom/>
      <diagonal/>
    </border>
    <border>
      <left/>
      <right/>
      <top style="thin">
        <color theme="1"/>
      </top>
      <bottom style="thin">
        <color theme="1"/>
      </bottom>
      <diagonal/>
    </border>
    <border>
      <left/>
      <right/>
      <top/>
      <bottom style="thin">
        <color theme="1"/>
      </bottom>
      <diagonal/>
    </border>
    <border>
      <left/>
      <right/>
      <top style="medium">
        <color rgb="FFEBEBEB"/>
      </top>
      <bottom style="medium">
        <color rgb="FFEBEBEB"/>
      </bottom>
      <diagonal/>
    </border>
    <border>
      <left/>
      <right/>
      <top style="medium">
        <color rgb="FFEBEBEB"/>
      </top>
      <bottom/>
      <diagonal/>
    </border>
    <border>
      <left/>
      <right/>
      <top/>
      <bottom style="medium">
        <color rgb="FFEBEBEB"/>
      </bottom>
      <diagonal/>
    </border>
  </borders>
  <cellStyleXfs count="2">
    <xf numFmtId="0" fontId="0" fillId="0" borderId="0"/>
    <xf numFmtId="9" fontId="6" fillId="0" borderId="0" applyFont="0" applyFill="0" applyBorder="0" applyAlignment="0" applyProtection="0"/>
  </cellStyleXfs>
  <cellXfs count="35">
    <xf numFmtId="0" fontId="0" fillId="0" borderId="0" xfId="0"/>
    <xf numFmtId="11" fontId="0" fillId="0" borderId="0" xfId="0" applyNumberFormat="1"/>
    <xf numFmtId="0" fontId="1" fillId="0" borderId="1" xfId="0" applyFont="1" applyBorder="1"/>
    <xf numFmtId="0" fontId="0" fillId="2" borderId="0" xfId="0" applyFont="1" applyFill="1"/>
    <xf numFmtId="0" fontId="0" fillId="0" borderId="0" xfId="0" applyFont="1"/>
    <xf numFmtId="11" fontId="0" fillId="0" borderId="0" xfId="0" applyNumberFormat="1" applyFont="1"/>
    <xf numFmtId="11" fontId="0" fillId="2" borderId="0" xfId="0" applyNumberFormat="1" applyFont="1" applyFill="1"/>
    <xf numFmtId="0" fontId="0" fillId="0" borderId="2" xfId="0" applyFont="1" applyBorder="1"/>
    <xf numFmtId="11" fontId="0" fillId="0" borderId="2" xfId="0" applyNumberFormat="1" applyFont="1" applyBorder="1"/>
    <xf numFmtId="0" fontId="0" fillId="0" borderId="0" xfId="0" applyAlignment="1">
      <alignment horizontal="right"/>
    </xf>
    <xf numFmtId="0" fontId="1" fillId="0" borderId="0" xfId="0" applyFont="1" applyFill="1" applyBorder="1"/>
    <xf numFmtId="0" fontId="2" fillId="0" borderId="5" xfId="0" applyFont="1" applyBorder="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alignment vertical="top" wrapText="1"/>
    </xf>
    <xf numFmtId="0" fontId="2" fillId="0" borderId="3" xfId="0" applyFont="1" applyBorder="1" applyAlignment="1">
      <alignment horizontal="center" vertical="center" wrapText="1"/>
    </xf>
    <xf numFmtId="3" fontId="3" fillId="0" borderId="0" xfId="0" applyNumberFormat="1" applyFont="1" applyAlignment="1">
      <alignment vertical="center" wrapText="1"/>
    </xf>
    <xf numFmtId="0" fontId="0" fillId="0" borderId="0" xfId="0" applyAlignment="1"/>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0" xfId="0" applyFont="1" applyFill="1" applyBorder="1" applyAlignment="1">
      <alignment horizontal="center" vertical="center" wrapText="1"/>
    </xf>
    <xf numFmtId="0" fontId="0" fillId="0" borderId="0" xfId="0" applyNumberFormat="1"/>
    <xf numFmtId="164" fontId="0" fillId="0" borderId="0" xfId="0" applyNumberFormat="1"/>
    <xf numFmtId="0" fontId="2" fillId="0" borderId="0" xfId="0" applyFont="1" applyBorder="1" applyAlignment="1">
      <alignment horizontal="center" vertical="center" wrapText="1"/>
    </xf>
    <xf numFmtId="0" fontId="4" fillId="0" borderId="0" xfId="0" applyFont="1"/>
    <xf numFmtId="3" fontId="0" fillId="0" borderId="0" xfId="0" applyNumberFormat="1"/>
    <xf numFmtId="2" fontId="0" fillId="0" borderId="0" xfId="0" applyNumberFormat="1"/>
    <xf numFmtId="1" fontId="0" fillId="0" borderId="0" xfId="0" applyNumberFormat="1"/>
    <xf numFmtId="0" fontId="0" fillId="0" borderId="2" xfId="0" applyBorder="1" applyAlignment="1"/>
    <xf numFmtId="0" fontId="5" fillId="0" borderId="0" xfId="0" applyFont="1" applyAlignment="1">
      <alignment vertical="center"/>
    </xf>
    <xf numFmtId="0" fontId="0" fillId="0" borderId="0" xfId="0" applyAlignment="1">
      <alignment horizontal="center"/>
    </xf>
    <xf numFmtId="0" fontId="4" fillId="0" borderId="0" xfId="0" applyFont="1" applyAlignment="1">
      <alignment horizontal="center"/>
    </xf>
    <xf numFmtId="0" fontId="0" fillId="0" borderId="0" xfId="0" applyAlignment="1">
      <alignment horizontal="left" vertical="top" wrapText="1"/>
    </xf>
    <xf numFmtId="9" fontId="0" fillId="0" borderId="0" xfId="1" applyFont="1"/>
  </cellXfs>
  <cellStyles count="2">
    <cellStyle name="Normal" xfId="0" builtinId="0"/>
    <cellStyle name="Percent" xfId="1" builtinId="5"/>
  </cellStyles>
  <dxfs count="16">
    <dxf>
      <numFmt numFmtId="15" formatCode="0.00E+00"/>
    </dxf>
    <dxf>
      <numFmt numFmtId="15" formatCode="0.00E+0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Northey1'!$D$1:$D$2</c:f>
              <c:strCache>
                <c:ptCount val="2"/>
                <c:pt idx="0">
                  <c:v>Mine, Conc</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4.0378390201224849E-2"/>
                  <c:y val="-0.125821303587051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Northey1'!$C$3:$C$56</c:f>
              <c:numCache>
                <c:formatCode>General</c:formatCode>
                <c:ptCount val="54"/>
                <c:pt idx="0">
                  <c:v>0.54017857142857095</c:v>
                </c:pt>
                <c:pt idx="1">
                  <c:v>0.30357142857142799</c:v>
                </c:pt>
                <c:pt idx="2">
                  <c:v>0.33035714285714202</c:v>
                </c:pt>
                <c:pt idx="3">
                  <c:v>0.468749999999999</c:v>
                </c:pt>
                <c:pt idx="4">
                  <c:v>0.70089285714285698</c:v>
                </c:pt>
                <c:pt idx="5">
                  <c:v>0.749999999999999</c:v>
                </c:pt>
                <c:pt idx="6">
                  <c:v>0.81696428571428503</c:v>
                </c:pt>
                <c:pt idx="7">
                  <c:v>0.91071428571428503</c:v>
                </c:pt>
                <c:pt idx="8">
                  <c:v>0.88839285714285698</c:v>
                </c:pt>
                <c:pt idx="9">
                  <c:v>0.6875</c:v>
                </c:pt>
                <c:pt idx="10">
                  <c:v>0.41964285714285698</c:v>
                </c:pt>
                <c:pt idx="11">
                  <c:v>0.36607142857142799</c:v>
                </c:pt>
                <c:pt idx="12">
                  <c:v>0.29910714285714202</c:v>
                </c:pt>
                <c:pt idx="13">
                  <c:v>0.25892857142857101</c:v>
                </c:pt>
                <c:pt idx="14">
                  <c:v>0.223214285714285</c:v>
                </c:pt>
                <c:pt idx="15">
                  <c:v>0.191964285714285</c:v>
                </c:pt>
                <c:pt idx="16">
                  <c:v>0.27678571428571402</c:v>
                </c:pt>
                <c:pt idx="17">
                  <c:v>0.281249999999999</c:v>
                </c:pt>
                <c:pt idx="18">
                  <c:v>0.187499999999999</c:v>
                </c:pt>
                <c:pt idx="19">
                  <c:v>0.20982142857142799</c:v>
                </c:pt>
                <c:pt idx="20">
                  <c:v>0.94196428571428503</c:v>
                </c:pt>
                <c:pt idx="21">
                  <c:v>0.91071428571428603</c:v>
                </c:pt>
                <c:pt idx="22">
                  <c:v>0.75892857142857095</c:v>
                </c:pt>
                <c:pt idx="23">
                  <c:v>0.81919642857142805</c:v>
                </c:pt>
                <c:pt idx="24">
                  <c:v>0.85491071428571397</c:v>
                </c:pt>
                <c:pt idx="25">
                  <c:v>0.88839285714285698</c:v>
                </c:pt>
                <c:pt idx="26">
                  <c:v>0.79910714285714302</c:v>
                </c:pt>
                <c:pt idx="27">
                  <c:v>1.00446428571428</c:v>
                </c:pt>
                <c:pt idx="28">
                  <c:v>1</c:v>
                </c:pt>
                <c:pt idx="29">
                  <c:v>1.09821428571428</c:v>
                </c:pt>
                <c:pt idx="30">
                  <c:v>1.0602678571428501</c:v>
                </c:pt>
                <c:pt idx="31">
                  <c:v>1.1004464285714199</c:v>
                </c:pt>
                <c:pt idx="32">
                  <c:v>1.1227678571428501</c:v>
                </c:pt>
                <c:pt idx="33">
                  <c:v>1.19866071428571</c:v>
                </c:pt>
                <c:pt idx="34">
                  <c:v>1</c:v>
                </c:pt>
                <c:pt idx="35">
                  <c:v>1.03571428571428</c:v>
                </c:pt>
                <c:pt idx="36">
                  <c:v>1.0758928571428501</c:v>
                </c:pt>
                <c:pt idx="37">
                  <c:v>1.21428571428571</c:v>
                </c:pt>
                <c:pt idx="38">
                  <c:v>1.1875</c:v>
                </c:pt>
                <c:pt idx="39">
                  <c:v>1.09374999999999</c:v>
                </c:pt>
                <c:pt idx="40">
                  <c:v>1.0848214285714199</c:v>
                </c:pt>
                <c:pt idx="41">
                  <c:v>1.3125</c:v>
                </c:pt>
                <c:pt idx="42">
                  <c:v>1.3214285714285701</c:v>
                </c:pt>
                <c:pt idx="43">
                  <c:v>1.53124999999999</c:v>
                </c:pt>
                <c:pt idx="44">
                  <c:v>1.8616071428571399</c:v>
                </c:pt>
                <c:pt idx="45">
                  <c:v>2.4419642857142798</c:v>
                </c:pt>
                <c:pt idx="46">
                  <c:v>2.4866071428571401</c:v>
                </c:pt>
                <c:pt idx="47">
                  <c:v>3.3035714285714199</c:v>
                </c:pt>
                <c:pt idx="48">
                  <c:v>3.703125</c:v>
                </c:pt>
                <c:pt idx="49">
                  <c:v>3.8058035714285698</c:v>
                </c:pt>
                <c:pt idx="50">
                  <c:v>3.90625</c:v>
                </c:pt>
                <c:pt idx="51">
                  <c:v>0.31696428571428498</c:v>
                </c:pt>
                <c:pt idx="52">
                  <c:v>0.39732142857142799</c:v>
                </c:pt>
                <c:pt idx="53">
                  <c:v>0.38839285714285698</c:v>
                </c:pt>
              </c:numCache>
            </c:numRef>
          </c:xVal>
          <c:yVal>
            <c:numRef>
              <c:f>'Mines Northey1'!$D$3:$D$56</c:f>
              <c:numCache>
                <c:formatCode>General</c:formatCode>
                <c:ptCount val="54"/>
                <c:pt idx="0">
                  <c:v>8.0372670807453392</c:v>
                </c:pt>
                <c:pt idx="1">
                  <c:v>7.0186335403726696</c:v>
                </c:pt>
                <c:pt idx="2">
                  <c:v>6.3975155279502998</c:v>
                </c:pt>
                <c:pt idx="3">
                  <c:v>5.8757763975155202</c:v>
                </c:pt>
                <c:pt idx="4">
                  <c:v>5.2298136645962696</c:v>
                </c:pt>
                <c:pt idx="5">
                  <c:v>4.5838509316770102</c:v>
                </c:pt>
                <c:pt idx="6">
                  <c:v>4.2360248447204896</c:v>
                </c:pt>
                <c:pt idx="7">
                  <c:v>3.6397515527950302</c:v>
                </c:pt>
                <c:pt idx="8">
                  <c:v>2.6459627329192501</c:v>
                </c:pt>
                <c:pt idx="9">
                  <c:v>2.7701863354037202</c:v>
                </c:pt>
                <c:pt idx="10">
                  <c:v>3.9627329192546501</c:v>
                </c:pt>
                <c:pt idx="11">
                  <c:v>4.8322981366459601</c:v>
                </c:pt>
                <c:pt idx="12">
                  <c:v>5.1552795031055796</c:v>
                </c:pt>
                <c:pt idx="13">
                  <c:v>5.4037267080745304</c:v>
                </c:pt>
                <c:pt idx="14">
                  <c:v>5.7763975155279397</c:v>
                </c:pt>
                <c:pt idx="15">
                  <c:v>5.4285714285714199</c:v>
                </c:pt>
                <c:pt idx="16">
                  <c:v>4.8322981366459601</c:v>
                </c:pt>
                <c:pt idx="17">
                  <c:v>4.4099378881987503</c:v>
                </c:pt>
                <c:pt idx="18">
                  <c:v>3.5652173913043401</c:v>
                </c:pt>
                <c:pt idx="19">
                  <c:v>3.2919254658385002</c:v>
                </c:pt>
                <c:pt idx="20">
                  <c:v>2.1490683229813601</c:v>
                </c:pt>
                <c:pt idx="21">
                  <c:v>1.5403726708074501</c:v>
                </c:pt>
                <c:pt idx="22">
                  <c:v>1.4285714285714199</c:v>
                </c:pt>
                <c:pt idx="23">
                  <c:v>1.36645962732919</c:v>
                </c:pt>
                <c:pt idx="24">
                  <c:v>1.2795031055900601</c:v>
                </c:pt>
                <c:pt idx="25">
                  <c:v>0.90683229813664901</c:v>
                </c:pt>
                <c:pt idx="26">
                  <c:v>0.93167701863354302</c:v>
                </c:pt>
                <c:pt idx="27">
                  <c:v>0.55900621118012594</c:v>
                </c:pt>
                <c:pt idx="28">
                  <c:v>0.13664596273292201</c:v>
                </c:pt>
                <c:pt idx="29">
                  <c:v>0.161490683229814</c:v>
                </c:pt>
                <c:pt idx="30">
                  <c:v>0.670807453416149</c:v>
                </c:pt>
                <c:pt idx="31">
                  <c:v>0.59627329192546696</c:v>
                </c:pt>
                <c:pt idx="32">
                  <c:v>0.73291925465838403</c:v>
                </c:pt>
                <c:pt idx="33">
                  <c:v>0.64596273291925599</c:v>
                </c:pt>
                <c:pt idx="34">
                  <c:v>0.98136645962733104</c:v>
                </c:pt>
                <c:pt idx="35">
                  <c:v>1.05590062111801</c:v>
                </c:pt>
                <c:pt idx="36">
                  <c:v>1.7018633540372601</c:v>
                </c:pt>
                <c:pt idx="37">
                  <c:v>1.7763975155279501</c:v>
                </c:pt>
                <c:pt idx="38">
                  <c:v>1.3788819875776399</c:v>
                </c:pt>
                <c:pt idx="39">
                  <c:v>1.2049689440993701</c:v>
                </c:pt>
                <c:pt idx="40">
                  <c:v>0.95652173913043703</c:v>
                </c:pt>
                <c:pt idx="41">
                  <c:v>2.0496894409937898</c:v>
                </c:pt>
                <c:pt idx="42">
                  <c:v>1.90062111801242</c:v>
                </c:pt>
                <c:pt idx="43">
                  <c:v>2.4223602484472</c:v>
                </c:pt>
                <c:pt idx="44">
                  <c:v>2.3229813664596199</c:v>
                </c:pt>
                <c:pt idx="45">
                  <c:v>1.57763975155279</c:v>
                </c:pt>
                <c:pt idx="46">
                  <c:v>1.7018633540372701</c:v>
                </c:pt>
                <c:pt idx="47">
                  <c:v>1.0434782608695601</c:v>
                </c:pt>
                <c:pt idx="48">
                  <c:v>1.1304347826087</c:v>
                </c:pt>
                <c:pt idx="49">
                  <c:v>0.93167701863354302</c:v>
                </c:pt>
                <c:pt idx="50">
                  <c:v>0.91925465838509401</c:v>
                </c:pt>
                <c:pt idx="51">
                  <c:v>1.29192546583851</c:v>
                </c:pt>
                <c:pt idx="52">
                  <c:v>1.0931677018633501</c:v>
                </c:pt>
                <c:pt idx="53">
                  <c:v>0.91925465838509601</c:v>
                </c:pt>
              </c:numCache>
            </c:numRef>
          </c:yVal>
          <c:smooth val="0"/>
          <c:extLst>
            <c:ext xmlns:c16="http://schemas.microsoft.com/office/drawing/2014/chart" uri="{C3380CC4-5D6E-409C-BE32-E72D297353CC}">
              <c16:uniqueId val="{00000000-A5EA-44BD-AB73-09BF22417428}"/>
            </c:ext>
          </c:extLst>
        </c:ser>
        <c:dLbls>
          <c:showLegendKey val="0"/>
          <c:showVal val="0"/>
          <c:showCatName val="0"/>
          <c:showSerName val="0"/>
          <c:showPercent val="0"/>
          <c:showBubbleSize val="0"/>
        </c:dLbls>
        <c:axId val="1084779656"/>
        <c:axId val="1084779000"/>
      </c:scatterChart>
      <c:valAx>
        <c:axId val="1084779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79000"/>
        <c:crosses val="autoZero"/>
        <c:crossBetween val="midCat"/>
      </c:valAx>
      <c:valAx>
        <c:axId val="108477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79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Northey1'!$H$1:$H$2</c:f>
              <c:strCache>
                <c:ptCount val="2"/>
                <c:pt idx="0">
                  <c:v>Mine, Conc, Smelter</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Northey1'!$G$3:$G$12</c:f>
              <c:numCache>
                <c:formatCode>General</c:formatCode>
                <c:ptCount val="10"/>
                <c:pt idx="0">
                  <c:v>0.97321428571428503</c:v>
                </c:pt>
                <c:pt idx="1">
                  <c:v>0.999999999999999</c:v>
                </c:pt>
                <c:pt idx="2">
                  <c:v>0.999999999999999</c:v>
                </c:pt>
                <c:pt idx="3">
                  <c:v>1.0535714285714199</c:v>
                </c:pt>
                <c:pt idx="4">
                  <c:v>2.8348214285714199</c:v>
                </c:pt>
                <c:pt idx="5">
                  <c:v>2.9151785714285698</c:v>
                </c:pt>
                <c:pt idx="6">
                  <c:v>2.9553571428571401</c:v>
                </c:pt>
                <c:pt idx="7">
                  <c:v>3.1294642857142798</c:v>
                </c:pt>
                <c:pt idx="8">
                  <c:v>3.3660714285714199</c:v>
                </c:pt>
                <c:pt idx="9">
                  <c:v>3.4241071428571401</c:v>
                </c:pt>
              </c:numCache>
            </c:numRef>
          </c:xVal>
          <c:yVal>
            <c:numRef>
              <c:f>'Mines Northey1'!$H$3:$H$12</c:f>
              <c:numCache>
                <c:formatCode>General</c:formatCode>
                <c:ptCount val="10"/>
                <c:pt idx="0">
                  <c:v>1.8757763975155299</c:v>
                </c:pt>
                <c:pt idx="1">
                  <c:v>1.7763975155279501</c:v>
                </c:pt>
                <c:pt idx="2">
                  <c:v>1.2049689440993701</c:v>
                </c:pt>
                <c:pt idx="3">
                  <c:v>1.05590062111801</c:v>
                </c:pt>
                <c:pt idx="4">
                  <c:v>2.0993788819875698</c:v>
                </c:pt>
                <c:pt idx="5">
                  <c:v>2.2732919254658301</c:v>
                </c:pt>
                <c:pt idx="6">
                  <c:v>2.2484472049689401</c:v>
                </c:pt>
                <c:pt idx="7">
                  <c:v>1.92546583850931</c:v>
                </c:pt>
                <c:pt idx="8">
                  <c:v>1.7515527950310501</c:v>
                </c:pt>
                <c:pt idx="9">
                  <c:v>2.0496894409937898</c:v>
                </c:pt>
              </c:numCache>
            </c:numRef>
          </c:yVal>
          <c:smooth val="0"/>
          <c:extLst>
            <c:ext xmlns:c16="http://schemas.microsoft.com/office/drawing/2014/chart" uri="{C3380CC4-5D6E-409C-BE32-E72D297353CC}">
              <c16:uniqueId val="{00000000-A913-4565-B91B-2482BD5E617B}"/>
            </c:ext>
          </c:extLst>
        </c:ser>
        <c:dLbls>
          <c:showLegendKey val="0"/>
          <c:showVal val="0"/>
          <c:showCatName val="0"/>
          <c:showSerName val="0"/>
          <c:showPercent val="0"/>
          <c:showBubbleSize val="0"/>
        </c:dLbls>
        <c:axId val="334892599"/>
        <c:axId val="334892271"/>
      </c:scatterChart>
      <c:valAx>
        <c:axId val="334892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2271"/>
        <c:crosses val="autoZero"/>
        <c:crossBetween val="midCat"/>
      </c:valAx>
      <c:valAx>
        <c:axId val="3348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2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Northey1'!$B$1:$B$2</c:f>
              <c:strCache>
                <c:ptCount val="2"/>
                <c:pt idx="0">
                  <c:v>Mine, Leaching, SX/EW (LSE)</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Northey1'!$A$3:$A$13</c:f>
              <c:numCache>
                <c:formatCode>General</c:formatCode>
                <c:ptCount val="11"/>
                <c:pt idx="0">
                  <c:v>0.57589285714285698</c:v>
                </c:pt>
                <c:pt idx="1">
                  <c:v>0.56696428571428503</c:v>
                </c:pt>
                <c:pt idx="2">
                  <c:v>0.54464285714285698</c:v>
                </c:pt>
                <c:pt idx="3">
                  <c:v>0.51785714285714202</c:v>
                </c:pt>
                <c:pt idx="4">
                  <c:v>0.54017857142857095</c:v>
                </c:pt>
                <c:pt idx="5">
                  <c:v>0.58928571428571397</c:v>
                </c:pt>
                <c:pt idx="6">
                  <c:v>0.85714285714285698</c:v>
                </c:pt>
                <c:pt idx="7">
                  <c:v>1.96428571428571</c:v>
                </c:pt>
                <c:pt idx="8">
                  <c:v>1.96875</c:v>
                </c:pt>
                <c:pt idx="9">
                  <c:v>1.9598214285714199</c:v>
                </c:pt>
                <c:pt idx="10">
                  <c:v>2.0669642857142798</c:v>
                </c:pt>
              </c:numCache>
            </c:numRef>
          </c:xVal>
          <c:yVal>
            <c:numRef>
              <c:f>'Mines Northey1'!$B$3:$B$13</c:f>
              <c:numCache>
                <c:formatCode>General</c:formatCode>
                <c:ptCount val="11"/>
                <c:pt idx="0">
                  <c:v>2.8447204968944102</c:v>
                </c:pt>
                <c:pt idx="1">
                  <c:v>2.3478260869565202</c:v>
                </c:pt>
                <c:pt idx="2">
                  <c:v>2.3478260869565202</c:v>
                </c:pt>
                <c:pt idx="3">
                  <c:v>2.1739130434782599</c:v>
                </c:pt>
                <c:pt idx="4">
                  <c:v>2.02484472049689</c:v>
                </c:pt>
                <c:pt idx="5">
                  <c:v>2.0745341614906798</c:v>
                </c:pt>
                <c:pt idx="6">
                  <c:v>3.9130434782608701</c:v>
                </c:pt>
                <c:pt idx="7">
                  <c:v>4.0869565217391299</c:v>
                </c:pt>
                <c:pt idx="8">
                  <c:v>2.6956521739130399</c:v>
                </c:pt>
                <c:pt idx="9">
                  <c:v>2.2732919254658301</c:v>
                </c:pt>
                <c:pt idx="10">
                  <c:v>2.0745341614906798</c:v>
                </c:pt>
              </c:numCache>
            </c:numRef>
          </c:yVal>
          <c:smooth val="0"/>
          <c:extLst>
            <c:ext xmlns:c16="http://schemas.microsoft.com/office/drawing/2014/chart" uri="{C3380CC4-5D6E-409C-BE32-E72D297353CC}">
              <c16:uniqueId val="{00000000-A085-44B0-B615-79F0217AC5D6}"/>
            </c:ext>
          </c:extLst>
        </c:ser>
        <c:dLbls>
          <c:showLegendKey val="0"/>
          <c:showVal val="0"/>
          <c:showCatName val="0"/>
          <c:showSerName val="0"/>
          <c:showPercent val="0"/>
          <c:showBubbleSize val="0"/>
        </c:dLbls>
        <c:axId val="940350072"/>
        <c:axId val="877421424"/>
      </c:scatterChart>
      <c:valAx>
        <c:axId val="940350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421424"/>
        <c:crosses val="autoZero"/>
        <c:crossBetween val="midCat"/>
      </c:valAx>
      <c:valAx>
        <c:axId val="87742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350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Northey1'!$F$1:$F$2</c:f>
              <c:strCache>
                <c:ptCount val="2"/>
                <c:pt idx="0">
                  <c:v>Mine, Conc, LSE</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0.40987685914260719"/>
                  <c:y val="1.473972003499562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Northey1'!$E$3:$E$27</c:f>
              <c:numCache>
                <c:formatCode>General</c:formatCode>
                <c:ptCount val="25"/>
                <c:pt idx="0">
                  <c:v>0.71428571428571397</c:v>
                </c:pt>
                <c:pt idx="1">
                  <c:v>0.70089285714285698</c:v>
                </c:pt>
                <c:pt idx="2">
                  <c:v>0.85267857142857095</c:v>
                </c:pt>
                <c:pt idx="3">
                  <c:v>0.87946428571428503</c:v>
                </c:pt>
                <c:pt idx="4">
                  <c:v>0.72767857142857095</c:v>
                </c:pt>
                <c:pt idx="5">
                  <c:v>0.640625</c:v>
                </c:pt>
                <c:pt idx="6">
                  <c:v>0.70089285714285698</c:v>
                </c:pt>
                <c:pt idx="7">
                  <c:v>1.00446428571428</c:v>
                </c:pt>
                <c:pt idx="8">
                  <c:v>0.97321428571428503</c:v>
                </c:pt>
                <c:pt idx="9">
                  <c:v>1.0223214285714199</c:v>
                </c:pt>
                <c:pt idx="10">
                  <c:v>1</c:v>
                </c:pt>
                <c:pt idx="11">
                  <c:v>1</c:v>
                </c:pt>
                <c:pt idx="12">
                  <c:v>1</c:v>
                </c:pt>
                <c:pt idx="13">
                  <c:v>1.08928571428571</c:v>
                </c:pt>
                <c:pt idx="14">
                  <c:v>1.1160714285714199</c:v>
                </c:pt>
                <c:pt idx="15">
                  <c:v>1.1339285714285701</c:v>
                </c:pt>
                <c:pt idx="16">
                  <c:v>1.1004464285714199</c:v>
                </c:pt>
                <c:pt idx="17">
                  <c:v>1.0245535714285701</c:v>
                </c:pt>
                <c:pt idx="18">
                  <c:v>1.08928571428571</c:v>
                </c:pt>
                <c:pt idx="19">
                  <c:v>1.2098214285714199</c:v>
                </c:pt>
                <c:pt idx="20">
                  <c:v>1.1741071428571399</c:v>
                </c:pt>
                <c:pt idx="21">
                  <c:v>1.3660714285714199</c:v>
                </c:pt>
                <c:pt idx="22">
                  <c:v>1.4196428571428501</c:v>
                </c:pt>
                <c:pt idx="23">
                  <c:v>1.4352678571428501</c:v>
                </c:pt>
                <c:pt idx="24">
                  <c:v>1.3035714285714199</c:v>
                </c:pt>
              </c:numCache>
            </c:numRef>
          </c:xVal>
          <c:yVal>
            <c:numRef>
              <c:f>'Mines Northey1'!$F$3:$F$27</c:f>
              <c:numCache>
                <c:formatCode>General</c:formatCode>
                <c:ptCount val="25"/>
                <c:pt idx="0">
                  <c:v>4.7577639751552701</c:v>
                </c:pt>
                <c:pt idx="1">
                  <c:v>3.9378881987577601</c:v>
                </c:pt>
                <c:pt idx="2">
                  <c:v>3.5155279503105499</c:v>
                </c:pt>
                <c:pt idx="3">
                  <c:v>2.8447204968944102</c:v>
                </c:pt>
                <c:pt idx="4">
                  <c:v>2.81987577639751</c:v>
                </c:pt>
                <c:pt idx="5">
                  <c:v>3.1677018633540301</c:v>
                </c:pt>
                <c:pt idx="6">
                  <c:v>3.2173913043478199</c:v>
                </c:pt>
                <c:pt idx="7">
                  <c:v>1.92546583850931</c:v>
                </c:pt>
                <c:pt idx="8">
                  <c:v>1.8012422360248399</c:v>
                </c:pt>
                <c:pt idx="9">
                  <c:v>1.57763975155279</c:v>
                </c:pt>
                <c:pt idx="10">
                  <c:v>1.05590062111801</c:v>
                </c:pt>
                <c:pt idx="11">
                  <c:v>0.85714285714285898</c:v>
                </c:pt>
                <c:pt idx="12">
                  <c:v>1.00621118012422</c:v>
                </c:pt>
                <c:pt idx="13">
                  <c:v>1.60248447204969</c:v>
                </c:pt>
                <c:pt idx="14">
                  <c:v>1.62732919254658</c:v>
                </c:pt>
                <c:pt idx="15">
                  <c:v>1.3540372670807399</c:v>
                </c:pt>
                <c:pt idx="16">
                  <c:v>2.5341614906832302</c:v>
                </c:pt>
                <c:pt idx="17">
                  <c:v>2.7204968944099299</c:v>
                </c:pt>
                <c:pt idx="18">
                  <c:v>2.9813664596273202</c:v>
                </c:pt>
                <c:pt idx="19">
                  <c:v>2.79503105590062</c:v>
                </c:pt>
                <c:pt idx="20">
                  <c:v>2.6832298136645898</c:v>
                </c:pt>
                <c:pt idx="21">
                  <c:v>1.4037267080745299</c:v>
                </c:pt>
                <c:pt idx="22">
                  <c:v>1.2298136645962701</c:v>
                </c:pt>
                <c:pt idx="23">
                  <c:v>1.3167701863354</c:v>
                </c:pt>
                <c:pt idx="24">
                  <c:v>2</c:v>
                </c:pt>
              </c:numCache>
            </c:numRef>
          </c:yVal>
          <c:smooth val="0"/>
          <c:extLst>
            <c:ext xmlns:c16="http://schemas.microsoft.com/office/drawing/2014/chart" uri="{C3380CC4-5D6E-409C-BE32-E72D297353CC}">
              <c16:uniqueId val="{00000000-4D30-4DE0-BAD0-BC8A8A80F553}"/>
            </c:ext>
          </c:extLst>
        </c:ser>
        <c:dLbls>
          <c:showLegendKey val="0"/>
          <c:showVal val="0"/>
          <c:showCatName val="0"/>
          <c:showSerName val="0"/>
          <c:showPercent val="0"/>
          <c:showBubbleSize val="0"/>
        </c:dLbls>
        <c:axId val="951042096"/>
        <c:axId val="951044392"/>
      </c:scatterChart>
      <c:valAx>
        <c:axId val="95104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044392"/>
        <c:crosses val="autoZero"/>
        <c:crossBetween val="midCat"/>
      </c:valAx>
      <c:valAx>
        <c:axId val="95104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042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Northey1'!$J$1:$J$2</c:f>
              <c:strCache>
                <c:ptCount val="2"/>
                <c:pt idx="0">
                  <c:v>Mine, Conc, Smelter, Refinery, and/or LSE</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6.6517935258092742E-2"/>
                  <c:y val="0.15546150481189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Northey1'!$I$3:$I$42</c:f>
              <c:numCache>
                <c:formatCode>General</c:formatCode>
                <c:ptCount val="40"/>
                <c:pt idx="0">
                  <c:v>0.468749999999999</c:v>
                </c:pt>
                <c:pt idx="1">
                  <c:v>0.58035714285714202</c:v>
                </c:pt>
                <c:pt idx="2">
                  <c:v>0.58928571428571397</c:v>
                </c:pt>
                <c:pt idx="3">
                  <c:v>0.72098214285714202</c:v>
                </c:pt>
                <c:pt idx="4">
                  <c:v>0.62946428571428503</c:v>
                </c:pt>
                <c:pt idx="5">
                  <c:v>0.58928571428571397</c:v>
                </c:pt>
                <c:pt idx="6">
                  <c:v>0.65848214285714202</c:v>
                </c:pt>
                <c:pt idx="7">
                  <c:v>0.73883928571428503</c:v>
                </c:pt>
                <c:pt idx="8">
                  <c:v>0.578124999999999</c:v>
                </c:pt>
                <c:pt idx="9">
                  <c:v>0.54910714285714202</c:v>
                </c:pt>
                <c:pt idx="10">
                  <c:v>0.94642857142857095</c:v>
                </c:pt>
                <c:pt idx="11">
                  <c:v>0.66964285714285698</c:v>
                </c:pt>
                <c:pt idx="12">
                  <c:v>0.77455357142857095</c:v>
                </c:pt>
                <c:pt idx="13">
                  <c:v>0.84821428571428503</c:v>
                </c:pt>
                <c:pt idx="14">
                  <c:v>0.80580357142857095</c:v>
                </c:pt>
                <c:pt idx="15">
                  <c:v>0.86607142857142805</c:v>
                </c:pt>
                <c:pt idx="16">
                  <c:v>0.58928571428571397</c:v>
                </c:pt>
                <c:pt idx="17">
                  <c:v>0.52678571428571397</c:v>
                </c:pt>
                <c:pt idx="18">
                  <c:v>0.62723214285714202</c:v>
                </c:pt>
                <c:pt idx="19">
                  <c:v>0.60491071428571397</c:v>
                </c:pt>
                <c:pt idx="20">
                  <c:v>0.54910714285714202</c:v>
                </c:pt>
                <c:pt idx="21">
                  <c:v>0.66741071428571397</c:v>
                </c:pt>
                <c:pt idx="22">
                  <c:v>0.63839285714285698</c:v>
                </c:pt>
                <c:pt idx="23">
                  <c:v>0.5625</c:v>
                </c:pt>
                <c:pt idx="24">
                  <c:v>2.0200892857142798</c:v>
                </c:pt>
                <c:pt idx="25">
                  <c:v>2.1941964285714199</c:v>
                </c:pt>
                <c:pt idx="26">
                  <c:v>2.2633928571428501</c:v>
                </c:pt>
                <c:pt idx="27">
                  <c:v>2.2589285714285698</c:v>
                </c:pt>
                <c:pt idx="28">
                  <c:v>2.52678571428571</c:v>
                </c:pt>
                <c:pt idx="29">
                  <c:v>2.4709821428571401</c:v>
                </c:pt>
                <c:pt idx="30">
                  <c:v>2.4196428571428501</c:v>
                </c:pt>
                <c:pt idx="31">
                  <c:v>2.5758928571428501</c:v>
                </c:pt>
                <c:pt idx="32">
                  <c:v>2.6808035714285698</c:v>
                </c:pt>
                <c:pt idx="33">
                  <c:v>2.71875</c:v>
                </c:pt>
                <c:pt idx="34">
                  <c:v>2.9977678571428501</c:v>
                </c:pt>
                <c:pt idx="35">
                  <c:v>2.9620535714285698</c:v>
                </c:pt>
                <c:pt idx="36">
                  <c:v>3.0245535714285698</c:v>
                </c:pt>
                <c:pt idx="37">
                  <c:v>3.0334821428571401</c:v>
                </c:pt>
                <c:pt idx="38">
                  <c:v>3.05803571428571</c:v>
                </c:pt>
                <c:pt idx="39">
                  <c:v>3.2232142857142798</c:v>
                </c:pt>
              </c:numCache>
            </c:numRef>
          </c:xVal>
          <c:yVal>
            <c:numRef>
              <c:f>'Mines Northey1'!$J$3:$J$42</c:f>
              <c:numCache>
                <c:formatCode>General</c:formatCode>
                <c:ptCount val="40"/>
                <c:pt idx="0">
                  <c:v>10.0248447204968</c:v>
                </c:pt>
                <c:pt idx="1">
                  <c:v>8.9068322981366403</c:v>
                </c:pt>
                <c:pt idx="2">
                  <c:v>9.00621118012422</c:v>
                </c:pt>
                <c:pt idx="3">
                  <c:v>8.9068322981366403</c:v>
                </c:pt>
                <c:pt idx="4">
                  <c:v>8.70807453416149</c:v>
                </c:pt>
                <c:pt idx="5">
                  <c:v>8.5590062111801206</c:v>
                </c:pt>
                <c:pt idx="6">
                  <c:v>7.92546583850931</c:v>
                </c:pt>
                <c:pt idx="7">
                  <c:v>8.4099378881987494</c:v>
                </c:pt>
                <c:pt idx="8">
                  <c:v>7.8136645962732896</c:v>
                </c:pt>
                <c:pt idx="9">
                  <c:v>7.3788819875776301</c:v>
                </c:pt>
                <c:pt idx="10">
                  <c:v>5.2173913043478199</c:v>
                </c:pt>
                <c:pt idx="11">
                  <c:v>5.0559006211180098</c:v>
                </c:pt>
                <c:pt idx="12">
                  <c:v>4.4844720496894297</c:v>
                </c:pt>
                <c:pt idx="13">
                  <c:v>4.4099378881987503</c:v>
                </c:pt>
                <c:pt idx="14">
                  <c:v>4.0248447204968896</c:v>
                </c:pt>
                <c:pt idx="15">
                  <c:v>4.0621118012422297</c:v>
                </c:pt>
                <c:pt idx="16">
                  <c:v>4.0621118012422297</c:v>
                </c:pt>
                <c:pt idx="17">
                  <c:v>4.1987577639751503</c:v>
                </c:pt>
                <c:pt idx="18">
                  <c:v>3.7763975155279499</c:v>
                </c:pt>
                <c:pt idx="19">
                  <c:v>2.7204968944099401</c:v>
                </c:pt>
                <c:pt idx="20">
                  <c:v>2.8695652173913002</c:v>
                </c:pt>
                <c:pt idx="21">
                  <c:v>2.3602484472049698</c:v>
                </c:pt>
                <c:pt idx="22">
                  <c:v>2.0621118012422301</c:v>
                </c:pt>
                <c:pt idx="23">
                  <c:v>2.2981366459627299</c:v>
                </c:pt>
                <c:pt idx="24">
                  <c:v>4.9937888198757703</c:v>
                </c:pt>
                <c:pt idx="25">
                  <c:v>4.6459627329192497</c:v>
                </c:pt>
                <c:pt idx="26">
                  <c:v>4.4223602484472</c:v>
                </c:pt>
                <c:pt idx="27">
                  <c:v>4.2111801242236</c:v>
                </c:pt>
                <c:pt idx="28">
                  <c:v>4.4596273291925401</c:v>
                </c:pt>
                <c:pt idx="29">
                  <c:v>5.0931677018633499</c:v>
                </c:pt>
                <c:pt idx="30">
                  <c:v>6.1118012422360204</c:v>
                </c:pt>
                <c:pt idx="31">
                  <c:v>5.71428571428571</c:v>
                </c:pt>
                <c:pt idx="32">
                  <c:v>5.7018633540372603</c:v>
                </c:pt>
                <c:pt idx="33">
                  <c:v>6.3726708074534102</c:v>
                </c:pt>
                <c:pt idx="34">
                  <c:v>5.2670807453416097</c:v>
                </c:pt>
                <c:pt idx="35">
                  <c:v>4.7826086956521703</c:v>
                </c:pt>
                <c:pt idx="36">
                  <c:v>4.8074534161490599</c:v>
                </c:pt>
                <c:pt idx="37">
                  <c:v>4.4844720496894297</c:v>
                </c:pt>
                <c:pt idx="38">
                  <c:v>4.2236024844720497</c:v>
                </c:pt>
                <c:pt idx="39">
                  <c:v>4.1987577639751503</c:v>
                </c:pt>
              </c:numCache>
            </c:numRef>
          </c:yVal>
          <c:smooth val="0"/>
          <c:extLst>
            <c:ext xmlns:c16="http://schemas.microsoft.com/office/drawing/2014/chart" uri="{C3380CC4-5D6E-409C-BE32-E72D297353CC}">
              <c16:uniqueId val="{00000000-536E-4DC2-A2F4-E62C63947613}"/>
            </c:ext>
          </c:extLst>
        </c:ser>
        <c:dLbls>
          <c:showLegendKey val="0"/>
          <c:showVal val="0"/>
          <c:showCatName val="0"/>
          <c:showSerName val="0"/>
          <c:showPercent val="0"/>
          <c:showBubbleSize val="0"/>
        </c:dLbls>
        <c:axId val="1156986216"/>
        <c:axId val="1189146072"/>
      </c:scatterChart>
      <c:valAx>
        <c:axId val="1156986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146072"/>
        <c:crosses val="autoZero"/>
        <c:crossBetween val="midCat"/>
      </c:valAx>
      <c:valAx>
        <c:axId val="118914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986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(m3) Mining+Conc.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Northey1'!$AN$2</c:f>
              <c:strCache>
                <c:ptCount val="1"/>
                <c:pt idx="0">
                  <c:v>Mining+Conc.</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7.0179571303587054E-2"/>
                  <c:y val="-0.1031827792359288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Northey1'!$AM$3:$AM$64</c:f>
              <c:numCache>
                <c:formatCode>General</c:formatCode>
                <c:ptCount val="62"/>
                <c:pt idx="0">
                  <c:v>0.99694849164356103</c:v>
                </c:pt>
                <c:pt idx="1">
                  <c:v>0.221782522727523</c:v>
                </c:pt>
                <c:pt idx="2">
                  <c:v>0.466079930188116</c:v>
                </c:pt>
                <c:pt idx="3">
                  <c:v>1.0993217642965201</c:v>
                </c:pt>
                <c:pt idx="4">
                  <c:v>1.0994460338676</c:v>
                </c:pt>
                <c:pt idx="5">
                  <c:v>1.19905223740458</c:v>
                </c:pt>
                <c:pt idx="6">
                  <c:v>1.19918755315976</c:v>
                </c:pt>
                <c:pt idx="7">
                  <c:v>0.99999171536192699</c:v>
                </c:pt>
                <c:pt idx="8">
                  <c:v>1.00008008483469</c:v>
                </c:pt>
                <c:pt idx="9">
                  <c:v>0.91248660650178304</c:v>
                </c:pt>
                <c:pt idx="10">
                  <c:v>0.27649979564559402</c:v>
                </c:pt>
                <c:pt idx="11">
                  <c:v>0.19125086988699699</c:v>
                </c:pt>
                <c:pt idx="12">
                  <c:v>0.18663080338896901</c:v>
                </c:pt>
                <c:pt idx="13">
                  <c:v>0.38821537849749799</c:v>
                </c:pt>
                <c:pt idx="14">
                  <c:v>0.41196743584928502</c:v>
                </c:pt>
                <c:pt idx="15">
                  <c:v>0.21041876083906699</c:v>
                </c:pt>
                <c:pt idx="16">
                  <c:v>0.25591799312927299</c:v>
                </c:pt>
                <c:pt idx="17">
                  <c:v>0.303328215268035</c:v>
                </c:pt>
                <c:pt idx="18">
                  <c:v>0.28197594141103899</c:v>
                </c:pt>
                <c:pt idx="19">
                  <c:v>0.30575561422306602</c:v>
                </c:pt>
                <c:pt idx="20">
                  <c:v>0.369765489511648</c:v>
                </c:pt>
                <c:pt idx="21">
                  <c:v>0.422016701830352</c:v>
                </c:pt>
                <c:pt idx="22">
                  <c:v>0.334108407250715</c:v>
                </c:pt>
                <c:pt idx="23">
                  <c:v>0.54011421754354905</c:v>
                </c:pt>
                <c:pt idx="24">
                  <c:v>0.66826099923781301</c:v>
                </c:pt>
                <c:pt idx="25">
                  <c:v>0.69921793016602296</c:v>
                </c:pt>
                <c:pt idx="26">
                  <c:v>0.74908040517403196</c:v>
                </c:pt>
                <c:pt idx="27">
                  <c:v>0.82019849992819904</c:v>
                </c:pt>
                <c:pt idx="28">
                  <c:v>0.78707927846325398</c:v>
                </c:pt>
                <c:pt idx="29">
                  <c:v>0.82038076196577803</c:v>
                </c:pt>
                <c:pt idx="30">
                  <c:v>0.69005512045863704</c:v>
                </c:pt>
                <c:pt idx="31">
                  <c:v>0.76135823879640696</c:v>
                </c:pt>
                <c:pt idx="32">
                  <c:v>0.79675297418506696</c:v>
                </c:pt>
                <c:pt idx="33">
                  <c:v>0.85135426217013299</c:v>
                </c:pt>
                <c:pt idx="34">
                  <c:v>0.88923715052635</c:v>
                </c:pt>
                <c:pt idx="35">
                  <c:v>0.889273050624661</c:v>
                </c:pt>
                <c:pt idx="36">
                  <c:v>0.93911343326447805</c:v>
                </c:pt>
                <c:pt idx="37">
                  <c:v>0.91050933954865199</c:v>
                </c:pt>
                <c:pt idx="38">
                  <c:v>0.84676181113234406</c:v>
                </c:pt>
                <c:pt idx="39">
                  <c:v>0.86100310397773006</c:v>
                </c:pt>
                <c:pt idx="40">
                  <c:v>1.06962133680919</c:v>
                </c:pt>
                <c:pt idx="41">
                  <c:v>1.14081675485203</c:v>
                </c:pt>
                <c:pt idx="42">
                  <c:v>1.11938439616034</c:v>
                </c:pt>
                <c:pt idx="43">
                  <c:v>1.2095875354858601</c:v>
                </c:pt>
                <c:pt idx="44">
                  <c:v>1.1882987771874201</c:v>
                </c:pt>
                <c:pt idx="45">
                  <c:v>1.3234792166046201</c:v>
                </c:pt>
                <c:pt idx="46">
                  <c:v>1.3210932408399501</c:v>
                </c:pt>
                <c:pt idx="47">
                  <c:v>1.1310657358415499</c:v>
                </c:pt>
                <c:pt idx="48">
                  <c:v>1.0883225264832199</c:v>
                </c:pt>
                <c:pt idx="49">
                  <c:v>1.0597985176020901</c:v>
                </c:pt>
                <c:pt idx="50">
                  <c:v>1.0383827281865401</c:v>
                </c:pt>
                <c:pt idx="51">
                  <c:v>1.06921538954368</c:v>
                </c:pt>
                <c:pt idx="52">
                  <c:v>1.5298136508743001</c:v>
                </c:pt>
                <c:pt idx="53">
                  <c:v>1.85950082294071</c:v>
                </c:pt>
                <c:pt idx="54">
                  <c:v>2.4834417700405398</c:v>
                </c:pt>
                <c:pt idx="55">
                  <c:v>3.3015387334445299</c:v>
                </c:pt>
                <c:pt idx="56">
                  <c:v>3.6999773553225999</c:v>
                </c:pt>
                <c:pt idx="57">
                  <c:v>3.79965259751018</c:v>
                </c:pt>
                <c:pt idx="58">
                  <c:v>3.7996802129704301</c:v>
                </c:pt>
                <c:pt idx="59">
                  <c:v>3.9016558229959402</c:v>
                </c:pt>
                <c:pt idx="60">
                  <c:v>3.9017607617448502</c:v>
                </c:pt>
                <c:pt idx="61">
                  <c:v>4.2007091650189397</c:v>
                </c:pt>
              </c:numCache>
            </c:numRef>
          </c:xVal>
          <c:yVal>
            <c:numRef>
              <c:f>'Mines Northey1'!$AN$3:$AN$64</c:f>
              <c:numCache>
                <c:formatCode>General</c:formatCode>
                <c:ptCount val="62"/>
                <c:pt idx="0">
                  <c:v>292.32965249932101</c:v>
                </c:pt>
                <c:pt idx="1">
                  <c:v>202.537922163677</c:v>
                </c:pt>
                <c:pt idx="2">
                  <c:v>208.566193030839</c:v>
                </c:pt>
                <c:pt idx="3">
                  <c:v>229.92092159541201</c:v>
                </c:pt>
                <c:pt idx="4">
                  <c:v>208.96631036586101</c:v>
                </c:pt>
                <c:pt idx="5">
                  <c:v>213.14692283994901</c:v>
                </c:pt>
                <c:pt idx="6">
                  <c:v>190.32967950110501</c:v>
                </c:pt>
                <c:pt idx="7">
                  <c:v>179.17450638899001</c:v>
                </c:pt>
                <c:pt idx="8">
                  <c:v>164.27344951464201</c:v>
                </c:pt>
                <c:pt idx="9">
                  <c:v>134.48041818398201</c:v>
                </c:pt>
                <c:pt idx="10">
                  <c:v>175.98976877881901</c:v>
                </c:pt>
                <c:pt idx="11">
                  <c:v>150.85307225063499</c:v>
                </c:pt>
                <c:pt idx="12">
                  <c:v>129.898951962599</c:v>
                </c:pt>
                <c:pt idx="13">
                  <c:v>138.259931440017</c:v>
                </c:pt>
                <c:pt idx="14">
                  <c:v>133.13523843188301</c:v>
                </c:pt>
                <c:pt idx="15">
                  <c:v>118.72070459926201</c:v>
                </c:pt>
                <c:pt idx="16">
                  <c:v>46.5390464197474</c:v>
                </c:pt>
                <c:pt idx="17">
                  <c:v>52.122033332473997</c:v>
                </c:pt>
                <c:pt idx="18">
                  <c:v>52.589900596616502</c:v>
                </c:pt>
                <c:pt idx="19">
                  <c:v>42.808627315249197</c:v>
                </c:pt>
                <c:pt idx="20">
                  <c:v>49.321211987318797</c:v>
                </c:pt>
                <c:pt idx="21">
                  <c:v>38.605677002212701</c:v>
                </c:pt>
                <c:pt idx="22">
                  <c:v>61.897660786414498</c:v>
                </c:pt>
                <c:pt idx="23">
                  <c:v>124.740138519148</c:v>
                </c:pt>
                <c:pt idx="24">
                  <c:v>116.345038606413</c:v>
                </c:pt>
                <c:pt idx="25">
                  <c:v>96.318552311659303</c:v>
                </c:pt>
                <c:pt idx="26">
                  <c:v>88.397210961251005</c:v>
                </c:pt>
                <c:pt idx="27">
                  <c:v>96.3060333030175</c:v>
                </c:pt>
                <c:pt idx="28">
                  <c:v>80.942754991954502</c:v>
                </c:pt>
                <c:pt idx="29">
                  <c:v>65.572603499676404</c:v>
                </c:pt>
                <c:pt idx="30">
                  <c:v>41.371886970534703</c:v>
                </c:pt>
                <c:pt idx="31">
                  <c:v>18.081621481636699</c:v>
                </c:pt>
                <c:pt idx="32">
                  <c:v>49.742685278259302</c:v>
                </c:pt>
                <c:pt idx="33">
                  <c:v>42.752169040982402</c:v>
                </c:pt>
                <c:pt idx="34">
                  <c:v>54.855350219266597</c:v>
                </c:pt>
                <c:pt idx="35">
                  <c:v>48.801795864063102</c:v>
                </c:pt>
                <c:pt idx="36">
                  <c:v>44.605718732241499</c:v>
                </c:pt>
                <c:pt idx="37">
                  <c:v>67.891565747501204</c:v>
                </c:pt>
                <c:pt idx="38">
                  <c:v>17.141468479713399</c:v>
                </c:pt>
                <c:pt idx="39">
                  <c:v>15.7430215731973</c:v>
                </c:pt>
                <c:pt idx="40">
                  <c:v>38.073005458042097</c:v>
                </c:pt>
                <c:pt idx="41">
                  <c:v>32.943403034754702</c:v>
                </c:pt>
                <c:pt idx="42">
                  <c:v>46.915353091274397</c:v>
                </c:pt>
                <c:pt idx="43">
                  <c:v>36.6615486013688</c:v>
                </c:pt>
                <c:pt idx="44">
                  <c:v>26.419281237074198</c:v>
                </c:pt>
                <c:pt idx="45">
                  <c:v>31.993185731766498</c:v>
                </c:pt>
                <c:pt idx="46">
                  <c:v>34.321721339141</c:v>
                </c:pt>
                <c:pt idx="47">
                  <c:v>77.181897513503699</c:v>
                </c:pt>
                <c:pt idx="48">
                  <c:v>84.636844424315697</c:v>
                </c:pt>
                <c:pt idx="49">
                  <c:v>94.418608647198198</c:v>
                </c:pt>
                <c:pt idx="50">
                  <c:v>105.596610539777</c:v>
                </c:pt>
                <c:pt idx="51">
                  <c:v>106.524735474574</c:v>
                </c:pt>
                <c:pt idx="52">
                  <c:v>39.422358213021703</c:v>
                </c:pt>
                <c:pt idx="53">
                  <c:v>46.838766214877502</c:v>
                </c:pt>
                <c:pt idx="54">
                  <c:v>36.529730804493397</c:v>
                </c:pt>
                <c:pt idx="55">
                  <c:v>87.201768371338204</c:v>
                </c:pt>
                <c:pt idx="56">
                  <c:v>101.59592813107101</c:v>
                </c:pt>
                <c:pt idx="57">
                  <c:v>94.135089922075196</c:v>
                </c:pt>
                <c:pt idx="58">
                  <c:v>89.478509648841694</c:v>
                </c:pt>
                <c:pt idx="59">
                  <c:v>94.1245346794949</c:v>
                </c:pt>
                <c:pt idx="60">
                  <c:v>76.429529641207594</c:v>
                </c:pt>
                <c:pt idx="61">
                  <c:v>67.085439779272605</c:v>
                </c:pt>
              </c:numCache>
            </c:numRef>
          </c:yVal>
          <c:smooth val="0"/>
          <c:extLst>
            <c:ext xmlns:c16="http://schemas.microsoft.com/office/drawing/2014/chart" uri="{C3380CC4-5D6E-409C-BE32-E72D297353CC}">
              <c16:uniqueId val="{00000000-D64F-4027-A9BB-4B7C4D1E185E}"/>
            </c:ext>
          </c:extLst>
        </c:ser>
        <c:ser>
          <c:idx val="1"/>
          <c:order val="1"/>
          <c:tx>
            <c:strRef>
              <c:f>'Mines Northey1'!$AP$2</c:f>
              <c:strCache>
                <c:ptCount val="1"/>
                <c:pt idx="0">
                  <c:v>Water Mining+SX-EW</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0.11209164479440065"/>
                  <c:y val="5.340879265091863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Northey1'!$AO$3:$AO$15</c:f>
              <c:numCache>
                <c:formatCode>General</c:formatCode>
                <c:ptCount val="13"/>
                <c:pt idx="0">
                  <c:v>0.28180472555755598</c:v>
                </c:pt>
                <c:pt idx="1">
                  <c:v>0.29606811077113299</c:v>
                </c:pt>
                <c:pt idx="2">
                  <c:v>0.31270918711131201</c:v>
                </c:pt>
                <c:pt idx="3">
                  <c:v>0.52397021948767697</c:v>
                </c:pt>
                <c:pt idx="4">
                  <c:v>0.53821703542511201</c:v>
                </c:pt>
                <c:pt idx="5">
                  <c:v>0.550061306321731</c:v>
                </c:pt>
                <c:pt idx="6">
                  <c:v>0.56427222216085404</c:v>
                </c:pt>
                <c:pt idx="7">
                  <c:v>0.57852456119033602</c:v>
                </c:pt>
                <c:pt idx="8">
                  <c:v>0.59041853991538595</c:v>
                </c:pt>
                <c:pt idx="9">
                  <c:v>0.85859227429884299</c:v>
                </c:pt>
                <c:pt idx="10">
                  <c:v>1.9638900241911399</c:v>
                </c:pt>
                <c:pt idx="11">
                  <c:v>1.9662842845938799</c:v>
                </c:pt>
                <c:pt idx="12">
                  <c:v>2.0612207138044099</c:v>
                </c:pt>
              </c:numCache>
            </c:numRef>
          </c:xVal>
          <c:yVal>
            <c:numRef>
              <c:f>'Mines Northey1'!$AP$3:$AP$15</c:f>
              <c:numCache>
                <c:formatCode>General</c:formatCode>
                <c:ptCount val="13"/>
                <c:pt idx="0">
                  <c:v>81.460698290664197</c:v>
                </c:pt>
                <c:pt idx="1">
                  <c:v>76.336987165561197</c:v>
                </c:pt>
                <c:pt idx="2">
                  <c:v>70.281714515053906</c:v>
                </c:pt>
                <c:pt idx="3">
                  <c:v>46.976966251452701</c:v>
                </c:pt>
                <c:pt idx="4">
                  <c:v>44.647203290289802</c:v>
                </c:pt>
                <c:pt idx="5">
                  <c:v>47.439924100441502</c:v>
                </c:pt>
                <c:pt idx="6">
                  <c:v>51.163715494482197</c:v>
                </c:pt>
                <c:pt idx="7">
                  <c:v>47.902636478672697</c:v>
                </c:pt>
                <c:pt idx="8">
                  <c:v>42.313512797004101</c:v>
                </c:pt>
                <c:pt idx="9">
                  <c:v>22.2624794264818</c:v>
                </c:pt>
                <c:pt idx="10">
                  <c:v>44.499675364922801</c:v>
                </c:pt>
                <c:pt idx="11">
                  <c:v>40.774165675578303</c:v>
                </c:pt>
                <c:pt idx="12">
                  <c:v>32.382502353450697</c:v>
                </c:pt>
              </c:numCache>
            </c:numRef>
          </c:yVal>
          <c:smooth val="0"/>
          <c:extLst>
            <c:ext xmlns:c16="http://schemas.microsoft.com/office/drawing/2014/chart" uri="{C3380CC4-5D6E-409C-BE32-E72D297353CC}">
              <c16:uniqueId val="{00000002-D64F-4027-A9BB-4B7C4D1E185E}"/>
            </c:ext>
          </c:extLst>
        </c:ser>
        <c:dLbls>
          <c:showLegendKey val="0"/>
          <c:showVal val="0"/>
          <c:showCatName val="0"/>
          <c:showSerName val="0"/>
          <c:showPercent val="0"/>
          <c:showBubbleSize val="0"/>
        </c:dLbls>
        <c:axId val="1020945312"/>
        <c:axId val="1020945640"/>
      </c:scatterChart>
      <c:valAx>
        <c:axId val="102094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945640"/>
        <c:crosses val="autoZero"/>
        <c:crossBetween val="midCat"/>
      </c:valAx>
      <c:valAx>
        <c:axId val="1020945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945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Northey1'!$D$1:$D$2</c:f>
              <c:strCache>
                <c:ptCount val="2"/>
                <c:pt idx="0">
                  <c:v>Mine, Conc</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4.0378390201224849E-2"/>
                  <c:y val="-0.125821303587051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Northey1'!$C$3:$C$56</c:f>
              <c:numCache>
                <c:formatCode>General</c:formatCode>
                <c:ptCount val="54"/>
                <c:pt idx="0">
                  <c:v>0.54017857142857095</c:v>
                </c:pt>
                <c:pt idx="1">
                  <c:v>0.30357142857142799</c:v>
                </c:pt>
                <c:pt idx="2">
                  <c:v>0.33035714285714202</c:v>
                </c:pt>
                <c:pt idx="3">
                  <c:v>0.468749999999999</c:v>
                </c:pt>
                <c:pt idx="4">
                  <c:v>0.70089285714285698</c:v>
                </c:pt>
                <c:pt idx="5">
                  <c:v>0.749999999999999</c:v>
                </c:pt>
                <c:pt idx="6">
                  <c:v>0.81696428571428503</c:v>
                </c:pt>
                <c:pt idx="7">
                  <c:v>0.91071428571428503</c:v>
                </c:pt>
                <c:pt idx="8">
                  <c:v>0.88839285714285698</c:v>
                </c:pt>
                <c:pt idx="9">
                  <c:v>0.6875</c:v>
                </c:pt>
                <c:pt idx="10">
                  <c:v>0.41964285714285698</c:v>
                </c:pt>
                <c:pt idx="11">
                  <c:v>0.36607142857142799</c:v>
                </c:pt>
                <c:pt idx="12">
                  <c:v>0.29910714285714202</c:v>
                </c:pt>
                <c:pt idx="13">
                  <c:v>0.25892857142857101</c:v>
                </c:pt>
                <c:pt idx="14">
                  <c:v>0.223214285714285</c:v>
                </c:pt>
                <c:pt idx="15">
                  <c:v>0.191964285714285</c:v>
                </c:pt>
                <c:pt idx="16">
                  <c:v>0.27678571428571402</c:v>
                </c:pt>
                <c:pt idx="17">
                  <c:v>0.281249999999999</c:v>
                </c:pt>
                <c:pt idx="18">
                  <c:v>0.187499999999999</c:v>
                </c:pt>
                <c:pt idx="19">
                  <c:v>0.20982142857142799</c:v>
                </c:pt>
                <c:pt idx="20">
                  <c:v>0.94196428571428503</c:v>
                </c:pt>
                <c:pt idx="21">
                  <c:v>0.91071428571428603</c:v>
                </c:pt>
                <c:pt idx="22">
                  <c:v>0.75892857142857095</c:v>
                </c:pt>
                <c:pt idx="23">
                  <c:v>0.81919642857142805</c:v>
                </c:pt>
                <c:pt idx="24">
                  <c:v>0.85491071428571397</c:v>
                </c:pt>
                <c:pt idx="25">
                  <c:v>0.88839285714285698</c:v>
                </c:pt>
                <c:pt idx="26">
                  <c:v>0.79910714285714302</c:v>
                </c:pt>
                <c:pt idx="27">
                  <c:v>1.00446428571428</c:v>
                </c:pt>
                <c:pt idx="28">
                  <c:v>1</c:v>
                </c:pt>
                <c:pt idx="29">
                  <c:v>1.09821428571428</c:v>
                </c:pt>
                <c:pt idx="30">
                  <c:v>1.0602678571428501</c:v>
                </c:pt>
                <c:pt idx="31">
                  <c:v>1.1004464285714199</c:v>
                </c:pt>
                <c:pt idx="32">
                  <c:v>1.1227678571428501</c:v>
                </c:pt>
                <c:pt idx="33">
                  <c:v>1.19866071428571</c:v>
                </c:pt>
                <c:pt idx="34">
                  <c:v>1</c:v>
                </c:pt>
                <c:pt idx="35">
                  <c:v>1.03571428571428</c:v>
                </c:pt>
                <c:pt idx="36">
                  <c:v>1.0758928571428501</c:v>
                </c:pt>
                <c:pt idx="37">
                  <c:v>1.21428571428571</c:v>
                </c:pt>
                <c:pt idx="38">
                  <c:v>1.1875</c:v>
                </c:pt>
                <c:pt idx="39">
                  <c:v>1.09374999999999</c:v>
                </c:pt>
                <c:pt idx="40">
                  <c:v>1.0848214285714199</c:v>
                </c:pt>
                <c:pt idx="41">
                  <c:v>1.3125</c:v>
                </c:pt>
                <c:pt idx="42">
                  <c:v>1.3214285714285701</c:v>
                </c:pt>
                <c:pt idx="43">
                  <c:v>1.53124999999999</c:v>
                </c:pt>
                <c:pt idx="44">
                  <c:v>1.8616071428571399</c:v>
                </c:pt>
                <c:pt idx="45">
                  <c:v>2.4419642857142798</c:v>
                </c:pt>
                <c:pt idx="46">
                  <c:v>2.4866071428571401</c:v>
                </c:pt>
                <c:pt idx="47">
                  <c:v>3.3035714285714199</c:v>
                </c:pt>
                <c:pt idx="48">
                  <c:v>3.703125</c:v>
                </c:pt>
                <c:pt idx="49">
                  <c:v>3.8058035714285698</c:v>
                </c:pt>
                <c:pt idx="50">
                  <c:v>3.90625</c:v>
                </c:pt>
                <c:pt idx="51">
                  <c:v>0.31696428571428498</c:v>
                </c:pt>
                <c:pt idx="52">
                  <c:v>0.39732142857142799</c:v>
                </c:pt>
                <c:pt idx="53">
                  <c:v>0.38839285714285698</c:v>
                </c:pt>
              </c:numCache>
            </c:numRef>
          </c:xVal>
          <c:yVal>
            <c:numRef>
              <c:f>'Mines Northey1'!$D$3:$D$56</c:f>
              <c:numCache>
                <c:formatCode>General</c:formatCode>
                <c:ptCount val="54"/>
                <c:pt idx="0">
                  <c:v>8.0372670807453392</c:v>
                </c:pt>
                <c:pt idx="1">
                  <c:v>7.0186335403726696</c:v>
                </c:pt>
                <c:pt idx="2">
                  <c:v>6.3975155279502998</c:v>
                </c:pt>
                <c:pt idx="3">
                  <c:v>5.8757763975155202</c:v>
                </c:pt>
                <c:pt idx="4">
                  <c:v>5.2298136645962696</c:v>
                </c:pt>
                <c:pt idx="5">
                  <c:v>4.5838509316770102</c:v>
                </c:pt>
                <c:pt idx="6">
                  <c:v>4.2360248447204896</c:v>
                </c:pt>
                <c:pt idx="7">
                  <c:v>3.6397515527950302</c:v>
                </c:pt>
                <c:pt idx="8">
                  <c:v>2.6459627329192501</c:v>
                </c:pt>
                <c:pt idx="9">
                  <c:v>2.7701863354037202</c:v>
                </c:pt>
                <c:pt idx="10">
                  <c:v>3.9627329192546501</c:v>
                </c:pt>
                <c:pt idx="11">
                  <c:v>4.8322981366459601</c:v>
                </c:pt>
                <c:pt idx="12">
                  <c:v>5.1552795031055796</c:v>
                </c:pt>
                <c:pt idx="13">
                  <c:v>5.4037267080745304</c:v>
                </c:pt>
                <c:pt idx="14">
                  <c:v>5.7763975155279397</c:v>
                </c:pt>
                <c:pt idx="15">
                  <c:v>5.4285714285714199</c:v>
                </c:pt>
                <c:pt idx="16">
                  <c:v>4.8322981366459601</c:v>
                </c:pt>
                <c:pt idx="17">
                  <c:v>4.4099378881987503</c:v>
                </c:pt>
                <c:pt idx="18">
                  <c:v>3.5652173913043401</c:v>
                </c:pt>
                <c:pt idx="19">
                  <c:v>3.2919254658385002</c:v>
                </c:pt>
                <c:pt idx="20">
                  <c:v>2.1490683229813601</c:v>
                </c:pt>
                <c:pt idx="21">
                  <c:v>1.5403726708074501</c:v>
                </c:pt>
                <c:pt idx="22">
                  <c:v>1.4285714285714199</c:v>
                </c:pt>
                <c:pt idx="23">
                  <c:v>1.36645962732919</c:v>
                </c:pt>
                <c:pt idx="24">
                  <c:v>1.2795031055900601</c:v>
                </c:pt>
                <c:pt idx="25">
                  <c:v>0.90683229813664901</c:v>
                </c:pt>
                <c:pt idx="26">
                  <c:v>0.93167701863354302</c:v>
                </c:pt>
                <c:pt idx="27">
                  <c:v>0.55900621118012594</c:v>
                </c:pt>
                <c:pt idx="28">
                  <c:v>0.13664596273292201</c:v>
                </c:pt>
                <c:pt idx="29">
                  <c:v>0.161490683229814</c:v>
                </c:pt>
                <c:pt idx="30">
                  <c:v>0.670807453416149</c:v>
                </c:pt>
                <c:pt idx="31">
                  <c:v>0.59627329192546696</c:v>
                </c:pt>
                <c:pt idx="32">
                  <c:v>0.73291925465838403</c:v>
                </c:pt>
                <c:pt idx="33">
                  <c:v>0.64596273291925599</c:v>
                </c:pt>
                <c:pt idx="34">
                  <c:v>0.98136645962733104</c:v>
                </c:pt>
                <c:pt idx="35">
                  <c:v>1.05590062111801</c:v>
                </c:pt>
                <c:pt idx="36">
                  <c:v>1.7018633540372601</c:v>
                </c:pt>
                <c:pt idx="37">
                  <c:v>1.7763975155279501</c:v>
                </c:pt>
                <c:pt idx="38">
                  <c:v>1.3788819875776399</c:v>
                </c:pt>
                <c:pt idx="39">
                  <c:v>1.2049689440993701</c:v>
                </c:pt>
                <c:pt idx="40">
                  <c:v>0.95652173913043703</c:v>
                </c:pt>
                <c:pt idx="41">
                  <c:v>2.0496894409937898</c:v>
                </c:pt>
                <c:pt idx="42">
                  <c:v>1.90062111801242</c:v>
                </c:pt>
                <c:pt idx="43">
                  <c:v>2.4223602484472</c:v>
                </c:pt>
                <c:pt idx="44">
                  <c:v>2.3229813664596199</c:v>
                </c:pt>
                <c:pt idx="45">
                  <c:v>1.57763975155279</c:v>
                </c:pt>
                <c:pt idx="46">
                  <c:v>1.7018633540372701</c:v>
                </c:pt>
                <c:pt idx="47">
                  <c:v>1.0434782608695601</c:v>
                </c:pt>
                <c:pt idx="48">
                  <c:v>1.1304347826087</c:v>
                </c:pt>
                <c:pt idx="49">
                  <c:v>0.93167701863354302</c:v>
                </c:pt>
                <c:pt idx="50">
                  <c:v>0.91925465838509401</c:v>
                </c:pt>
                <c:pt idx="51">
                  <c:v>1.29192546583851</c:v>
                </c:pt>
                <c:pt idx="52">
                  <c:v>1.0931677018633501</c:v>
                </c:pt>
                <c:pt idx="53">
                  <c:v>0.91925465838509601</c:v>
                </c:pt>
              </c:numCache>
            </c:numRef>
          </c:yVal>
          <c:smooth val="0"/>
          <c:extLst>
            <c:ext xmlns:c16="http://schemas.microsoft.com/office/drawing/2014/chart" uri="{C3380CC4-5D6E-409C-BE32-E72D297353CC}">
              <c16:uniqueId val="{00000001-57F7-49A1-BC1C-88AB05D0B51F}"/>
            </c:ext>
          </c:extLst>
        </c:ser>
        <c:dLbls>
          <c:showLegendKey val="0"/>
          <c:showVal val="0"/>
          <c:showCatName val="0"/>
          <c:showSerName val="0"/>
          <c:showPercent val="0"/>
          <c:showBubbleSize val="0"/>
        </c:dLbls>
        <c:axId val="1084779656"/>
        <c:axId val="1084779000"/>
      </c:scatterChart>
      <c:valAx>
        <c:axId val="1084779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79000"/>
        <c:crosses val="autoZero"/>
        <c:crossBetween val="midCat"/>
      </c:valAx>
      <c:valAx>
        <c:axId val="108477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79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Northey1'!$F$1:$F$2</c:f>
              <c:strCache>
                <c:ptCount val="2"/>
                <c:pt idx="0">
                  <c:v>Mine, Conc, LSE</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0.40987685914260719"/>
                  <c:y val="1.473972003499562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Northey1'!$E$3:$E$27</c:f>
              <c:numCache>
                <c:formatCode>General</c:formatCode>
                <c:ptCount val="25"/>
                <c:pt idx="0">
                  <c:v>0.71428571428571397</c:v>
                </c:pt>
                <c:pt idx="1">
                  <c:v>0.70089285714285698</c:v>
                </c:pt>
                <c:pt idx="2">
                  <c:v>0.85267857142857095</c:v>
                </c:pt>
                <c:pt idx="3">
                  <c:v>0.87946428571428503</c:v>
                </c:pt>
                <c:pt idx="4">
                  <c:v>0.72767857142857095</c:v>
                </c:pt>
                <c:pt idx="5">
                  <c:v>0.640625</c:v>
                </c:pt>
                <c:pt idx="6">
                  <c:v>0.70089285714285698</c:v>
                </c:pt>
                <c:pt idx="7">
                  <c:v>1.00446428571428</c:v>
                </c:pt>
                <c:pt idx="8">
                  <c:v>0.97321428571428503</c:v>
                </c:pt>
                <c:pt idx="9">
                  <c:v>1.0223214285714199</c:v>
                </c:pt>
                <c:pt idx="10">
                  <c:v>1</c:v>
                </c:pt>
                <c:pt idx="11">
                  <c:v>1</c:v>
                </c:pt>
                <c:pt idx="12">
                  <c:v>1</c:v>
                </c:pt>
                <c:pt idx="13">
                  <c:v>1.08928571428571</c:v>
                </c:pt>
                <c:pt idx="14">
                  <c:v>1.1160714285714199</c:v>
                </c:pt>
                <c:pt idx="15">
                  <c:v>1.1339285714285701</c:v>
                </c:pt>
                <c:pt idx="16">
                  <c:v>1.1004464285714199</c:v>
                </c:pt>
                <c:pt idx="17">
                  <c:v>1.0245535714285701</c:v>
                </c:pt>
                <c:pt idx="18">
                  <c:v>1.08928571428571</c:v>
                </c:pt>
                <c:pt idx="19">
                  <c:v>1.2098214285714199</c:v>
                </c:pt>
                <c:pt idx="20">
                  <c:v>1.1741071428571399</c:v>
                </c:pt>
                <c:pt idx="21">
                  <c:v>1.3660714285714199</c:v>
                </c:pt>
                <c:pt idx="22">
                  <c:v>1.4196428571428501</c:v>
                </c:pt>
                <c:pt idx="23">
                  <c:v>1.4352678571428501</c:v>
                </c:pt>
                <c:pt idx="24">
                  <c:v>1.3035714285714199</c:v>
                </c:pt>
              </c:numCache>
            </c:numRef>
          </c:xVal>
          <c:yVal>
            <c:numRef>
              <c:f>'Mines Northey1'!$F$3:$F$27</c:f>
              <c:numCache>
                <c:formatCode>General</c:formatCode>
                <c:ptCount val="25"/>
                <c:pt idx="0">
                  <c:v>4.7577639751552701</c:v>
                </c:pt>
                <c:pt idx="1">
                  <c:v>3.9378881987577601</c:v>
                </c:pt>
                <c:pt idx="2">
                  <c:v>3.5155279503105499</c:v>
                </c:pt>
                <c:pt idx="3">
                  <c:v>2.8447204968944102</c:v>
                </c:pt>
                <c:pt idx="4">
                  <c:v>2.81987577639751</c:v>
                </c:pt>
                <c:pt idx="5">
                  <c:v>3.1677018633540301</c:v>
                </c:pt>
                <c:pt idx="6">
                  <c:v>3.2173913043478199</c:v>
                </c:pt>
                <c:pt idx="7">
                  <c:v>1.92546583850931</c:v>
                </c:pt>
                <c:pt idx="8">
                  <c:v>1.8012422360248399</c:v>
                </c:pt>
                <c:pt idx="9">
                  <c:v>1.57763975155279</c:v>
                </c:pt>
                <c:pt idx="10">
                  <c:v>1.05590062111801</c:v>
                </c:pt>
                <c:pt idx="11">
                  <c:v>0.85714285714285898</c:v>
                </c:pt>
                <c:pt idx="12">
                  <c:v>1.00621118012422</c:v>
                </c:pt>
                <c:pt idx="13">
                  <c:v>1.60248447204969</c:v>
                </c:pt>
                <c:pt idx="14">
                  <c:v>1.62732919254658</c:v>
                </c:pt>
                <c:pt idx="15">
                  <c:v>1.3540372670807399</c:v>
                </c:pt>
                <c:pt idx="16">
                  <c:v>2.5341614906832302</c:v>
                </c:pt>
                <c:pt idx="17">
                  <c:v>2.7204968944099299</c:v>
                </c:pt>
                <c:pt idx="18">
                  <c:v>2.9813664596273202</c:v>
                </c:pt>
                <c:pt idx="19">
                  <c:v>2.79503105590062</c:v>
                </c:pt>
                <c:pt idx="20">
                  <c:v>2.6832298136645898</c:v>
                </c:pt>
                <c:pt idx="21">
                  <c:v>1.4037267080745299</c:v>
                </c:pt>
                <c:pt idx="22">
                  <c:v>1.2298136645962701</c:v>
                </c:pt>
                <c:pt idx="23">
                  <c:v>1.3167701863354</c:v>
                </c:pt>
                <c:pt idx="24">
                  <c:v>2</c:v>
                </c:pt>
              </c:numCache>
            </c:numRef>
          </c:yVal>
          <c:smooth val="0"/>
          <c:extLst>
            <c:ext xmlns:c16="http://schemas.microsoft.com/office/drawing/2014/chart" uri="{C3380CC4-5D6E-409C-BE32-E72D297353CC}">
              <c16:uniqueId val="{00000001-1F45-4EA9-B306-02B2974BCFC6}"/>
            </c:ext>
          </c:extLst>
        </c:ser>
        <c:dLbls>
          <c:showLegendKey val="0"/>
          <c:showVal val="0"/>
          <c:showCatName val="0"/>
          <c:showSerName val="0"/>
          <c:showPercent val="0"/>
          <c:showBubbleSize val="0"/>
        </c:dLbls>
        <c:axId val="951042096"/>
        <c:axId val="951044392"/>
      </c:scatterChart>
      <c:valAx>
        <c:axId val="95104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044392"/>
        <c:crosses val="autoZero"/>
        <c:crossBetween val="midCat"/>
      </c:valAx>
      <c:valAx>
        <c:axId val="95104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042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10</xdr:col>
      <xdr:colOff>388620</xdr:colOff>
      <xdr:row>4</xdr:row>
      <xdr:rowOff>76200</xdr:rowOff>
    </xdr:from>
    <xdr:to>
      <xdr:col>18</xdr:col>
      <xdr:colOff>83820</xdr:colOff>
      <xdr:row>19</xdr:row>
      <xdr:rowOff>76200</xdr:rowOff>
    </xdr:to>
    <xdr:graphicFrame macro="">
      <xdr:nvGraphicFramePr>
        <xdr:cNvPr id="2" name="Chart 1">
          <a:extLst>
            <a:ext uri="{FF2B5EF4-FFF2-40B4-BE49-F238E27FC236}">
              <a16:creationId xmlns:a16="http://schemas.microsoft.com/office/drawing/2014/main" id="{3A49319D-5C44-4B98-9D3F-6AF2852E3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388620</xdr:colOff>
      <xdr:row>20</xdr:row>
      <xdr:rowOff>114300</xdr:rowOff>
    </xdr:from>
    <xdr:to>
      <xdr:col>18</xdr:col>
      <xdr:colOff>83820</xdr:colOff>
      <xdr:row>35</xdr:row>
      <xdr:rowOff>114300</xdr:rowOff>
    </xdr:to>
    <xdr:graphicFrame macro="">
      <xdr:nvGraphicFramePr>
        <xdr:cNvPr id="3" name="Chart 2">
          <a:extLst>
            <a:ext uri="{FF2B5EF4-FFF2-40B4-BE49-F238E27FC236}">
              <a16:creationId xmlns:a16="http://schemas.microsoft.com/office/drawing/2014/main" id="{CED35F26-5934-45D4-9DBF-A6CBE11AE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457200</xdr:colOff>
      <xdr:row>4</xdr:row>
      <xdr:rowOff>160020</xdr:rowOff>
    </xdr:from>
    <xdr:to>
      <xdr:col>26</xdr:col>
      <xdr:colOff>152400</xdr:colOff>
      <xdr:row>19</xdr:row>
      <xdr:rowOff>160020</xdr:rowOff>
    </xdr:to>
    <xdr:graphicFrame macro="">
      <xdr:nvGraphicFramePr>
        <xdr:cNvPr id="4" name="Chart 3">
          <a:extLst>
            <a:ext uri="{FF2B5EF4-FFF2-40B4-BE49-F238E27FC236}">
              <a16:creationId xmlns:a16="http://schemas.microsoft.com/office/drawing/2014/main" id="{A381136B-BBEE-40DA-8725-06BE128A1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434340</xdr:colOff>
      <xdr:row>21</xdr:row>
      <xdr:rowOff>60960</xdr:rowOff>
    </xdr:from>
    <xdr:to>
      <xdr:col>26</xdr:col>
      <xdr:colOff>129540</xdr:colOff>
      <xdr:row>36</xdr:row>
      <xdr:rowOff>60960</xdr:rowOff>
    </xdr:to>
    <xdr:graphicFrame macro="">
      <xdr:nvGraphicFramePr>
        <xdr:cNvPr id="5" name="Chart 4">
          <a:extLst>
            <a:ext uri="{FF2B5EF4-FFF2-40B4-BE49-F238E27FC236}">
              <a16:creationId xmlns:a16="http://schemas.microsoft.com/office/drawing/2014/main" id="{4DED5C0B-2A1B-452B-AF5A-BFC858CE7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0</xdr:colOff>
      <xdr:row>5</xdr:row>
      <xdr:rowOff>106680</xdr:rowOff>
    </xdr:from>
    <xdr:to>
      <xdr:col>34</xdr:col>
      <xdr:colOff>304800</xdr:colOff>
      <xdr:row>20</xdr:row>
      <xdr:rowOff>106680</xdr:rowOff>
    </xdr:to>
    <xdr:graphicFrame macro="">
      <xdr:nvGraphicFramePr>
        <xdr:cNvPr id="6" name="Chart 5">
          <a:extLst>
            <a:ext uri="{FF2B5EF4-FFF2-40B4-BE49-F238E27FC236}">
              <a16:creationId xmlns:a16="http://schemas.microsoft.com/office/drawing/2014/main" id="{ADEF9ADA-52FE-410D-B21E-9A1AAD2B3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205740</xdr:colOff>
      <xdr:row>25</xdr:row>
      <xdr:rowOff>106680</xdr:rowOff>
    </xdr:from>
    <xdr:to>
      <xdr:col>47</xdr:col>
      <xdr:colOff>510540</xdr:colOff>
      <xdr:row>40</xdr:row>
      <xdr:rowOff>106680</xdr:rowOff>
    </xdr:to>
    <xdr:graphicFrame macro="">
      <xdr:nvGraphicFramePr>
        <xdr:cNvPr id="8" name="Chart 7">
          <a:extLst>
            <a:ext uri="{FF2B5EF4-FFF2-40B4-BE49-F238E27FC236}">
              <a16:creationId xmlns:a16="http://schemas.microsoft.com/office/drawing/2014/main" id="{9FA30DE1-09AF-4A7B-BB61-9A6942A12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251460</xdr:colOff>
      <xdr:row>24</xdr:row>
      <xdr:rowOff>76200</xdr:rowOff>
    </xdr:from>
    <xdr:to>
      <xdr:col>8</xdr:col>
      <xdr:colOff>342900</xdr:colOff>
      <xdr:row>39</xdr:row>
      <xdr:rowOff>76200</xdr:rowOff>
    </xdr:to>
    <xdr:graphicFrame macro="">
      <xdr:nvGraphicFramePr>
        <xdr:cNvPr id="2" name="Chart 1">
          <a:extLst>
            <a:ext uri="{FF2B5EF4-FFF2-40B4-BE49-F238E27FC236}">
              <a16:creationId xmlns:a16="http://schemas.microsoft.com/office/drawing/2014/main" id="{CA590016-DC4B-47AF-81A7-DB3984AEE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205740</xdr:colOff>
      <xdr:row>24</xdr:row>
      <xdr:rowOff>76200</xdr:rowOff>
    </xdr:from>
    <xdr:to>
      <xdr:col>16</xdr:col>
      <xdr:colOff>510540</xdr:colOff>
      <xdr:row>39</xdr:row>
      <xdr:rowOff>76200</xdr:rowOff>
    </xdr:to>
    <xdr:graphicFrame macro="">
      <xdr:nvGraphicFramePr>
        <xdr:cNvPr id="3" name="Chart 2">
          <a:extLst>
            <a:ext uri="{FF2B5EF4-FFF2-40B4-BE49-F238E27FC236}">
              <a16:creationId xmlns:a16="http://schemas.microsoft.com/office/drawing/2014/main" id="{D40B4D4E-84AF-4417-B922-0E6C52335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14B995-875F-40B3-98B5-DE81924FA113}" name="Table1" displayName="Table1" ref="A13:M64" totalsRowCount="1">
  <autoFilter ref="A13:M63" xr:uid="{020FEC97-407B-4C6F-A915-65F162B82DA5}">
    <filterColumn colId="2">
      <filters>
        <filter val="Semis"/>
      </filters>
    </filterColumn>
  </autoFilter>
  <tableColumns count="13">
    <tableColumn id="1" xr3:uid="{43463609-49C6-4E41-B11C-145FB343ECA8}" name="Impact category"/>
    <tableColumn id="2" xr3:uid="{72A9292B-B701-4A02-9F68-DB83AE25ED16}" name="Region">
      <calculatedColumnFormula>IF(ISNUMBER(SEARCH("GLO",A14)),"GLO",IF(ISNUMBER(SEARCH("RER",A14)),"RER",IF(ISNUMBER(SEARCH("CH",A14)),"Switzerland","RoW")))</calculatedColumnFormula>
    </tableColumn>
    <tableColumn id="13" xr3:uid="{59A5CD0D-5FA7-4B16-9ACD-18AA6A28FDE6}" name="Module"/>
    <tableColumn id="3" xr3:uid="{C49900AD-5A81-40CE-9DCA-1A796B60B467}" name="Ozone depletion (kg CFC-kk)" dataDxfId="15" totalsRowDxfId="14"/>
    <tableColumn id="4" xr3:uid="{ADCA2DD5-98BF-4D2A-AB41-DE9EF6AAA1A1}" name="Global warming (kg CO2 eq)" totalsRowDxfId="13"/>
    <tableColumn id="5" xr3:uid="{70918577-94F9-454E-ACE2-411543458AB9}" name="Smog (kg O3 eq)" totalsRowDxfId="12"/>
    <tableColumn id="6" xr3:uid="{29FA909E-C3E1-4EA5-BFB8-398C8EB38885}" name="Acidification (kg SO2 eq)" totalsRowDxfId="11"/>
    <tableColumn id="7" xr3:uid="{0F9C537D-328E-4272-9071-7A5E83109E36}" name="Eutrophication (kg N eq)" totalsRowDxfId="10"/>
    <tableColumn id="8" xr3:uid="{00EC2AD9-3A21-40E3-BA7D-A53CF3A30D26}" name="Carcinogenics (CTUh)" dataDxfId="9" totalsRowDxfId="8"/>
    <tableColumn id="9" xr3:uid="{67FDB6F5-2420-47F0-BE6F-B9E2360CAE8B}" name="Non carcinogenics (CTUh)" dataDxfId="7" totalsRowDxfId="6"/>
    <tableColumn id="10" xr3:uid="{0AE69728-5CDE-45B1-9813-D78E7CEEE780}" name="Respiratory effects (kg PM2.5 eq)" totalsRowDxfId="5"/>
    <tableColumn id="11" xr3:uid="{A9E79969-0748-4009-BE98-CB3047EBF0BB}" name="Ecotoxicity (CTUe)" totalsRowDxfId="4"/>
    <tableColumn id="12" xr3:uid="{9D923578-8996-4829-B0E8-501FDA1AA975}" name="Fossil fuel depletion (MJ surplus)" totalsRowDxfId="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61046B-5521-458C-9639-EECD89700475}" name="Table2" displayName="Table2" ref="A1:M47" totalsRowShown="0">
  <autoFilter ref="A1:M47" xr:uid="{729C977C-075D-43A3-966C-7EAC0A3D0EB1}"/>
  <tableColumns count="13">
    <tableColumn id="1" xr3:uid="{37E6E4EC-0040-4383-AF05-6718197C20BF}" name="Impact category"/>
    <tableColumn id="2" xr3:uid="{1F0150CC-53DC-41BD-AEDA-4EF0FC6196AF}" name="Region" dataDxfId="2">
      <calculatedColumnFormula>IF(ISNUMBER(SEARCH("GLO",A2)),"GLO",IF(ISNUMBER(SEARCH("RER",A2)),"RER",IF(ISNUMBER(SEARCH("RoW",A2)),"RoW",IF(ISNUMBER(SEARCH("RLA",A2)),"RLA",IF(ISNUMBER(SEARCH("RNA",A2)),"RNA",IF(ISNUMBER(SEARCH("AU",A2)),"AU",IF(ISNUMBER(SEARCH("{RAS}",A2)),"RAS",IF(ISNUMBER(SEARCH("{SE}",A2)),"Sweden","Switzerland"))))))))</calculatedColumnFormula>
    </tableColumn>
    <tableColumn id="3" xr3:uid="{95E2116F-95DE-4ADC-A82F-79E4E2EA5E11}" name="Module"/>
    <tableColumn id="4" xr3:uid="{A1482596-96A2-43CE-9050-5E95347FC7A8}" name="Ozone depletion (kg CFC-kk)" dataDxfId="1"/>
    <tableColumn id="5" xr3:uid="{08CF0BEC-8405-434C-BBED-2CD4AF24D370}" name="Global warming (kg CO2 eq)"/>
    <tableColumn id="6" xr3:uid="{5DE7180A-E0C9-4F86-BA5B-5069CBF17E00}" name="Smog (kg O3 eq)"/>
    <tableColumn id="7" xr3:uid="{84CEF50E-B898-4CAF-A5C6-6C2937E8D6EA}" name="Acidification (kg SO2 eq)"/>
    <tableColumn id="8" xr3:uid="{F4631BE0-E302-45C4-A868-FB91CD4F99FB}" name="Eutrophication (kg N eq)"/>
    <tableColumn id="9" xr3:uid="{7E51C5EE-0821-464E-84F8-DE091AADE839}" name="Carcinogenics (CTUh)" dataDxfId="0"/>
    <tableColumn id="10" xr3:uid="{D659374B-0228-495E-B977-BC341AC7C0F2}" name="Non carcinogenics (CTUh)"/>
    <tableColumn id="11" xr3:uid="{5EA83681-B6C1-4507-B39E-54585F22D104}" name="Respiratory effects (kg PM2.5 eq)"/>
    <tableColumn id="12" xr3:uid="{2962B062-DEC6-4E26-8C4B-ECDFB519811D}" name="Ecotoxicity (CTUe)"/>
    <tableColumn id="13" xr3:uid="{91765764-D9CC-448F-ADAD-926318AFC770}" name="Fossil fuel depletion (MJ surplu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E1D53-E880-4B9B-8E8C-302CFA345EC9}">
  <dimension ref="A2:M64"/>
  <sheetViews>
    <sheetView topLeftCell="A13" workbookViewId="0">
      <selection activeCell="A22" sqref="A22"/>
    </sheetView>
  </sheetViews>
  <sheetFormatPr defaultRowHeight="14.4"/>
  <cols>
    <col min="1" max="1" width="27.5546875" customWidth="1"/>
    <col min="4" max="4" width="16.21875" customWidth="1"/>
    <col min="5" max="5" width="15.5546875" customWidth="1"/>
    <col min="7" max="7" width="13" customWidth="1"/>
    <col min="8" max="8" width="14.88671875" customWidth="1"/>
    <col min="9" max="9" width="14.109375" customWidth="1"/>
    <col min="10" max="10" width="17.77734375" customWidth="1"/>
    <col min="11" max="11" width="18.33203125" customWidth="1"/>
    <col min="12" max="12" width="11.88671875" customWidth="1"/>
    <col min="13" max="13" width="19" customWidth="1"/>
  </cols>
  <sheetData>
    <row r="2" spans="1:13">
      <c r="J2" t="s">
        <v>0</v>
      </c>
      <c r="K2" t="s">
        <v>1</v>
      </c>
    </row>
    <row r="3" spans="1:13">
      <c r="J3" t="s">
        <v>2</v>
      </c>
      <c r="K3" t="s">
        <v>3</v>
      </c>
    </row>
    <row r="4" spans="1:13">
      <c r="J4" t="s">
        <v>4</v>
      </c>
      <c r="K4" t="s">
        <v>5</v>
      </c>
    </row>
    <row r="5" spans="1:13">
      <c r="J5" t="s">
        <v>6</v>
      </c>
      <c r="K5" t="s">
        <v>7</v>
      </c>
    </row>
    <row r="6" spans="1:13">
      <c r="J6" t="s">
        <v>8</v>
      </c>
      <c r="K6" t="s">
        <v>9</v>
      </c>
    </row>
    <row r="7" spans="1:13">
      <c r="J7" t="s">
        <v>10</v>
      </c>
      <c r="K7" t="s">
        <v>11</v>
      </c>
    </row>
    <row r="8" spans="1:13">
      <c r="J8" t="s">
        <v>12</v>
      </c>
      <c r="K8" t="s">
        <v>13</v>
      </c>
    </row>
    <row r="9" spans="1:13">
      <c r="J9" t="s">
        <v>14</v>
      </c>
      <c r="K9" t="s">
        <v>13</v>
      </c>
    </row>
    <row r="10" spans="1:13">
      <c r="J10" t="s">
        <v>15</v>
      </c>
      <c r="K10" t="s">
        <v>16</v>
      </c>
    </row>
    <row r="11" spans="1:13">
      <c r="J11" t="s">
        <v>17</v>
      </c>
      <c r="K11" t="s">
        <v>18</v>
      </c>
    </row>
    <row r="13" spans="1:13">
      <c r="A13" t="s">
        <v>16</v>
      </c>
      <c r="B13" t="s">
        <v>87</v>
      </c>
      <c r="C13" t="s">
        <v>88</v>
      </c>
      <c r="D13" s="2" t="s">
        <v>239</v>
      </c>
      <c r="E13" s="2" t="s">
        <v>240</v>
      </c>
      <c r="F13" s="2" t="s">
        <v>241</v>
      </c>
      <c r="G13" s="2" t="s">
        <v>242</v>
      </c>
      <c r="H13" s="2" t="s">
        <v>243</v>
      </c>
      <c r="I13" s="2" t="s">
        <v>244</v>
      </c>
      <c r="J13" s="2" t="s">
        <v>245</v>
      </c>
      <c r="K13" s="2" t="s">
        <v>246</v>
      </c>
      <c r="L13" s="2" t="s">
        <v>247</v>
      </c>
      <c r="M13" s="2" t="s">
        <v>248</v>
      </c>
    </row>
    <row r="14" spans="1:13" hidden="1">
      <c r="A14" t="s">
        <v>19</v>
      </c>
      <c r="D14" t="s">
        <v>69</v>
      </c>
      <c r="E14" t="s">
        <v>71</v>
      </c>
      <c r="F14" t="s">
        <v>73</v>
      </c>
      <c r="G14" t="s">
        <v>75</v>
      </c>
      <c r="H14" t="s">
        <v>77</v>
      </c>
      <c r="I14" t="s">
        <v>79</v>
      </c>
      <c r="J14" t="s">
        <v>79</v>
      </c>
      <c r="K14" t="s">
        <v>82</v>
      </c>
      <c r="L14" t="s">
        <v>84</v>
      </c>
      <c r="M14" t="s">
        <v>86</v>
      </c>
    </row>
    <row r="15" spans="1:13" hidden="1">
      <c r="A15" t="s">
        <v>20</v>
      </c>
      <c r="D15">
        <v>44.037779999999998</v>
      </c>
      <c r="E15" s="1">
        <v>222792710</v>
      </c>
      <c r="F15">
        <v>18898180</v>
      </c>
      <c r="G15">
        <v>1598715.6</v>
      </c>
      <c r="H15">
        <v>1821473.3</v>
      </c>
      <c r="I15">
        <v>33.42051</v>
      </c>
      <c r="J15">
        <v>309.10300999999998</v>
      </c>
      <c r="K15">
        <v>364882.5</v>
      </c>
      <c r="L15" s="1">
        <v>6378419700</v>
      </c>
      <c r="M15" s="1">
        <v>464657560</v>
      </c>
    </row>
    <row r="16" spans="1:13">
      <c r="A16" t="s">
        <v>21</v>
      </c>
      <c r="B16" t="str">
        <f t="shared" ref="B16:B63" si="0">IF(ISNUMBER(SEARCH("GLO",A16)),"GLO",IF(ISNUMBER(SEARCH("RER",A16)),"RER",IF(ISNUMBER(SEARCH("RoW",A16)),"RoW","Switzerland")))</f>
        <v>GLO</v>
      </c>
      <c r="C16" t="s">
        <v>89</v>
      </c>
      <c r="D16" s="1">
        <v>2.6021881000000001E-7</v>
      </c>
      <c r="E16">
        <v>2.5873734000000002</v>
      </c>
      <c r="F16">
        <v>0.41673346999999999</v>
      </c>
      <c r="G16">
        <v>9.1112252000000005E-2</v>
      </c>
      <c r="H16">
        <v>0.25860681000000002</v>
      </c>
      <c r="I16" s="1">
        <v>2.1734336000000001E-6</v>
      </c>
      <c r="J16" s="1">
        <v>6.1827047000000005E-5</v>
      </c>
      <c r="K16">
        <v>1.6414735999999999E-2</v>
      </c>
      <c r="L16">
        <v>1367.5099</v>
      </c>
      <c r="M16">
        <v>2.9894645</v>
      </c>
    </row>
    <row r="17" spans="1:13">
      <c r="A17" t="s">
        <v>22</v>
      </c>
      <c r="B17" t="str">
        <f t="shared" si="0"/>
        <v>GLO</v>
      </c>
      <c r="C17" t="s">
        <v>89</v>
      </c>
      <c r="D17" s="1">
        <v>5.9702904999999999E-7</v>
      </c>
      <c r="E17">
        <v>8.0808096999999997</v>
      </c>
      <c r="F17">
        <v>1.4488287</v>
      </c>
      <c r="G17">
        <v>0.29499662999999998</v>
      </c>
      <c r="H17">
        <v>0.82328650000000003</v>
      </c>
      <c r="I17" s="1">
        <v>6.9485196000000004E-6</v>
      </c>
      <c r="J17">
        <v>2.1264116E-4</v>
      </c>
      <c r="K17">
        <v>5.2375708E-2</v>
      </c>
      <c r="L17">
        <v>4345.0018</v>
      </c>
      <c r="M17">
        <v>7.6394736999999999</v>
      </c>
    </row>
    <row r="18" spans="1:13">
      <c r="A18" t="s">
        <v>23</v>
      </c>
      <c r="B18" t="str">
        <f t="shared" si="0"/>
        <v>RER</v>
      </c>
      <c r="C18" t="s">
        <v>89</v>
      </c>
      <c r="D18" s="1">
        <v>5.5402846000000002E-7</v>
      </c>
      <c r="E18">
        <v>7.4800979999999999</v>
      </c>
      <c r="F18">
        <v>1.4161868</v>
      </c>
      <c r="G18">
        <v>0.29257209000000001</v>
      </c>
      <c r="H18">
        <v>0.81998121000000002</v>
      </c>
      <c r="I18" s="1">
        <v>6.9058851999999999E-6</v>
      </c>
      <c r="J18">
        <v>2.1241416E-4</v>
      </c>
      <c r="K18">
        <v>5.1099957000000001E-2</v>
      </c>
      <c r="L18">
        <v>4330.6589000000004</v>
      </c>
      <c r="M18">
        <v>7.054748</v>
      </c>
    </row>
    <row r="19" spans="1:13">
      <c r="A19" t="s">
        <v>24</v>
      </c>
      <c r="B19" t="str">
        <f t="shared" si="0"/>
        <v>GLO</v>
      </c>
      <c r="C19" t="s">
        <v>89</v>
      </c>
      <c r="D19" s="1">
        <v>6.7478649000000002E-9</v>
      </c>
      <c r="E19">
        <v>8.8761240000000005E-2</v>
      </c>
      <c r="F19">
        <v>3.7507479999999999E-3</v>
      </c>
      <c r="G19">
        <v>3.4778944000000002E-4</v>
      </c>
      <c r="H19">
        <v>5.1788490999999997E-4</v>
      </c>
      <c r="I19" s="1">
        <v>4.9014076000000004E-9</v>
      </c>
      <c r="J19" s="1">
        <v>4.7500436E-6</v>
      </c>
      <c r="K19">
        <v>1.8236291000000001E-4</v>
      </c>
      <c r="L19">
        <v>5.0614615000000001</v>
      </c>
      <c r="M19">
        <v>0.12534364000000001</v>
      </c>
    </row>
    <row r="20" spans="1:13">
      <c r="A20" t="s">
        <v>25</v>
      </c>
      <c r="B20" t="str">
        <f t="shared" si="0"/>
        <v>GLO</v>
      </c>
      <c r="C20" t="s">
        <v>89</v>
      </c>
      <c r="D20" s="1">
        <v>6.8595846999999998E-9</v>
      </c>
      <c r="E20">
        <v>9.0259195E-2</v>
      </c>
      <c r="F20">
        <v>3.8147472999999999E-3</v>
      </c>
      <c r="G20">
        <v>3.5376631E-4</v>
      </c>
      <c r="H20">
        <v>5.2686469999999996E-4</v>
      </c>
      <c r="I20" s="1">
        <v>4.9831617000000001E-9</v>
      </c>
      <c r="J20" s="1">
        <v>2.3635620999999999E-8</v>
      </c>
      <c r="K20">
        <v>1.8552735000000001E-4</v>
      </c>
      <c r="L20">
        <v>-2.965895E-2</v>
      </c>
      <c r="M20">
        <v>0.12743243000000001</v>
      </c>
    </row>
    <row r="21" spans="1:13">
      <c r="A21" t="s">
        <v>26</v>
      </c>
      <c r="B21" t="str">
        <f t="shared" si="0"/>
        <v>GLO</v>
      </c>
      <c r="C21" t="s">
        <v>89</v>
      </c>
      <c r="D21" s="1">
        <v>6.9187576999999998E-8</v>
      </c>
      <c r="E21">
        <v>0.58066057000000004</v>
      </c>
      <c r="F21">
        <v>8.3446513999999999E-2</v>
      </c>
      <c r="G21">
        <v>1.8218128E-2</v>
      </c>
      <c r="H21">
        <v>4.2851522000000003E-2</v>
      </c>
      <c r="I21" s="1">
        <v>5.0650318999999997E-7</v>
      </c>
      <c r="J21" s="1">
        <v>1.0339429000000001E-5</v>
      </c>
      <c r="K21">
        <v>2.8959476E-3</v>
      </c>
      <c r="L21">
        <v>226.25307000000001</v>
      </c>
      <c r="M21">
        <v>1.0066784</v>
      </c>
    </row>
    <row r="22" spans="1:13">
      <c r="A22" t="s">
        <v>27</v>
      </c>
      <c r="B22" t="str">
        <f t="shared" si="0"/>
        <v>GLO</v>
      </c>
      <c r="C22" t="s">
        <v>89</v>
      </c>
      <c r="D22" s="1">
        <v>6.5268876000000001E-8</v>
      </c>
      <c r="E22">
        <v>0.56096738999999995</v>
      </c>
      <c r="F22">
        <v>6.9123942999999993E-2</v>
      </c>
      <c r="G22">
        <v>1.4174282999999999E-2</v>
      </c>
      <c r="H22">
        <v>3.2440133000000003E-2</v>
      </c>
      <c r="I22" s="1">
        <v>4.1853586999999999E-7</v>
      </c>
      <c r="J22" s="1">
        <v>8.4349789000000007E-6</v>
      </c>
      <c r="K22">
        <v>2.1734670000000001E-3</v>
      </c>
      <c r="L22">
        <v>171.20148</v>
      </c>
      <c r="M22">
        <v>0.96838606000000005</v>
      </c>
    </row>
    <row r="23" spans="1:13">
      <c r="A23" t="s">
        <v>28</v>
      </c>
      <c r="B23" t="str">
        <f t="shared" si="0"/>
        <v>GLO</v>
      </c>
      <c r="C23" t="s">
        <v>89</v>
      </c>
      <c r="D23" s="1">
        <v>3.8769142E-8</v>
      </c>
      <c r="E23">
        <v>0.54225195999999998</v>
      </c>
      <c r="F23">
        <v>7.6917972000000001E-2</v>
      </c>
      <c r="G23">
        <v>1.6381599E-2</v>
      </c>
      <c r="H23">
        <v>4.6069484000000001E-2</v>
      </c>
      <c r="I23" s="1">
        <v>3.8553293000000003E-7</v>
      </c>
      <c r="J23" s="1">
        <v>1.0808168E-5</v>
      </c>
      <c r="K23">
        <v>3.0735949000000001E-3</v>
      </c>
      <c r="L23">
        <v>236.36184</v>
      </c>
      <c r="M23">
        <v>0.60447413999999999</v>
      </c>
    </row>
    <row r="24" spans="1:13">
      <c r="A24" t="s">
        <v>29</v>
      </c>
      <c r="B24" t="str">
        <f t="shared" si="0"/>
        <v>GLO</v>
      </c>
      <c r="C24" t="s">
        <v>89</v>
      </c>
      <c r="D24" s="1">
        <v>4.8174183999999998E-8</v>
      </c>
      <c r="E24">
        <v>0.65376473000000002</v>
      </c>
      <c r="F24">
        <v>8.2638011999999997E-2</v>
      </c>
      <c r="G24">
        <v>1.6823449000000001E-2</v>
      </c>
      <c r="H24">
        <v>4.6708718000000003E-2</v>
      </c>
      <c r="I24" s="1">
        <v>3.9279725E-7</v>
      </c>
      <c r="J24" s="1">
        <v>1.0847925999999999E-5</v>
      </c>
      <c r="K24">
        <v>3.3837020000000002E-3</v>
      </c>
      <c r="L24">
        <v>238.12745000000001</v>
      </c>
      <c r="M24">
        <v>0.73370590999999996</v>
      </c>
    </row>
    <row r="25" spans="1:13" hidden="1">
      <c r="A25" t="s">
        <v>30</v>
      </c>
      <c r="B25" t="str">
        <f t="shared" si="0"/>
        <v>GLO</v>
      </c>
      <c r="C25" t="s">
        <v>90</v>
      </c>
      <c r="D25">
        <v>2.2251891999999999E-2</v>
      </c>
      <c r="E25">
        <v>222152.75</v>
      </c>
      <c r="F25">
        <v>9156.3565999999992</v>
      </c>
      <c r="G25">
        <v>1136.3604</v>
      </c>
      <c r="H25">
        <v>2886.0641999999998</v>
      </c>
      <c r="I25">
        <v>8.2104799000000006E-2</v>
      </c>
      <c r="J25">
        <v>0.52133898000000001</v>
      </c>
      <c r="K25">
        <v>520.28058999999996</v>
      </c>
      <c r="L25">
        <v>12938764</v>
      </c>
      <c r="M25">
        <v>237730.7</v>
      </c>
    </row>
    <row r="26" spans="1:13" hidden="1">
      <c r="A26" t="s">
        <v>31</v>
      </c>
      <c r="B26" t="str">
        <f t="shared" si="0"/>
        <v>GLO</v>
      </c>
      <c r="C26" t="s">
        <v>90</v>
      </c>
      <c r="D26">
        <v>0.39283827999999998</v>
      </c>
      <c r="E26">
        <v>4999215.0999999996</v>
      </c>
      <c r="F26">
        <v>390626.03</v>
      </c>
      <c r="G26">
        <v>2866.1392999999998</v>
      </c>
      <c r="H26">
        <v>91092.028999999995</v>
      </c>
      <c r="I26">
        <v>1.4286274999999999</v>
      </c>
      <c r="J26">
        <v>19.108808</v>
      </c>
      <c r="K26">
        <v>7738.5829999999996</v>
      </c>
      <c r="L26" s="1">
        <v>428288450</v>
      </c>
      <c r="M26">
        <v>4868329.4000000004</v>
      </c>
    </row>
    <row r="27" spans="1:13" hidden="1">
      <c r="A27" t="s">
        <v>32</v>
      </c>
      <c r="B27" t="str">
        <f t="shared" si="0"/>
        <v>Switzerland</v>
      </c>
      <c r="C27" t="s">
        <v>90</v>
      </c>
      <c r="D27" s="1">
        <v>1.231685E-7</v>
      </c>
      <c r="E27">
        <v>1.6612184999999999</v>
      </c>
      <c r="F27">
        <v>6.4894674999999999E-2</v>
      </c>
      <c r="G27">
        <v>4.2071978000000003E-2</v>
      </c>
      <c r="H27">
        <v>1.0744114000000001E-2</v>
      </c>
      <c r="I27" s="1">
        <v>1.5050910999999999E-7</v>
      </c>
      <c r="J27" s="1">
        <v>5.2562583999999998E-6</v>
      </c>
      <c r="K27">
        <v>3.2889070999999998E-3</v>
      </c>
      <c r="L27">
        <v>26.019855</v>
      </c>
      <c r="M27">
        <v>1.8925052</v>
      </c>
    </row>
    <row r="28" spans="1:13" hidden="1">
      <c r="A28" t="s">
        <v>33</v>
      </c>
      <c r="B28" t="str">
        <f t="shared" si="0"/>
        <v>GLO</v>
      </c>
      <c r="C28" t="s">
        <v>90</v>
      </c>
      <c r="D28">
        <v>0.70702949999999998</v>
      </c>
      <c r="E28">
        <v>10362844</v>
      </c>
      <c r="F28">
        <v>844890.73</v>
      </c>
      <c r="G28">
        <v>118051.21</v>
      </c>
      <c r="H28">
        <v>273582.08000000002</v>
      </c>
      <c r="I28">
        <v>3.837145</v>
      </c>
      <c r="J28">
        <v>60.323953000000003</v>
      </c>
      <c r="K28">
        <v>25736.508000000002</v>
      </c>
      <c r="L28" s="1">
        <v>1350356600</v>
      </c>
      <c r="M28">
        <v>8994757</v>
      </c>
    </row>
    <row r="29" spans="1:13" hidden="1">
      <c r="A29" t="s">
        <v>34</v>
      </c>
      <c r="B29" t="str">
        <f t="shared" si="0"/>
        <v>GLO</v>
      </c>
      <c r="C29" t="s">
        <v>90</v>
      </c>
      <c r="D29">
        <v>2.5299641000000001E-2</v>
      </c>
      <c r="E29">
        <v>342091.38</v>
      </c>
      <c r="F29">
        <v>4381.1441000000004</v>
      </c>
      <c r="G29">
        <v>-335.04565000000002</v>
      </c>
      <c r="H29">
        <v>1689.4317000000001</v>
      </c>
      <c r="I29">
        <v>0.57104743999999996</v>
      </c>
      <c r="J29">
        <v>0.19536047000000001</v>
      </c>
      <c r="K29">
        <v>687.83262000000002</v>
      </c>
      <c r="L29">
        <v>12135576</v>
      </c>
      <c r="M29">
        <v>222025.99</v>
      </c>
    </row>
    <row r="30" spans="1:13" hidden="1">
      <c r="A30" t="s">
        <v>35</v>
      </c>
      <c r="B30" t="str">
        <f t="shared" si="0"/>
        <v>GLO</v>
      </c>
      <c r="C30" t="s">
        <v>91</v>
      </c>
      <c r="D30">
        <v>1.1853886</v>
      </c>
      <c r="E30">
        <v>2335973.1</v>
      </c>
      <c r="F30">
        <v>259764.12</v>
      </c>
      <c r="G30">
        <v>16511.466</v>
      </c>
      <c r="H30">
        <v>9813.7296000000006</v>
      </c>
      <c r="I30">
        <v>0.13354919000000001</v>
      </c>
      <c r="J30">
        <v>0.59665137000000001</v>
      </c>
      <c r="K30">
        <v>3940.9155000000001</v>
      </c>
      <c r="L30">
        <v>14060715</v>
      </c>
      <c r="M30">
        <v>13128798</v>
      </c>
    </row>
    <row r="31" spans="1:13" hidden="1">
      <c r="A31" t="s">
        <v>36</v>
      </c>
      <c r="B31" t="str">
        <f t="shared" si="0"/>
        <v>GLO</v>
      </c>
      <c r="C31" t="s">
        <v>90</v>
      </c>
      <c r="D31">
        <v>2.2251891999999999E-2</v>
      </c>
      <c r="E31">
        <v>222152.75</v>
      </c>
      <c r="F31">
        <v>9156.3565999999992</v>
      </c>
      <c r="G31">
        <v>1136.3604</v>
      </c>
      <c r="H31">
        <v>2886.0641999999998</v>
      </c>
      <c r="I31">
        <v>8.2104799000000006E-2</v>
      </c>
      <c r="J31">
        <v>0.52133898000000001</v>
      </c>
      <c r="K31">
        <v>520.28058999999996</v>
      </c>
      <c r="L31">
        <v>12938764</v>
      </c>
      <c r="M31">
        <v>237730.7</v>
      </c>
    </row>
    <row r="32" spans="1:13" hidden="1">
      <c r="A32" t="s">
        <v>37</v>
      </c>
      <c r="B32" t="str">
        <f t="shared" si="0"/>
        <v>GLO</v>
      </c>
      <c r="C32" t="s">
        <v>90</v>
      </c>
      <c r="D32">
        <v>5.7056651999999999E-2</v>
      </c>
      <c r="E32">
        <v>671098.19</v>
      </c>
      <c r="F32">
        <v>44962.525000000001</v>
      </c>
      <c r="G32">
        <v>4620.3388000000004</v>
      </c>
      <c r="H32">
        <v>3109.9164999999998</v>
      </c>
      <c r="I32">
        <v>7.1083810999999997E-2</v>
      </c>
      <c r="J32">
        <v>0.40036034999999998</v>
      </c>
      <c r="K32">
        <v>921.05541000000005</v>
      </c>
      <c r="L32">
        <v>5811712.0999999996</v>
      </c>
      <c r="M32">
        <v>700032.54</v>
      </c>
    </row>
    <row r="33" spans="1:13" hidden="1">
      <c r="A33" t="s">
        <v>38</v>
      </c>
      <c r="B33" t="str">
        <f t="shared" si="0"/>
        <v>GLO</v>
      </c>
      <c r="C33" t="s">
        <v>90</v>
      </c>
      <c r="D33">
        <v>0.39283827999999998</v>
      </c>
      <c r="E33">
        <v>4999215.0999999996</v>
      </c>
      <c r="F33">
        <v>390626.03</v>
      </c>
      <c r="G33">
        <v>2866.1392999999998</v>
      </c>
      <c r="H33">
        <v>91092.028999999995</v>
      </c>
      <c r="I33">
        <v>1.4286274999999999</v>
      </c>
      <c r="J33">
        <v>19.108808</v>
      </c>
      <c r="K33">
        <v>7738.5829999999996</v>
      </c>
      <c r="L33" s="1">
        <v>428288450</v>
      </c>
      <c r="M33">
        <v>4868329.4000000004</v>
      </c>
    </row>
    <row r="34" spans="1:13" hidden="1">
      <c r="A34" t="s">
        <v>39</v>
      </c>
      <c r="B34" t="str">
        <f t="shared" si="0"/>
        <v>Switzerland</v>
      </c>
      <c r="C34" t="s">
        <v>90</v>
      </c>
      <c r="D34">
        <v>2.5337116E-2</v>
      </c>
      <c r="E34">
        <v>346922.78</v>
      </c>
      <c r="F34">
        <v>4551.1661999999997</v>
      </c>
      <c r="G34">
        <v>-335.54178000000002</v>
      </c>
      <c r="H34">
        <v>1681.6479999999999</v>
      </c>
      <c r="I34">
        <v>0.57104149000000004</v>
      </c>
      <c r="J34">
        <v>0.19651650000000001</v>
      </c>
      <c r="K34">
        <v>681.79213000000004</v>
      </c>
      <c r="L34">
        <v>12106449</v>
      </c>
      <c r="M34">
        <v>222022.31</v>
      </c>
    </row>
    <row r="35" spans="1:13" hidden="1">
      <c r="A35" t="s">
        <v>40</v>
      </c>
      <c r="B35" t="str">
        <f t="shared" si="0"/>
        <v>RoW</v>
      </c>
      <c r="C35" t="s">
        <v>90</v>
      </c>
      <c r="D35">
        <v>2.5299641000000001E-2</v>
      </c>
      <c r="E35">
        <v>342091.38</v>
      </c>
      <c r="F35">
        <v>4381.1441000000004</v>
      </c>
      <c r="G35">
        <v>-335.04565000000002</v>
      </c>
      <c r="H35">
        <v>1689.4317000000001</v>
      </c>
      <c r="I35">
        <v>0.57104743999999996</v>
      </c>
      <c r="J35">
        <v>0.19536047000000001</v>
      </c>
      <c r="K35">
        <v>687.83262000000002</v>
      </c>
      <c r="L35">
        <v>12135576</v>
      </c>
      <c r="M35">
        <v>222025.99</v>
      </c>
    </row>
    <row r="36" spans="1:13" hidden="1">
      <c r="A36" t="s">
        <v>41</v>
      </c>
      <c r="B36" t="str">
        <f t="shared" si="0"/>
        <v>GLO</v>
      </c>
      <c r="C36" t="s">
        <v>90</v>
      </c>
      <c r="D36">
        <v>5.7056651999999999E-2</v>
      </c>
      <c r="E36">
        <v>671098.19</v>
      </c>
      <c r="F36">
        <v>44962.525000000001</v>
      </c>
      <c r="G36">
        <v>4620.3388000000004</v>
      </c>
      <c r="H36">
        <v>3109.9164999999998</v>
      </c>
      <c r="I36">
        <v>7.1083810999999997E-2</v>
      </c>
      <c r="J36">
        <v>0.40036034999999998</v>
      </c>
      <c r="K36">
        <v>921.05541000000005</v>
      </c>
      <c r="L36">
        <v>5811712.0999999996</v>
      </c>
      <c r="M36">
        <v>700032.54</v>
      </c>
    </row>
    <row r="37" spans="1:13" hidden="1">
      <c r="A37" t="s">
        <v>42</v>
      </c>
      <c r="B37" t="str">
        <f t="shared" si="0"/>
        <v>RER</v>
      </c>
      <c r="C37" t="s">
        <v>90</v>
      </c>
      <c r="D37">
        <v>0.68961147</v>
      </c>
      <c r="E37">
        <v>10170622</v>
      </c>
      <c r="F37">
        <v>823794.59</v>
      </c>
      <c r="G37">
        <v>116068.32</v>
      </c>
      <c r="H37">
        <v>267221.44</v>
      </c>
      <c r="I37">
        <v>3.8230941999999999</v>
      </c>
      <c r="J37">
        <v>60.338673</v>
      </c>
      <c r="K37">
        <v>24804.125</v>
      </c>
      <c r="L37" s="1">
        <v>1350822400</v>
      </c>
      <c r="M37">
        <v>8856804.6999999993</v>
      </c>
    </row>
    <row r="38" spans="1:13" hidden="1">
      <c r="A38" t="s">
        <v>43</v>
      </c>
      <c r="B38" t="str">
        <f t="shared" si="0"/>
        <v>RoW</v>
      </c>
      <c r="C38" t="s">
        <v>90</v>
      </c>
      <c r="D38">
        <v>0.71563153000000002</v>
      </c>
      <c r="E38">
        <v>10457775</v>
      </c>
      <c r="F38">
        <v>855309.23</v>
      </c>
      <c r="G38">
        <v>119030.47</v>
      </c>
      <c r="H38">
        <v>276723.34000000003</v>
      </c>
      <c r="I38">
        <v>3.8440840000000001</v>
      </c>
      <c r="J38">
        <v>60.316682999999998</v>
      </c>
      <c r="K38">
        <v>26196.972000000002</v>
      </c>
      <c r="L38" s="1">
        <v>1350126600</v>
      </c>
      <c r="M38">
        <v>9062885.8000000007</v>
      </c>
    </row>
    <row r="39" spans="1:13" hidden="1">
      <c r="A39" t="s">
        <v>44</v>
      </c>
      <c r="B39" t="str">
        <f t="shared" si="0"/>
        <v>Switzerland</v>
      </c>
      <c r="C39" t="s">
        <v>90</v>
      </c>
      <c r="D39">
        <v>1.1411754000000001</v>
      </c>
      <c r="E39">
        <v>1163930.3</v>
      </c>
      <c r="F39">
        <v>167205.32999999999</v>
      </c>
      <c r="G39">
        <v>8917.1605</v>
      </c>
      <c r="H39">
        <v>3698.5650999999998</v>
      </c>
      <c r="I39">
        <v>5.2016753999999998E-2</v>
      </c>
      <c r="J39">
        <v>0.27652436000000002</v>
      </c>
      <c r="K39">
        <v>1418.6070999999999</v>
      </c>
      <c r="L39">
        <v>5019935.4000000004</v>
      </c>
      <c r="M39">
        <v>10780412</v>
      </c>
    </row>
    <row r="40" spans="1:13" hidden="1">
      <c r="A40" t="s">
        <v>45</v>
      </c>
      <c r="B40" t="str">
        <f t="shared" si="0"/>
        <v>RoW</v>
      </c>
      <c r="C40" t="s">
        <v>90</v>
      </c>
      <c r="D40">
        <v>1.3130743</v>
      </c>
      <c r="E40">
        <v>1926344.6</v>
      </c>
      <c r="F40">
        <v>244555.9</v>
      </c>
      <c r="G40">
        <v>15796.545</v>
      </c>
      <c r="H40">
        <v>9869.1373000000003</v>
      </c>
      <c r="I40">
        <v>0.11519752</v>
      </c>
      <c r="J40">
        <v>0.58000987999999998</v>
      </c>
      <c r="K40">
        <v>3894.1264999999999</v>
      </c>
      <c r="L40">
        <v>12616526</v>
      </c>
      <c r="M40">
        <v>12360908</v>
      </c>
    </row>
    <row r="41" spans="1:13" hidden="1">
      <c r="A41" t="s">
        <v>46</v>
      </c>
      <c r="B41" t="str">
        <f t="shared" si="0"/>
        <v>Switzerland</v>
      </c>
      <c r="C41" t="s">
        <v>90</v>
      </c>
      <c r="D41">
        <v>1.5263180000000001</v>
      </c>
      <c r="E41">
        <v>1547921.9</v>
      </c>
      <c r="F41">
        <v>204931.17</v>
      </c>
      <c r="G41">
        <v>11477.701999999999</v>
      </c>
      <c r="H41">
        <v>4828.9088000000002</v>
      </c>
      <c r="I41">
        <v>6.9170545E-2</v>
      </c>
      <c r="J41">
        <v>0.36791720999999999</v>
      </c>
      <c r="K41">
        <v>1806.3708999999999</v>
      </c>
      <c r="L41">
        <v>6814477.4000000004</v>
      </c>
      <c r="M41">
        <v>14761296</v>
      </c>
    </row>
    <row r="42" spans="1:13" hidden="1">
      <c r="A42" t="s">
        <v>47</v>
      </c>
      <c r="B42" t="str">
        <f t="shared" si="0"/>
        <v>RoW</v>
      </c>
      <c r="C42" t="s">
        <v>90</v>
      </c>
      <c r="D42">
        <v>1.757673</v>
      </c>
      <c r="E42">
        <v>2574943.4</v>
      </c>
      <c r="F42">
        <v>308822.68</v>
      </c>
      <c r="G42">
        <v>20753.002</v>
      </c>
      <c r="H42">
        <v>13173.287</v>
      </c>
      <c r="I42">
        <v>0.15452841</v>
      </c>
      <c r="J42">
        <v>0.77687521999999998</v>
      </c>
      <c r="K42">
        <v>5133.5334999999995</v>
      </c>
      <c r="L42">
        <v>17025796</v>
      </c>
      <c r="M42">
        <v>16889142</v>
      </c>
    </row>
    <row r="43" spans="1:13" hidden="1">
      <c r="A43" t="s">
        <v>48</v>
      </c>
      <c r="B43" t="str">
        <f t="shared" si="0"/>
        <v>Switzerland</v>
      </c>
      <c r="C43" t="s">
        <v>91</v>
      </c>
      <c r="D43">
        <v>1.0221150999999999</v>
      </c>
      <c r="E43">
        <v>1574653.2</v>
      </c>
      <c r="F43">
        <v>180613.41</v>
      </c>
      <c r="G43">
        <v>9833.1929999999993</v>
      </c>
      <c r="H43">
        <v>3960.3609999999999</v>
      </c>
      <c r="I43">
        <v>7.3067344000000006E-2</v>
      </c>
      <c r="J43">
        <v>0.29962154000000002</v>
      </c>
      <c r="K43">
        <v>1580.8692000000001</v>
      </c>
      <c r="L43">
        <v>6693604.7000000002</v>
      </c>
      <c r="M43">
        <v>11623123</v>
      </c>
    </row>
    <row r="44" spans="1:13" hidden="1">
      <c r="A44" t="s">
        <v>49</v>
      </c>
      <c r="B44" t="str">
        <f t="shared" si="0"/>
        <v>RoW</v>
      </c>
      <c r="C44" t="s">
        <v>91</v>
      </c>
      <c r="D44">
        <v>1.1853886</v>
      </c>
      <c r="E44">
        <v>2335973.1</v>
      </c>
      <c r="F44">
        <v>259764.12</v>
      </c>
      <c r="G44">
        <v>16511.466</v>
      </c>
      <c r="H44">
        <v>9813.7296000000006</v>
      </c>
      <c r="I44">
        <v>0.13354919000000001</v>
      </c>
      <c r="J44">
        <v>0.59665137000000001</v>
      </c>
      <c r="K44">
        <v>3940.9155000000001</v>
      </c>
      <c r="L44">
        <v>14060715</v>
      </c>
      <c r="M44">
        <v>13128798</v>
      </c>
    </row>
    <row r="45" spans="1:13" hidden="1">
      <c r="A45" t="s">
        <v>49</v>
      </c>
      <c r="B45" t="str">
        <f t="shared" si="0"/>
        <v>RoW</v>
      </c>
      <c r="C45" t="s">
        <v>91</v>
      </c>
      <c r="D45">
        <v>1.1853886</v>
      </c>
      <c r="E45">
        <v>2335973.1</v>
      </c>
      <c r="F45">
        <v>259764.12</v>
      </c>
      <c r="G45">
        <v>16511.466</v>
      </c>
      <c r="H45">
        <v>9813.7296000000006</v>
      </c>
      <c r="I45">
        <v>0.13354919000000001</v>
      </c>
      <c r="J45">
        <v>0.59665137000000001</v>
      </c>
      <c r="K45">
        <v>3940.9155000000001</v>
      </c>
      <c r="L45">
        <v>14060715</v>
      </c>
      <c r="M45">
        <v>13128798</v>
      </c>
    </row>
    <row r="46" spans="1:13" hidden="1">
      <c r="A46" t="s">
        <v>50</v>
      </c>
      <c r="B46" t="str">
        <f t="shared" si="0"/>
        <v>Switzerland</v>
      </c>
      <c r="C46" t="s">
        <v>90</v>
      </c>
      <c r="D46">
        <v>4.1517375000000003</v>
      </c>
      <c r="E46">
        <v>5290504.5</v>
      </c>
      <c r="F46">
        <v>694224.49</v>
      </c>
      <c r="G46">
        <v>36462.821000000004</v>
      </c>
      <c r="H46">
        <v>14964.94</v>
      </c>
      <c r="I46">
        <v>0.25883347000000001</v>
      </c>
      <c r="J46">
        <v>1.1300452000000001</v>
      </c>
      <c r="K46">
        <v>5996.8521000000001</v>
      </c>
      <c r="L46">
        <v>22671431</v>
      </c>
      <c r="M46">
        <v>42204536</v>
      </c>
    </row>
    <row r="47" spans="1:13" hidden="1">
      <c r="A47" t="s">
        <v>51</v>
      </c>
      <c r="B47" t="str">
        <f t="shared" si="0"/>
        <v>RoW</v>
      </c>
      <c r="C47" t="s">
        <v>90</v>
      </c>
      <c r="D47">
        <v>4.8074355999999998</v>
      </c>
      <c r="E47">
        <v>8253678.5999999996</v>
      </c>
      <c r="F47">
        <v>1001958.6</v>
      </c>
      <c r="G47">
        <v>62853.476999999999</v>
      </c>
      <c r="H47">
        <v>37977.256999999998</v>
      </c>
      <c r="I47">
        <v>0.49734599000000002</v>
      </c>
      <c r="J47">
        <v>2.2956194000000001</v>
      </c>
      <c r="K47">
        <v>15292.938</v>
      </c>
      <c r="L47">
        <v>51816172</v>
      </c>
      <c r="M47">
        <v>48210867</v>
      </c>
    </row>
    <row r="48" spans="1:13" hidden="1">
      <c r="A48" t="s">
        <v>52</v>
      </c>
      <c r="B48" t="str">
        <f t="shared" si="0"/>
        <v>Switzerland</v>
      </c>
      <c r="C48" t="s">
        <v>90</v>
      </c>
      <c r="D48" s="1">
        <v>2.8614425999999999E-7</v>
      </c>
      <c r="E48">
        <v>1.2243181000000001</v>
      </c>
      <c r="F48">
        <v>0.20338703</v>
      </c>
      <c r="G48">
        <v>6.8309495E-3</v>
      </c>
      <c r="H48">
        <v>1.0762778000000001E-3</v>
      </c>
      <c r="I48" s="1">
        <v>9.6265266000000004E-9</v>
      </c>
      <c r="J48" s="1">
        <v>1.2492067999999999E-7</v>
      </c>
      <c r="K48">
        <v>9.2465845999999997E-4</v>
      </c>
      <c r="L48">
        <v>1.2135741</v>
      </c>
      <c r="M48">
        <v>2.5303719999999998</v>
      </c>
    </row>
    <row r="49" spans="1:13" hidden="1">
      <c r="A49" t="s">
        <v>53</v>
      </c>
      <c r="B49" t="str">
        <f t="shared" si="0"/>
        <v>RoW</v>
      </c>
      <c r="C49" t="s">
        <v>90</v>
      </c>
      <c r="D49" s="1">
        <v>3.1124456999999998E-7</v>
      </c>
      <c r="E49">
        <v>1.3595227999999999</v>
      </c>
      <c r="F49">
        <v>0.21207762999999999</v>
      </c>
      <c r="G49">
        <v>8.2541587E-3</v>
      </c>
      <c r="H49">
        <v>2.8507101999999999E-3</v>
      </c>
      <c r="I49" s="1">
        <v>2.6532736999999999E-8</v>
      </c>
      <c r="J49" s="1">
        <v>1.8732555E-7</v>
      </c>
      <c r="K49">
        <v>1.4055296E-3</v>
      </c>
      <c r="L49">
        <v>2.5301822</v>
      </c>
      <c r="M49">
        <v>2.7637152</v>
      </c>
    </row>
    <row r="50" spans="1:13" hidden="1">
      <c r="A50" t="s">
        <v>54</v>
      </c>
      <c r="B50" t="str">
        <f t="shared" si="0"/>
        <v>Switzerland</v>
      </c>
      <c r="C50" t="s">
        <v>92</v>
      </c>
      <c r="D50" s="1">
        <v>3.0276043000000003E-8</v>
      </c>
      <c r="E50">
        <v>0.18285596000000001</v>
      </c>
      <c r="F50">
        <v>5.1810759999999997E-3</v>
      </c>
      <c r="G50">
        <v>2.5147529000000001E-4</v>
      </c>
      <c r="H50">
        <v>1.5306312E-4</v>
      </c>
      <c r="I50" s="1">
        <v>4.1014869000000003E-9</v>
      </c>
      <c r="J50" s="1">
        <v>4.1569659000000001E-8</v>
      </c>
      <c r="K50" s="1">
        <v>4.0138331E-5</v>
      </c>
      <c r="L50">
        <v>3.4707769000000002</v>
      </c>
      <c r="M50">
        <v>0.47620208000000003</v>
      </c>
    </row>
    <row r="51" spans="1:13" hidden="1">
      <c r="A51" t="s">
        <v>55</v>
      </c>
      <c r="B51" t="str">
        <f t="shared" si="0"/>
        <v>GLO</v>
      </c>
      <c r="C51" t="s">
        <v>92</v>
      </c>
      <c r="D51" s="1">
        <v>3.1733620000000003E-8</v>
      </c>
      <c r="E51">
        <v>0.56821414000000003</v>
      </c>
      <c r="F51">
        <v>2.7904584999999999E-2</v>
      </c>
      <c r="G51">
        <v>2.1491967000000002E-3</v>
      </c>
      <c r="H51">
        <v>3.0197122E-3</v>
      </c>
      <c r="I51" s="1">
        <v>3.5426970999999998E-8</v>
      </c>
      <c r="J51" s="1">
        <v>1.6271060000000001E-7</v>
      </c>
      <c r="K51">
        <v>1.230952E-3</v>
      </c>
      <c r="L51">
        <v>6.4656821000000004</v>
      </c>
      <c r="M51">
        <v>0.50523956000000003</v>
      </c>
    </row>
    <row r="52" spans="1:13">
      <c r="A52" t="s">
        <v>56</v>
      </c>
      <c r="B52" t="str">
        <f t="shared" si="0"/>
        <v>RoW</v>
      </c>
      <c r="C52" t="s">
        <v>89</v>
      </c>
      <c r="D52" s="1">
        <v>4.5765458999999997E-8</v>
      </c>
      <c r="E52">
        <v>0.31699228000000002</v>
      </c>
      <c r="F52">
        <v>7.7849666999999997E-3</v>
      </c>
      <c r="G52">
        <v>4.4884401000000002E-4</v>
      </c>
      <c r="H52">
        <v>2.5134106E-3</v>
      </c>
      <c r="I52" s="1">
        <v>3.2071934000000003E-8</v>
      </c>
      <c r="J52" s="1">
        <v>2.9629273000000002E-7</v>
      </c>
      <c r="K52">
        <v>1.4248143000000001E-4</v>
      </c>
      <c r="L52">
        <v>14.672413000000001</v>
      </c>
      <c r="M52">
        <v>0.44226963000000002</v>
      </c>
    </row>
    <row r="53" spans="1:13">
      <c r="A53" t="s">
        <v>57</v>
      </c>
      <c r="B53" t="str">
        <f t="shared" si="0"/>
        <v>RoW</v>
      </c>
      <c r="C53" t="s">
        <v>89</v>
      </c>
      <c r="D53" s="1">
        <v>2.4477598E-8</v>
      </c>
      <c r="E53">
        <v>0.37031520000000001</v>
      </c>
      <c r="F53">
        <v>1.9356312000000001E-2</v>
      </c>
      <c r="G53">
        <v>1.8265623E-3</v>
      </c>
      <c r="H53">
        <v>5.4356465999999999E-3</v>
      </c>
      <c r="I53" s="1">
        <v>5.8548224000000001E-8</v>
      </c>
      <c r="J53" s="1">
        <v>4.4295535999999999E-7</v>
      </c>
      <c r="K53">
        <v>1.3467326E-3</v>
      </c>
      <c r="L53">
        <v>18.492464999999999</v>
      </c>
      <c r="M53">
        <v>3.0840321E-2</v>
      </c>
    </row>
    <row r="54" spans="1:13">
      <c r="A54" t="s">
        <v>58</v>
      </c>
      <c r="B54" t="str">
        <f t="shared" si="0"/>
        <v>RoW</v>
      </c>
      <c r="C54" t="s">
        <v>89</v>
      </c>
      <c r="D54" s="1">
        <v>2.4477598E-8</v>
      </c>
      <c r="E54">
        <v>0.37031520000000001</v>
      </c>
      <c r="F54">
        <v>1.9356312000000001E-2</v>
      </c>
      <c r="G54">
        <v>1.8265623E-3</v>
      </c>
      <c r="H54">
        <v>5.4356465999999999E-3</v>
      </c>
      <c r="I54" s="1">
        <v>5.8548224000000001E-8</v>
      </c>
      <c r="J54" s="1">
        <v>4.4295535999999999E-7</v>
      </c>
      <c r="K54">
        <v>1.3467326E-3</v>
      </c>
      <c r="L54">
        <v>18.492464999999999</v>
      </c>
      <c r="M54">
        <v>3.0840321E-2</v>
      </c>
    </row>
    <row r="55" spans="1:13">
      <c r="A55" t="s">
        <v>59</v>
      </c>
      <c r="B55" t="str">
        <f t="shared" si="0"/>
        <v>RoW</v>
      </c>
      <c r="C55" t="s">
        <v>89</v>
      </c>
      <c r="D55" s="1">
        <v>2.4741642999999999E-8</v>
      </c>
      <c r="E55">
        <v>0.34400217999999999</v>
      </c>
      <c r="F55">
        <v>1.7369228E-2</v>
      </c>
      <c r="G55">
        <v>1.6149555999999999E-3</v>
      </c>
      <c r="H55">
        <v>5.0471830999999998E-3</v>
      </c>
      <c r="I55" s="1">
        <v>5.5084986000000002E-8</v>
      </c>
      <c r="J55" s="1">
        <v>4.2374323000000003E-7</v>
      </c>
      <c r="K55">
        <v>1.1860881999999999E-3</v>
      </c>
      <c r="L55">
        <v>18.159348999999999</v>
      </c>
      <c r="M55">
        <v>3.4629129000000002E-2</v>
      </c>
    </row>
    <row r="56" spans="1:13">
      <c r="A56" t="s">
        <v>60</v>
      </c>
      <c r="B56" t="str">
        <f t="shared" si="0"/>
        <v>RoW</v>
      </c>
      <c r="C56" t="s">
        <v>89</v>
      </c>
      <c r="D56" s="1">
        <v>6.3185434000000006E-8</v>
      </c>
      <c r="E56">
        <v>1.2262162000000001</v>
      </c>
      <c r="F56">
        <v>6.4932869000000004E-2</v>
      </c>
      <c r="G56">
        <v>6.2970357999999997E-3</v>
      </c>
      <c r="H56">
        <v>5.2675941999999996E-3</v>
      </c>
      <c r="I56" s="1">
        <v>6.6164682999999999E-8</v>
      </c>
      <c r="J56" s="1">
        <v>3.6347582E-7</v>
      </c>
      <c r="K56">
        <v>1.8948291E-3</v>
      </c>
      <c r="L56">
        <v>18.860776999999999</v>
      </c>
      <c r="M56">
        <v>0.68154247000000001</v>
      </c>
    </row>
    <row r="57" spans="1:13">
      <c r="A57" t="s">
        <v>61</v>
      </c>
      <c r="B57" t="str">
        <f t="shared" si="0"/>
        <v>RoW</v>
      </c>
      <c r="C57" t="s">
        <v>89</v>
      </c>
      <c r="D57" s="1">
        <v>1.6548795000000001E-7</v>
      </c>
      <c r="E57">
        <v>1.1669292</v>
      </c>
      <c r="F57">
        <v>5.5126769999999999E-2</v>
      </c>
      <c r="G57">
        <v>5.7517274E-3</v>
      </c>
      <c r="H57">
        <v>4.5327108E-3</v>
      </c>
      <c r="I57" s="1">
        <v>5.5993413E-8</v>
      </c>
      <c r="J57" s="1">
        <v>2.9483874999999998E-7</v>
      </c>
      <c r="K57">
        <v>1.8994281999999999E-3</v>
      </c>
      <c r="L57">
        <v>17.769572</v>
      </c>
      <c r="M57">
        <v>1.5398506999999999</v>
      </c>
    </row>
    <row r="58" spans="1:13">
      <c r="A58" t="s">
        <v>62</v>
      </c>
      <c r="B58" t="str">
        <f t="shared" si="0"/>
        <v>RoW</v>
      </c>
      <c r="C58" t="s">
        <v>89</v>
      </c>
      <c r="D58" s="1">
        <v>1.6076328999999999E-7</v>
      </c>
      <c r="E58">
        <v>1.1518736999999999</v>
      </c>
      <c r="F58">
        <v>4.9912302999999998E-2</v>
      </c>
      <c r="G58">
        <v>4.0383538E-3</v>
      </c>
      <c r="H58">
        <v>4.6474460000000004E-3</v>
      </c>
      <c r="I58" s="1">
        <v>5.6898904999999998E-8</v>
      </c>
      <c r="J58" s="1">
        <v>3.4054901000000002E-7</v>
      </c>
      <c r="K58">
        <v>1.8135059000000001E-3</v>
      </c>
      <c r="L58">
        <v>17.764364</v>
      </c>
      <c r="M58">
        <v>1.4971296000000001</v>
      </c>
    </row>
    <row r="59" spans="1:13">
      <c r="A59" t="s">
        <v>63</v>
      </c>
      <c r="B59" t="str">
        <f t="shared" si="0"/>
        <v>RoW</v>
      </c>
      <c r="C59" t="s">
        <v>89</v>
      </c>
      <c r="D59" s="1">
        <v>9.4122081999999994E-8</v>
      </c>
      <c r="E59">
        <v>1.0337837999999999</v>
      </c>
      <c r="F59">
        <v>4.0535032999999998E-2</v>
      </c>
      <c r="G59">
        <v>3.0638319999999998E-3</v>
      </c>
      <c r="H59">
        <v>3.8918035999999999E-3</v>
      </c>
      <c r="I59" s="1">
        <v>5.1184884000000001E-8</v>
      </c>
      <c r="J59" s="1">
        <v>2.5796573E-7</v>
      </c>
      <c r="K59">
        <v>1.5179718E-3</v>
      </c>
      <c r="L59">
        <v>17.072469999999999</v>
      </c>
      <c r="M59">
        <v>1.3936052000000001</v>
      </c>
    </row>
    <row r="60" spans="1:13">
      <c r="A60" t="s">
        <v>64</v>
      </c>
      <c r="B60" t="str">
        <f t="shared" si="0"/>
        <v>RoW</v>
      </c>
      <c r="C60" t="s">
        <v>89</v>
      </c>
      <c r="D60" s="1">
        <v>4.7191585152838429E-10</v>
      </c>
      <c r="E60" s="1">
        <v>3.2621390829694324E-3</v>
      </c>
      <c r="F60" s="1">
        <v>2.5947956331877727E-4</v>
      </c>
      <c r="G60" s="1">
        <v>2.2128742358078603E-5</v>
      </c>
      <c r="H60" s="1">
        <v>1.4970330786026201E-5</v>
      </c>
      <c r="I60" s="1">
        <v>3.349798253275109E-10</v>
      </c>
      <c r="J60" s="1">
        <v>1.7426811572052402E-9</v>
      </c>
      <c r="K60" s="1">
        <v>4.8103526200873361E-6</v>
      </c>
      <c r="L60" s="1">
        <v>2.6809436681222706E-2</v>
      </c>
      <c r="M60" s="1">
        <v>5.0019205240174674E-3</v>
      </c>
    </row>
    <row r="61" spans="1:13">
      <c r="A61" t="s">
        <v>65</v>
      </c>
      <c r="B61" t="str">
        <f t="shared" si="0"/>
        <v>RoW</v>
      </c>
      <c r="C61" t="s">
        <v>89</v>
      </c>
      <c r="D61" s="1">
        <v>2.5893781999999999E-7</v>
      </c>
      <c r="E61">
        <v>2.7409401999999998</v>
      </c>
      <c r="F61">
        <v>0.42510772000000002</v>
      </c>
      <c r="G61">
        <v>9.1745683999999994E-2</v>
      </c>
      <c r="H61">
        <v>0.25929472999999997</v>
      </c>
      <c r="I61" s="1">
        <v>2.1816913999999999E-6</v>
      </c>
      <c r="J61" s="1">
        <v>6.1849124000000003E-5</v>
      </c>
      <c r="K61">
        <v>1.6777514E-2</v>
      </c>
      <c r="L61">
        <v>1367.3697</v>
      </c>
      <c r="M61">
        <v>3.0421987000000001</v>
      </c>
    </row>
    <row r="62" spans="1:13">
      <c r="A62" t="s">
        <v>66</v>
      </c>
      <c r="B62" t="str">
        <f t="shared" si="0"/>
        <v>RER</v>
      </c>
      <c r="C62" t="s">
        <v>89</v>
      </c>
      <c r="D62" s="1">
        <v>2.6281264E-7</v>
      </c>
      <c r="E62">
        <v>2.2764202</v>
      </c>
      <c r="F62">
        <v>0.39977667</v>
      </c>
      <c r="G62">
        <v>8.9829633000000006E-2</v>
      </c>
      <c r="H62">
        <v>0.25721386000000002</v>
      </c>
      <c r="I62" s="1">
        <v>2.1567125000000001E-6</v>
      </c>
      <c r="J62" s="1">
        <v>6.1782343999999993E-5</v>
      </c>
      <c r="K62">
        <v>1.5680156000000001E-2</v>
      </c>
      <c r="L62">
        <v>1367.7937999999999</v>
      </c>
      <c r="M62">
        <v>2.8826844</v>
      </c>
    </row>
    <row r="63" spans="1:13">
      <c r="A63" t="s">
        <v>67</v>
      </c>
      <c r="B63" t="str">
        <f t="shared" si="0"/>
        <v>RoW</v>
      </c>
      <c r="C63" t="s">
        <v>89</v>
      </c>
      <c r="D63">
        <v>1.5833032E-2</v>
      </c>
      <c r="E63">
        <v>239533.06</v>
      </c>
      <c r="F63">
        <v>5608.6467000000002</v>
      </c>
      <c r="G63">
        <v>199.79791</v>
      </c>
      <c r="H63">
        <v>1152.4718</v>
      </c>
      <c r="I63">
        <v>7.6511484000000005E-2</v>
      </c>
      <c r="J63">
        <v>0.14341565000000001</v>
      </c>
      <c r="K63">
        <v>467.22345000000001</v>
      </c>
      <c r="L63">
        <v>3932496.3</v>
      </c>
      <c r="M63">
        <v>160174.37</v>
      </c>
    </row>
    <row r="64" spans="1:13">
      <c r="D64" s="1"/>
      <c r="E64" s="1"/>
      <c r="F64" s="1"/>
      <c r="G64" s="1"/>
      <c r="H64" s="1"/>
      <c r="I64" s="1"/>
      <c r="J64" s="1"/>
      <c r="K64" s="1"/>
      <c r="L64" s="1"/>
      <c r="M64" s="1"/>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C38D8-B7DF-4D10-BA97-183AC0ADE78D}">
  <dimension ref="A1:U35"/>
  <sheetViews>
    <sheetView workbookViewId="0">
      <selection activeCell="A6" sqref="A6"/>
    </sheetView>
  </sheetViews>
  <sheetFormatPr defaultRowHeight="14.4"/>
  <sheetData>
    <row r="1" spans="1:21">
      <c r="A1" s="2" t="s">
        <v>16</v>
      </c>
      <c r="B1" s="2" t="s">
        <v>87</v>
      </c>
      <c r="C1" s="2" t="s">
        <v>88</v>
      </c>
      <c r="D1" s="2" t="s">
        <v>239</v>
      </c>
      <c r="E1" s="2" t="s">
        <v>240</v>
      </c>
      <c r="F1" s="2" t="s">
        <v>241</v>
      </c>
      <c r="G1" s="2" t="s">
        <v>242</v>
      </c>
      <c r="H1" s="2" t="s">
        <v>243</v>
      </c>
      <c r="I1" s="2" t="s">
        <v>244</v>
      </c>
      <c r="J1" s="2" t="s">
        <v>245</v>
      </c>
      <c r="K1" s="2" t="s">
        <v>246</v>
      </c>
      <c r="L1" s="2" t="s">
        <v>247</v>
      </c>
      <c r="M1" s="2" t="s">
        <v>248</v>
      </c>
      <c r="N1" t="s">
        <v>322</v>
      </c>
      <c r="O1" t="s">
        <v>323</v>
      </c>
      <c r="P1" t="s">
        <v>324</v>
      </c>
      <c r="Q1" t="s">
        <v>325</v>
      </c>
      <c r="R1" t="s">
        <v>326</v>
      </c>
      <c r="S1" t="s">
        <v>327</v>
      </c>
      <c r="T1" t="s">
        <v>328</v>
      </c>
      <c r="U1" t="s">
        <v>335</v>
      </c>
    </row>
    <row r="2" spans="1:21">
      <c r="A2" s="3" t="s">
        <v>223</v>
      </c>
      <c r="B2" s="3" t="str">
        <f t="shared" ref="B2:B8" si="0">IF(ISNUMBER(SEARCH("GLO",A2)),"GLO",IF(ISNUMBER(SEARCH("RER",A2)),"RER",IF(ISNUMBER(SEARCH("RoW",A2)),"RoW",IF(ISNUMBER(SEARCH("RLA",A2)),"RLA",IF(ISNUMBER(SEARCH("RNA",A2)),"RNA",IF(ISNUMBER(SEARCH("AU",A2)),"AU",IF(ISNUMBER(SEARCH("{RAS}",A2)),"RAS",IF(ISNUMBER(SEARCH("{SE}",A2)),"Sweden","Switzerland"))))))))</f>
        <v>RoW</v>
      </c>
      <c r="C2" s="3" t="s">
        <v>89</v>
      </c>
      <c r="D2" s="6">
        <v>2.3723340000000001E-7</v>
      </c>
      <c r="E2" s="3">
        <v>5.7959592999999998</v>
      </c>
      <c r="F2" s="3">
        <v>0.68842020000000004</v>
      </c>
      <c r="G2" s="3">
        <v>5.3611263999999999E-2</v>
      </c>
      <c r="H2" s="3">
        <v>6.9784882000000006E-2</v>
      </c>
      <c r="I2" s="6">
        <v>7.2147792999999998E-7</v>
      </c>
      <c r="J2" s="6">
        <v>5.2139409000000002E-5</v>
      </c>
      <c r="K2" s="3">
        <v>1.1148079E-2</v>
      </c>
      <c r="L2" s="3">
        <v>323.05282</v>
      </c>
      <c r="M2" s="3">
        <v>4.1039997000000001</v>
      </c>
      <c r="N2">
        <f>SUM(O2:T2)</f>
        <v>75.968530360000003</v>
      </c>
      <c r="O2">
        <v>66.056948000000006</v>
      </c>
      <c r="P2">
        <v>-0.67418988999999996</v>
      </c>
      <c r="Q2">
        <v>-4.6433330000000002E-2</v>
      </c>
      <c r="R2">
        <v>7.9387651000000004</v>
      </c>
      <c r="S2">
        <v>-0.83453001999999998</v>
      </c>
      <c r="T2">
        <v>3.5279704999999999</v>
      </c>
      <c r="U2">
        <v>1.8935045000000001E-2</v>
      </c>
    </row>
    <row r="3" spans="1:21">
      <c r="A3" s="4" t="s">
        <v>232</v>
      </c>
      <c r="B3" s="3" t="str">
        <f t="shared" si="0"/>
        <v>GLO</v>
      </c>
      <c r="C3" s="4" t="s">
        <v>89</v>
      </c>
      <c r="D3" s="5">
        <v>-1.1675874E-7</v>
      </c>
      <c r="E3" s="4">
        <v>5.0841571000000002E-2</v>
      </c>
      <c r="F3" s="4">
        <v>-0.26655701999999998</v>
      </c>
      <c r="G3" s="4">
        <v>1.9049633E-2</v>
      </c>
      <c r="H3" s="4">
        <v>4.9780835000000002E-2</v>
      </c>
      <c r="I3" s="5">
        <v>7.1875699999999998E-7</v>
      </c>
      <c r="J3" s="5">
        <v>2.5348533E-5</v>
      </c>
      <c r="K3" s="4">
        <v>3.0255491999999998E-3</v>
      </c>
      <c r="L3" s="4">
        <v>277.28082000000001</v>
      </c>
      <c r="M3" s="4">
        <v>-1.3542015999999999</v>
      </c>
      <c r="N3">
        <f t="shared" ref="N3:N8" si="1">SUM(O3:T3)</f>
        <v>-5.0648877592999995</v>
      </c>
      <c r="O3">
        <v>-5.6812370000000003</v>
      </c>
      <c r="P3">
        <v>-3.3993709000000001</v>
      </c>
      <c r="Q3">
        <v>-4.2895492999999998E-3</v>
      </c>
      <c r="R3">
        <v>6.2927786000000001</v>
      </c>
      <c r="S3">
        <v>-1.2794976</v>
      </c>
      <c r="T3">
        <v>-0.99327131000000002</v>
      </c>
      <c r="U3">
        <v>-5.3142331999999999E-3</v>
      </c>
    </row>
    <row r="4" spans="1:21">
      <c r="A4" s="3" t="s">
        <v>233</v>
      </c>
      <c r="B4" s="3" t="str">
        <f t="shared" si="0"/>
        <v>RoW</v>
      </c>
      <c r="C4" s="3" t="s">
        <v>89</v>
      </c>
      <c r="D4" s="6">
        <v>1.6390939999999999E-6</v>
      </c>
      <c r="E4" s="3">
        <v>19.279285000000002</v>
      </c>
      <c r="F4" s="3">
        <v>3.3981854999999999</v>
      </c>
      <c r="G4" s="3">
        <v>0.43846974</v>
      </c>
      <c r="H4" s="3">
        <v>9.5376854999999996E-2</v>
      </c>
      <c r="I4" s="6">
        <v>2.5508445999999998E-6</v>
      </c>
      <c r="J4" s="6">
        <v>6.8741872000000003E-6</v>
      </c>
      <c r="K4" s="3">
        <v>0.11235368</v>
      </c>
      <c r="L4" s="3">
        <v>200.19631000000001</v>
      </c>
      <c r="M4" s="3">
        <v>19.845780999999999</v>
      </c>
      <c r="N4">
        <f t="shared" si="1"/>
        <v>307.52344980599997</v>
      </c>
      <c r="O4">
        <v>239.52370999999999</v>
      </c>
      <c r="P4">
        <v>31.602022000000002</v>
      </c>
      <c r="Q4">
        <v>7.3722906000000005E-2</v>
      </c>
      <c r="R4">
        <v>17.397114999999999</v>
      </c>
      <c r="S4">
        <v>8.4789799000000006</v>
      </c>
      <c r="T4">
        <v>10.447900000000001</v>
      </c>
      <c r="U4">
        <v>0.13622408999999999</v>
      </c>
    </row>
    <row r="5" spans="1:21">
      <c r="A5" s="4" t="s">
        <v>234</v>
      </c>
      <c r="B5" s="3" t="str">
        <f t="shared" si="0"/>
        <v>GLO</v>
      </c>
      <c r="C5" s="4" t="s">
        <v>89</v>
      </c>
      <c r="D5" s="5">
        <v>1.2494649999999999E-6</v>
      </c>
      <c r="E5" s="4">
        <v>11.799443999999999</v>
      </c>
      <c r="F5" s="4">
        <v>2.0198100999999999</v>
      </c>
      <c r="G5" s="4">
        <v>1.4584900000000001</v>
      </c>
      <c r="H5" s="4">
        <v>-3.0883989000000001E-2</v>
      </c>
      <c r="I5" s="5">
        <v>-4.9465440999999998E-8</v>
      </c>
      <c r="J5" s="5">
        <v>-2.5495623E-5</v>
      </c>
      <c r="K5" s="4">
        <v>0.10846288</v>
      </c>
      <c r="L5" s="4">
        <v>-379.37504999999999</v>
      </c>
      <c r="M5" s="4">
        <v>13.24873</v>
      </c>
      <c r="N5">
        <f t="shared" si="1"/>
        <v>182.83030912000001</v>
      </c>
      <c r="O5">
        <v>144.24833000000001</v>
      </c>
      <c r="P5">
        <v>-8.3542328000000001</v>
      </c>
      <c r="Q5">
        <v>-0.19871897999999999</v>
      </c>
      <c r="R5">
        <v>33.115130999999998</v>
      </c>
      <c r="S5">
        <v>-5.7962641000000001</v>
      </c>
      <c r="T5">
        <v>19.816064000000001</v>
      </c>
      <c r="U5">
        <v>-0.11121631999999999</v>
      </c>
    </row>
    <row r="6" spans="1:21">
      <c r="A6" s="3" t="s">
        <v>235</v>
      </c>
      <c r="B6" s="3" t="str">
        <f t="shared" si="0"/>
        <v>RoW</v>
      </c>
      <c r="C6" s="3" t="s">
        <v>89</v>
      </c>
      <c r="D6" s="6">
        <v>7.5077354999999995E-7</v>
      </c>
      <c r="E6" s="3">
        <v>19.603431</v>
      </c>
      <c r="F6" s="3">
        <v>1.2210733</v>
      </c>
      <c r="G6" s="3">
        <v>0.10957376000000001</v>
      </c>
      <c r="H6" s="3">
        <v>6.0039539000000003E-2</v>
      </c>
      <c r="I6" s="6">
        <v>5.5254996000000001E-6</v>
      </c>
      <c r="J6" s="6">
        <v>5.6278162E-6</v>
      </c>
      <c r="K6" s="3">
        <v>2.2533345999999999E-2</v>
      </c>
      <c r="L6" s="3">
        <v>244.82373999999999</v>
      </c>
      <c r="M6" s="3">
        <v>10.05335</v>
      </c>
      <c r="N6">
        <f t="shared" si="1"/>
        <v>222.20358328199998</v>
      </c>
      <c r="O6">
        <v>204.02557999999999</v>
      </c>
      <c r="P6">
        <v>2.4082712000000002</v>
      </c>
      <c r="Q6">
        <v>3.5210782000000003E-2</v>
      </c>
      <c r="R6">
        <v>2.5197744000000002</v>
      </c>
      <c r="S6">
        <v>-2.6026961000000002</v>
      </c>
      <c r="T6">
        <v>15.817443000000001</v>
      </c>
      <c r="U6">
        <v>1.3813885E-2</v>
      </c>
    </row>
    <row r="7" spans="1:21">
      <c r="A7" s="4" t="s">
        <v>236</v>
      </c>
      <c r="B7" s="3" t="str">
        <f t="shared" si="0"/>
        <v>RoW</v>
      </c>
      <c r="C7" s="4" t="s">
        <v>89</v>
      </c>
      <c r="D7" s="5">
        <v>2.1645896000000001E-7</v>
      </c>
      <c r="E7" s="4">
        <v>2.7988978000000002</v>
      </c>
      <c r="F7" s="4">
        <v>0.37998180999999998</v>
      </c>
      <c r="G7" s="4">
        <v>1.8487587E-2</v>
      </c>
      <c r="H7" s="4">
        <v>1.974329E-2</v>
      </c>
      <c r="I7" s="5">
        <v>5.2589912000000002E-5</v>
      </c>
      <c r="J7" s="5">
        <v>1.2754267999999999E-6</v>
      </c>
      <c r="K7" s="4">
        <v>1.7140121000000001E-2</v>
      </c>
      <c r="L7" s="4">
        <v>747.23929999999996</v>
      </c>
      <c r="M7" s="4">
        <v>2.7881824000000002</v>
      </c>
      <c r="N7">
        <f t="shared" si="1"/>
        <v>55.294951095999998</v>
      </c>
      <c r="O7">
        <v>35.178955999999999</v>
      </c>
      <c r="P7">
        <v>6.2117788999999997</v>
      </c>
      <c r="Q7">
        <v>1.4914296E-2</v>
      </c>
      <c r="R7">
        <v>2.7380078000000001</v>
      </c>
      <c r="S7">
        <v>2.0936599999999999</v>
      </c>
      <c r="T7">
        <v>9.0576340999999996</v>
      </c>
      <c r="U7">
        <v>1.0423541999999999E-2</v>
      </c>
    </row>
    <row r="8" spans="1:21">
      <c r="A8" s="3" t="s">
        <v>237</v>
      </c>
      <c r="B8" s="3" t="str">
        <f t="shared" si="0"/>
        <v>GLO</v>
      </c>
      <c r="C8" s="3" t="s">
        <v>89</v>
      </c>
      <c r="D8" s="6">
        <v>1.3897742E-8</v>
      </c>
      <c r="E8" s="3">
        <v>0.10852069</v>
      </c>
      <c r="F8" s="3">
        <v>1.7893592E-2</v>
      </c>
      <c r="G8" s="3">
        <v>9.7934444999999998E-4</v>
      </c>
      <c r="H8" s="3">
        <v>4.3400178000000002E-4</v>
      </c>
      <c r="I8" s="6">
        <v>6.5204220000000003E-9</v>
      </c>
      <c r="J8" s="6">
        <v>3.0909299000000002E-8</v>
      </c>
      <c r="K8" s="3">
        <v>9.5237014999999996E-4</v>
      </c>
      <c r="L8" s="3">
        <v>0.80915638999999995</v>
      </c>
      <c r="M8" s="3">
        <v>0.13638939999999999</v>
      </c>
      <c r="N8">
        <f t="shared" si="1"/>
        <v>1.6916443026999999</v>
      </c>
      <c r="O8">
        <v>1.5492664</v>
      </c>
      <c r="P8">
        <v>8.6858834999999995E-2</v>
      </c>
      <c r="Q8">
        <v>5.0915089999999997E-4</v>
      </c>
      <c r="R8">
        <v>2.7633115E-2</v>
      </c>
      <c r="S8">
        <v>-2.3282801999999999E-3</v>
      </c>
      <c r="T8">
        <v>2.9705082000000001E-2</v>
      </c>
      <c r="U8">
        <v>6.3248616000000004E-4</v>
      </c>
    </row>
    <row r="12" spans="1:21">
      <c r="D12" s="1"/>
      <c r="I12" s="1"/>
      <c r="J12" s="1"/>
    </row>
    <row r="13" spans="1:21">
      <c r="D13" s="1"/>
      <c r="I13" s="1"/>
      <c r="J13" s="1"/>
    </row>
    <row r="14" spans="1:21">
      <c r="D14" s="1"/>
      <c r="I14" s="1"/>
      <c r="J14" s="1"/>
    </row>
    <row r="15" spans="1:21">
      <c r="D15" s="1"/>
      <c r="I15" s="1"/>
      <c r="J15" s="1"/>
    </row>
    <row r="16" spans="1:21">
      <c r="D16" s="1"/>
      <c r="I16" s="1"/>
      <c r="J16" s="1"/>
    </row>
    <row r="17" spans="4:10">
      <c r="D17" s="1"/>
      <c r="I17" s="1"/>
      <c r="J17" s="1"/>
    </row>
    <row r="18" spans="4:10">
      <c r="D18" s="1"/>
      <c r="I18" s="1"/>
      <c r="J18" s="1"/>
    </row>
    <row r="29" spans="4:10">
      <c r="D29" s="1"/>
      <c r="E29" s="1"/>
      <c r="F29" s="1"/>
      <c r="G29" s="1"/>
      <c r="H29" s="1"/>
      <c r="I29" s="1"/>
      <c r="J29" s="1"/>
    </row>
    <row r="34" spans="4:10">
      <c r="D34" s="1"/>
      <c r="E34" s="1"/>
      <c r="F34" s="1"/>
      <c r="G34" s="1"/>
      <c r="H34" s="1"/>
      <c r="I34" s="1"/>
      <c r="J34" s="1"/>
    </row>
    <row r="35" spans="4:10">
      <c r="D35" s="1"/>
      <c r="E35" s="1"/>
      <c r="F35" s="1"/>
      <c r="G35" s="1"/>
      <c r="H35" s="1"/>
      <c r="I35" s="1"/>
      <c r="J35" s="1"/>
    </row>
  </sheetData>
  <dataConsolid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4DACC-2131-4084-A472-4B7B80855A47}">
  <dimension ref="A1:AD33"/>
  <sheetViews>
    <sheetView workbookViewId="0">
      <selection activeCell="E22" sqref="E22"/>
    </sheetView>
  </sheetViews>
  <sheetFormatPr defaultRowHeight="14.4"/>
  <sheetData>
    <row r="1" spans="1:11">
      <c r="A1" t="s">
        <v>261</v>
      </c>
      <c r="B1" t="s">
        <v>256</v>
      </c>
      <c r="C1" t="s">
        <v>255</v>
      </c>
      <c r="D1" t="s">
        <v>257</v>
      </c>
      <c r="E1" t="s">
        <v>258</v>
      </c>
      <c r="F1" t="s">
        <v>259</v>
      </c>
      <c r="G1" t="s">
        <v>260</v>
      </c>
    </row>
    <row r="2" spans="1:11">
      <c r="A2" t="s">
        <v>252</v>
      </c>
      <c r="B2">
        <v>1.0380999999999998</v>
      </c>
      <c r="C2">
        <v>3.01E-4</v>
      </c>
      <c r="D2">
        <v>1.2799999999999999E-4</v>
      </c>
      <c r="E2">
        <v>8.6067999999999992E-2</v>
      </c>
      <c r="F2">
        <v>1.6789999999999999E-2</v>
      </c>
      <c r="G2">
        <v>3.1000000000000001E-5</v>
      </c>
    </row>
    <row r="3" spans="1:11">
      <c r="A3" t="s">
        <v>253</v>
      </c>
      <c r="B3">
        <v>3.1136300000000001</v>
      </c>
      <c r="C3">
        <v>4.5200000000000004E-4</v>
      </c>
      <c r="D3">
        <v>4.2000000000000004E-5</v>
      </c>
      <c r="E3">
        <v>0.106253</v>
      </c>
      <c r="F3">
        <v>0.15933600000000001</v>
      </c>
      <c r="G3">
        <v>4.0000000000000003E-5</v>
      </c>
    </row>
    <row r="4" spans="1:11">
      <c r="A4" t="s">
        <v>254</v>
      </c>
      <c r="B4">
        <v>3.1818899999999997</v>
      </c>
      <c r="C4">
        <v>6.2699999999999995E-4</v>
      </c>
      <c r="D4">
        <v>5.3999999999999998E-5</v>
      </c>
      <c r="E4">
        <v>0.123628</v>
      </c>
      <c r="F4">
        <v>4.3590000000000004E-2</v>
      </c>
      <c r="G4">
        <v>5.3999999999999998E-5</v>
      </c>
    </row>
    <row r="5" spans="1:11">
      <c r="A5" t="s">
        <v>20</v>
      </c>
      <c r="B5">
        <v>7.3336199999999998</v>
      </c>
      <c r="C5">
        <v>1.3799999999999999E-3</v>
      </c>
      <c r="D5">
        <v>2.24E-4</v>
      </c>
      <c r="E5">
        <v>0.31594900000000004</v>
      </c>
      <c r="F5">
        <v>0.21971599999999999</v>
      </c>
      <c r="G5">
        <v>1.25E-4</v>
      </c>
    </row>
    <row r="7" spans="1:11">
      <c r="F7" s="1"/>
    </row>
    <row r="8" spans="1:11">
      <c r="A8" t="s">
        <v>382</v>
      </c>
      <c r="B8" t="s">
        <v>379</v>
      </c>
      <c r="C8" t="s">
        <v>380</v>
      </c>
      <c r="G8" t="s">
        <v>376</v>
      </c>
      <c r="H8" s="1" t="s">
        <v>378</v>
      </c>
      <c r="I8" s="1"/>
      <c r="J8" s="1" t="s">
        <v>377</v>
      </c>
      <c r="K8" s="1"/>
    </row>
    <row r="9" spans="1:11">
      <c r="A9" t="s">
        <v>372</v>
      </c>
      <c r="B9">
        <v>5.0380165289256196</v>
      </c>
      <c r="C9">
        <v>5.65289256198347</v>
      </c>
      <c r="F9" t="s">
        <v>278</v>
      </c>
      <c r="G9">
        <f>B9-B10</f>
        <v>1.2595041322314096</v>
      </c>
      <c r="H9">
        <f>G9/$B$9</f>
        <v>0.25000000000000094</v>
      </c>
      <c r="I9" s="27">
        <f>(C9-C10)/2</f>
        <v>0.43636363636364006</v>
      </c>
      <c r="J9">
        <f>I9/G9</f>
        <v>0.34645669291338749</v>
      </c>
      <c r="K9" s="22">
        <v>0.34645669291338749</v>
      </c>
    </row>
    <row r="10" spans="1:11">
      <c r="A10" t="s">
        <v>373</v>
      </c>
      <c r="B10">
        <v>3.77851239669421</v>
      </c>
      <c r="C10">
        <v>4.7801652892561899</v>
      </c>
      <c r="F10" t="s">
        <v>277</v>
      </c>
      <c r="G10">
        <f>B10-B11</f>
        <v>1.2694214876033101</v>
      </c>
      <c r="H10">
        <f t="shared" ref="H10:H12" si="0">G10/$B$9</f>
        <v>0.25196850393700876</v>
      </c>
      <c r="I10" s="27">
        <f t="shared" ref="I10:I12" si="1">(C10-C11)/2</f>
        <v>0.64958677685949984</v>
      </c>
      <c r="J10">
        <f t="shared" ref="J10:J12" si="2">I10/G10</f>
        <v>0.51171874999999489</v>
      </c>
      <c r="K10" s="22">
        <v>0.51171874999999489</v>
      </c>
    </row>
    <row r="11" spans="1:11">
      <c r="A11" t="s">
        <v>374</v>
      </c>
      <c r="B11">
        <v>2.5090909090908999</v>
      </c>
      <c r="C11">
        <v>3.4809917355371902</v>
      </c>
      <c r="F11" t="s">
        <v>276</v>
      </c>
      <c r="G11">
        <f>B11-B12</f>
        <v>1.7553719008264379</v>
      </c>
      <c r="H11">
        <f t="shared" si="0"/>
        <v>0.34842519685039208</v>
      </c>
      <c r="I11" s="27">
        <f t="shared" si="1"/>
        <v>0.68429752066116012</v>
      </c>
      <c r="J11">
        <f t="shared" si="2"/>
        <v>0.3898305084745799</v>
      </c>
      <c r="K11" s="22">
        <v>0.3898305084745799</v>
      </c>
    </row>
    <row r="12" spans="1:11">
      <c r="A12" t="s">
        <v>375</v>
      </c>
      <c r="B12">
        <v>0.75371900826446203</v>
      </c>
      <c r="C12">
        <v>2.11239669421487</v>
      </c>
      <c r="F12" t="s">
        <v>275</v>
      </c>
      <c r="G12">
        <f>B12</f>
        <v>0.75371900826446203</v>
      </c>
      <c r="H12">
        <f t="shared" si="0"/>
        <v>0.14960629921259827</v>
      </c>
      <c r="I12" s="27">
        <f t="shared" si="1"/>
        <v>1.056198347107435</v>
      </c>
      <c r="J12">
        <f t="shared" si="2"/>
        <v>1.4013157894736816</v>
      </c>
      <c r="K12" s="22">
        <v>1.4013157894736816</v>
      </c>
    </row>
    <row r="17" spans="18:30">
      <c r="Y17" s="1"/>
      <c r="Z17" s="1"/>
      <c r="AB17" s="1"/>
      <c r="AC17" s="1"/>
      <c r="AD17" s="1"/>
    </row>
    <row r="18" spans="18:30">
      <c r="Y18" s="1"/>
      <c r="Z18" s="1"/>
      <c r="AB18" s="1"/>
      <c r="AC18" s="1"/>
      <c r="AD18" s="1"/>
    </row>
    <row r="19" spans="18:30">
      <c r="Y19" s="1"/>
      <c r="Z19" s="1"/>
      <c r="AA19" s="1"/>
      <c r="AB19" s="1"/>
      <c r="AC19" s="1"/>
      <c r="AD19" s="1"/>
    </row>
    <row r="20" spans="18:30">
      <c r="AB20" s="1"/>
      <c r="AD20" s="1"/>
    </row>
    <row r="21" spans="18:30">
      <c r="R21" s="1"/>
      <c r="S21" s="1"/>
      <c r="T21" s="1"/>
      <c r="U21" s="1"/>
      <c r="V21" s="1"/>
      <c r="Y21" s="1"/>
      <c r="Z21" s="1"/>
      <c r="AA21" s="1"/>
      <c r="AB21" s="1"/>
      <c r="AC21" s="1"/>
      <c r="AD21" s="1"/>
    </row>
    <row r="22" spans="18:30">
      <c r="Y22" s="1"/>
      <c r="Z22" s="1"/>
      <c r="AA22" s="1"/>
      <c r="AB22" s="1"/>
      <c r="AC22" s="1"/>
      <c r="AD22" s="1"/>
    </row>
    <row r="23" spans="18:30">
      <c r="AB23" s="1"/>
      <c r="AD23" s="1"/>
    </row>
    <row r="24" spans="18:30">
      <c r="AB24" s="1"/>
      <c r="AD24" s="1"/>
    </row>
    <row r="25" spans="18:30">
      <c r="Z25" s="1"/>
      <c r="AB25" s="1"/>
      <c r="AD25" s="1"/>
    </row>
    <row r="26" spans="18:30">
      <c r="Y26" s="1"/>
      <c r="Z26" s="1"/>
      <c r="AB26" s="1"/>
      <c r="AD26" s="1"/>
    </row>
    <row r="27" spans="18:30">
      <c r="Y27" s="1"/>
      <c r="Z27" s="1"/>
      <c r="AB27" s="1"/>
      <c r="AC27" s="1"/>
      <c r="AD27" s="1"/>
    </row>
    <row r="28" spans="18:30">
      <c r="Y28" s="1"/>
      <c r="Z28" s="1"/>
      <c r="AA28" s="1"/>
      <c r="AB28" s="1"/>
      <c r="AC28" s="1"/>
      <c r="AD28" s="1"/>
    </row>
    <row r="29" spans="18:30">
      <c r="AB29" s="1"/>
      <c r="AD29" s="1"/>
    </row>
    <row r="30" spans="18:30">
      <c r="AB30" s="1"/>
      <c r="AD30" s="1"/>
    </row>
    <row r="31" spans="18:30">
      <c r="Y31" s="1"/>
      <c r="Z31" s="1"/>
      <c r="AB31" s="1"/>
      <c r="AD31" s="1"/>
    </row>
    <row r="33" spans="4:5">
      <c r="D33" s="1"/>
      <c r="E33"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52058-F6F0-4D09-ACC7-56E01D19C15F}">
  <dimension ref="A1:W54"/>
  <sheetViews>
    <sheetView topLeftCell="A7" workbookViewId="0">
      <selection activeCell="S16" sqref="S16"/>
    </sheetView>
  </sheetViews>
  <sheetFormatPr defaultRowHeight="14.4"/>
  <cols>
    <col min="8" max="8" width="9.5546875" bestFit="1" customWidth="1"/>
  </cols>
  <sheetData>
    <row r="1" spans="1:23" ht="117" customHeight="1">
      <c r="A1" s="33" t="s">
        <v>381</v>
      </c>
      <c r="B1" s="33"/>
      <c r="C1" s="33"/>
      <c r="D1" s="33"/>
      <c r="E1" s="33"/>
      <c r="F1" s="33"/>
      <c r="G1" s="33"/>
      <c r="H1" s="33"/>
      <c r="I1" s="33"/>
      <c r="J1" s="33"/>
      <c r="K1" s="33"/>
      <c r="L1" s="33"/>
      <c r="M1" s="33"/>
      <c r="N1" s="33"/>
      <c r="O1" s="33"/>
      <c r="P1" s="33"/>
      <c r="Q1" s="33"/>
      <c r="R1" s="33"/>
      <c r="S1" s="33"/>
      <c r="T1" s="33"/>
      <c r="U1" s="33"/>
      <c r="V1" s="33"/>
      <c r="W1" s="33"/>
    </row>
    <row r="2" spans="1:23">
      <c r="A2" t="s">
        <v>16</v>
      </c>
      <c r="B2" s="2" t="s">
        <v>239</v>
      </c>
      <c r="C2" s="2" t="s">
        <v>240</v>
      </c>
      <c r="D2" s="2" t="s">
        <v>241</v>
      </c>
      <c r="E2" s="2" t="s">
        <v>242</v>
      </c>
      <c r="F2" s="2" t="s">
        <v>243</v>
      </c>
      <c r="G2" s="2" t="s">
        <v>244</v>
      </c>
      <c r="H2" s="2" t="s">
        <v>245</v>
      </c>
      <c r="I2" s="2" t="s">
        <v>246</v>
      </c>
      <c r="J2" s="2" t="s">
        <v>247</v>
      </c>
      <c r="K2" s="2" t="s">
        <v>248</v>
      </c>
      <c r="L2" t="s">
        <v>322</v>
      </c>
      <c r="M2" t="s">
        <v>323</v>
      </c>
      <c r="N2" t="s">
        <v>324</v>
      </c>
      <c r="O2" t="s">
        <v>325</v>
      </c>
      <c r="P2" t="s">
        <v>326</v>
      </c>
      <c r="Q2" t="s">
        <v>327</v>
      </c>
      <c r="R2" t="s">
        <v>328</v>
      </c>
      <c r="S2" t="s">
        <v>335</v>
      </c>
    </row>
    <row r="3" spans="1:23">
      <c r="A3" t="s">
        <v>262</v>
      </c>
      <c r="B3" s="1">
        <v>1.5400407000000002E-7</v>
      </c>
      <c r="C3">
        <v>0.19291084000000003</v>
      </c>
      <c r="D3">
        <v>1.0966960999999999E-2</v>
      </c>
      <c r="E3">
        <v>1.1119959E-3</v>
      </c>
      <c r="F3">
        <v>5.2152327999999994E-4</v>
      </c>
      <c r="G3" s="1">
        <v>2.0657325000000002E-8</v>
      </c>
      <c r="H3" s="1">
        <v>8.995847399999999E-8</v>
      </c>
      <c r="I3">
        <v>1.3956352999999999E-4</v>
      </c>
      <c r="J3">
        <v>3.2361691000000001</v>
      </c>
      <c r="K3">
        <v>0.46184643000000003</v>
      </c>
      <c r="L3">
        <f>SUM(M3:R3)</f>
        <v>5.3115977401000007</v>
      </c>
      <c r="M3">
        <v>3.5197984000000004</v>
      </c>
      <c r="N3">
        <v>1.4400820999999999</v>
      </c>
      <c r="O3">
        <v>3.9403551E-3</v>
      </c>
      <c r="P3">
        <v>0.26861289999999999</v>
      </c>
      <c r="Q3">
        <v>7.6466239999999994E-3</v>
      </c>
      <c r="R3">
        <v>7.1517361000000002E-2</v>
      </c>
      <c r="S3">
        <v>1.6370264000000001E-3</v>
      </c>
    </row>
    <row r="4" spans="1:23">
      <c r="A4" t="s">
        <v>263</v>
      </c>
      <c r="B4" s="1">
        <v>2.2419446E-7</v>
      </c>
      <c r="C4">
        <v>0.33467718000000002</v>
      </c>
      <c r="D4">
        <v>2.2134332E-2</v>
      </c>
      <c r="E4">
        <v>2.1824382000000002E-3</v>
      </c>
      <c r="F4">
        <v>9.5789403999999999E-4</v>
      </c>
      <c r="G4" s="1">
        <v>3.7365196999999997E-8</v>
      </c>
      <c r="H4" s="1">
        <v>1.5394123E-7</v>
      </c>
      <c r="I4">
        <v>2.7397422E-4</v>
      </c>
      <c r="J4">
        <v>6.3453891000000002</v>
      </c>
      <c r="K4">
        <v>0.75244222999999999</v>
      </c>
      <c r="L4">
        <v>0</v>
      </c>
      <c r="M4">
        <v>0</v>
      </c>
      <c r="N4">
        <v>0</v>
      </c>
      <c r="O4">
        <v>0</v>
      </c>
      <c r="P4">
        <v>0</v>
      </c>
      <c r="Q4">
        <v>0</v>
      </c>
      <c r="R4">
        <v>0</v>
      </c>
      <c r="S4">
        <v>0</v>
      </c>
    </row>
    <row r="5" spans="1:23">
      <c r="A5" t="s">
        <v>273</v>
      </c>
      <c r="B5" s="1">
        <v>1.0072731E-7</v>
      </c>
      <c r="C5">
        <v>1.6259585000000001</v>
      </c>
      <c r="D5">
        <v>0.17915175</v>
      </c>
      <c r="E5">
        <v>1.7984699999999999E-2</v>
      </c>
      <c r="F5">
        <v>7.5605291000000005E-2</v>
      </c>
      <c r="G5" s="1">
        <v>6.6221560999999997E-7</v>
      </c>
      <c r="H5" s="1">
        <v>2.1544172999999999E-5</v>
      </c>
      <c r="I5">
        <v>4.7170726000000003E-3</v>
      </c>
      <c r="J5">
        <v>397.14118000000002</v>
      </c>
      <c r="K5">
        <v>1.0656987</v>
      </c>
      <c r="L5">
        <v>0</v>
      </c>
      <c r="M5">
        <v>0</v>
      </c>
      <c r="N5">
        <v>0</v>
      </c>
      <c r="O5">
        <v>0</v>
      </c>
      <c r="P5">
        <v>0</v>
      </c>
      <c r="Q5">
        <v>0</v>
      </c>
      <c r="R5">
        <v>0</v>
      </c>
      <c r="S5">
        <v>0</v>
      </c>
    </row>
    <row r="6" spans="1:23">
      <c r="A6" t="s">
        <v>274</v>
      </c>
      <c r="B6" s="1">
        <f t="shared" ref="B6:K6" si="0">$C$5/$C$4*B4</f>
        <v>1.089201504237337E-6</v>
      </c>
      <c r="C6" s="22">
        <f t="shared" si="0"/>
        <v>1.6259585000000001</v>
      </c>
      <c r="D6" s="22">
        <f t="shared" si="0"/>
        <v>0.10753498418153876</v>
      </c>
      <c r="E6" s="22">
        <f t="shared" si="0"/>
        <v>1.0602915747093064E-2</v>
      </c>
      <c r="F6" s="22">
        <f t="shared" si="0"/>
        <v>4.6537261860439359E-3</v>
      </c>
      <c r="G6" s="1">
        <f t="shared" si="0"/>
        <v>1.8153092979427068E-7</v>
      </c>
      <c r="H6" s="1">
        <f t="shared" si="0"/>
        <v>7.4789100176759887E-7</v>
      </c>
      <c r="I6" s="22">
        <f t="shared" si="0"/>
        <v>1.3310459702985126E-3</v>
      </c>
      <c r="J6" s="22">
        <f t="shared" si="0"/>
        <v>30.827734782970115</v>
      </c>
      <c r="K6" s="22">
        <f t="shared" si="0"/>
        <v>3.6555818942524105</v>
      </c>
      <c r="L6">
        <v>0</v>
      </c>
      <c r="M6">
        <v>0</v>
      </c>
      <c r="N6">
        <v>0</v>
      </c>
      <c r="O6">
        <v>0</v>
      </c>
      <c r="P6">
        <v>0</v>
      </c>
      <c r="Q6">
        <v>0</v>
      </c>
      <c r="R6">
        <v>0</v>
      </c>
      <c r="S6">
        <v>0</v>
      </c>
    </row>
    <row r="7" spans="1:23">
      <c r="A7" t="s">
        <v>275</v>
      </c>
      <c r="B7" s="1">
        <f>B3*$C7/$C$3</f>
        <v>1.1186947033884158E-6</v>
      </c>
      <c r="C7" s="22">
        <v>1.4013157894736816</v>
      </c>
      <c r="D7" s="22">
        <f>D3*$C7/$C$3</f>
        <v>7.9664655505320869E-2</v>
      </c>
      <c r="E7" s="22">
        <f t="shared" ref="E7:J7" si="1">E3*$C7/$C$3</f>
        <v>8.0776042056527105E-3</v>
      </c>
      <c r="F7" s="22">
        <f t="shared" si="1"/>
        <v>3.7883760541507347E-3</v>
      </c>
      <c r="G7" s="22">
        <f t="shared" si="1"/>
        <v>1.5005603464683176E-7</v>
      </c>
      <c r="H7" s="22">
        <f t="shared" si="1"/>
        <v>6.5346369345111776E-7</v>
      </c>
      <c r="I7" s="22">
        <f t="shared" si="1"/>
        <v>1.0137977638979946E-3</v>
      </c>
      <c r="J7" s="22">
        <f t="shared" si="1"/>
        <v>23.507724383123485</v>
      </c>
      <c r="K7" s="22">
        <f>K3*$C7/$C$3</f>
        <v>3.3548798744075312</v>
      </c>
      <c r="L7" s="22">
        <f t="shared" ref="L7:S7" si="2">L3*$C7/$C$3</f>
        <v>38.58376118488134</v>
      </c>
      <c r="M7" s="22">
        <f t="shared" si="2"/>
        <v>25.568024449451372</v>
      </c>
      <c r="N7" s="22">
        <f t="shared" si="2"/>
        <v>10.460841831741632</v>
      </c>
      <c r="O7" s="22">
        <f t="shared" si="2"/>
        <v>2.8622973274924038E-2</v>
      </c>
      <c r="P7" s="22">
        <f t="shared" si="2"/>
        <v>1.9512200456247819</v>
      </c>
      <c r="Q7" s="22">
        <f t="shared" si="2"/>
        <v>5.554553050190647E-2</v>
      </c>
      <c r="R7" s="22">
        <f t="shared" si="2"/>
        <v>0.51950635428672276</v>
      </c>
      <c r="S7" s="22">
        <f t="shared" si="2"/>
        <v>1.1891456914008868E-2</v>
      </c>
    </row>
    <row r="8" spans="1:23">
      <c r="A8" t="s">
        <v>276</v>
      </c>
      <c r="B8" s="1">
        <f>B$3*$C8/$C$3</f>
        <v>3.1120845731248073E-7</v>
      </c>
      <c r="C8" s="22">
        <v>0.3898305084745799</v>
      </c>
      <c r="D8" s="1">
        <f>D$3*$C8/$C$3</f>
        <v>2.2161823477886915E-2</v>
      </c>
      <c r="E8" s="1">
        <f t="shared" ref="E8:S10" si="3">E$3*$C8/$C$3</f>
        <v>2.2470998888328314E-3</v>
      </c>
      <c r="F8" s="1">
        <f t="shared" si="3"/>
        <v>1.0538841955368119E-3</v>
      </c>
      <c r="G8" s="1">
        <f t="shared" si="3"/>
        <v>4.1743924335587627E-8</v>
      </c>
      <c r="H8" s="1">
        <f t="shared" si="3"/>
        <v>1.8178635094335426E-7</v>
      </c>
      <c r="I8" s="1">
        <f t="shared" si="3"/>
        <v>2.8202729232015822E-4</v>
      </c>
      <c r="J8" s="1">
        <f t="shared" si="3"/>
        <v>6.5395881629188048</v>
      </c>
      <c r="K8" s="1">
        <f t="shared" si="3"/>
        <v>0.93329036690768363</v>
      </c>
      <c r="L8" s="1">
        <f t="shared" si="3"/>
        <v>10.733574369566854</v>
      </c>
      <c r="M8" s="1">
        <f t="shared" si="3"/>
        <v>7.1127407874021635</v>
      </c>
      <c r="N8" s="1">
        <f t="shared" si="3"/>
        <v>2.9100901602426315</v>
      </c>
      <c r="O8" s="1">
        <f t="shared" si="3"/>
        <v>7.9625936634945133E-3</v>
      </c>
      <c r="P8" s="1">
        <f t="shared" si="3"/>
        <v>0.54280777269868019</v>
      </c>
      <c r="Q8" s="1">
        <f t="shared" si="3"/>
        <v>1.5452150444391436E-2</v>
      </c>
      <c r="R8" s="1">
        <f t="shared" si="3"/>
        <v>0.14452090511549318</v>
      </c>
      <c r="S8" s="1">
        <f t="shared" si="3"/>
        <v>3.3080714069686854E-3</v>
      </c>
    </row>
    <row r="9" spans="1:23">
      <c r="A9" t="s">
        <v>277</v>
      </c>
      <c r="B9" s="1">
        <f>B$3*$C9/$C$3</f>
        <v>4.0851395491985686E-7</v>
      </c>
      <c r="C9" s="22">
        <v>0.51171874999999489</v>
      </c>
      <c r="D9" s="1">
        <f t="shared" ref="D9:D10" si="4">D$3*$C9/$C$3</f>
        <v>2.9091157211376471E-2</v>
      </c>
      <c r="E9" s="1">
        <f t="shared" si="3"/>
        <v>2.9497002446991537E-3</v>
      </c>
      <c r="F9" s="1">
        <f t="shared" si="3"/>
        <v>1.3834019951263355E-3</v>
      </c>
      <c r="G9" s="1">
        <f t="shared" si="3"/>
        <v>5.4795990351520129E-8</v>
      </c>
      <c r="H9" s="1">
        <f>H$3*$C9/$C$3</f>
        <v>2.3862545965372929E-7</v>
      </c>
      <c r="I9" s="1">
        <f t="shared" si="3"/>
        <v>3.7020871982718431E-4</v>
      </c>
      <c r="J9" s="1">
        <f t="shared" si="3"/>
        <v>8.5843201275812611</v>
      </c>
      <c r="K9" s="1">
        <f t="shared" si="3"/>
        <v>1.2251021137617777</v>
      </c>
      <c r="L9" s="1">
        <f t="shared" si="3"/>
        <v>14.089639317659753</v>
      </c>
      <c r="M9" s="1">
        <f t="shared" si="3"/>
        <v>9.3366802897130192</v>
      </c>
      <c r="N9" s="1">
        <f t="shared" si="3"/>
        <v>3.8199875761744</v>
      </c>
      <c r="O9" s="1">
        <f t="shared" si="3"/>
        <v>1.0452256526010175E-2</v>
      </c>
      <c r="P9" s="1">
        <f t="shared" si="3"/>
        <v>0.71252739048709546</v>
      </c>
      <c r="Q9" s="1">
        <f t="shared" si="3"/>
        <v>2.0283571804466563E-2</v>
      </c>
      <c r="R9" s="1">
        <f t="shared" si="3"/>
        <v>0.18970823295475972</v>
      </c>
      <c r="S9" s="1">
        <f t="shared" si="3"/>
        <v>4.3424055544260326E-3</v>
      </c>
    </row>
    <row r="10" spans="1:23">
      <c r="A10" t="s">
        <v>278</v>
      </c>
      <c r="B10" s="1">
        <f t="shared" ref="B10" si="5">B$3*$C10/$C$3</f>
        <v>2.7658238794357965E-7</v>
      </c>
      <c r="C10" s="22">
        <v>0.34645669291338749</v>
      </c>
      <c r="D10" s="1">
        <f t="shared" si="4"/>
        <v>1.969602661711543E-2</v>
      </c>
      <c r="E10" s="1">
        <f t="shared" si="3"/>
        <v>1.9970802161622743E-3</v>
      </c>
      <c r="F10" s="1">
        <f t="shared" si="3"/>
        <v>9.3662559795054819E-4</v>
      </c>
      <c r="G10" s="1">
        <f t="shared" si="3"/>
        <v>3.7099358978153021E-8</v>
      </c>
      <c r="H10" s="1">
        <f t="shared" si="3"/>
        <v>1.6156020782230248E-7</v>
      </c>
      <c r="I10" s="1">
        <f t="shared" si="3"/>
        <v>2.5064801467412787E-4</v>
      </c>
      <c r="J10" s="1">
        <f t="shared" si="3"/>
        <v>5.8119722255861488</v>
      </c>
      <c r="K10" s="1">
        <f t="shared" si="3"/>
        <v>0.82944943255471948</v>
      </c>
      <c r="L10" s="1">
        <f t="shared" si="3"/>
        <v>9.5393218293034678</v>
      </c>
      <c r="M10" s="1">
        <f t="shared" si="3"/>
        <v>6.3213540171502682</v>
      </c>
      <c r="N10" s="1">
        <f t="shared" si="3"/>
        <v>2.5863040246456142</v>
      </c>
      <c r="O10" s="1">
        <f t="shared" si="3"/>
        <v>7.0766494866250128E-3</v>
      </c>
      <c r="P10" s="1">
        <f t="shared" si="3"/>
        <v>0.48241320709543561</v>
      </c>
      <c r="Q10" s="1">
        <f t="shared" si="3"/>
        <v>1.3732893719150971E-2</v>
      </c>
      <c r="R10" s="1">
        <f t="shared" si="3"/>
        <v>0.12844103720637406</v>
      </c>
      <c r="S10" s="1">
        <f t="shared" si="3"/>
        <v>2.9400045780522662E-3</v>
      </c>
    </row>
    <row r="11" spans="1:23">
      <c r="B11" s="1"/>
      <c r="C11" s="22"/>
      <c r="D11" s="1"/>
      <c r="E11" s="22"/>
      <c r="F11" s="1"/>
      <c r="G11" s="1"/>
      <c r="H11" s="1"/>
      <c r="I11" s="1"/>
      <c r="J11" s="1"/>
      <c r="K11" s="1"/>
    </row>
    <row r="12" spans="1:23">
      <c r="A12" t="s">
        <v>371</v>
      </c>
      <c r="H12" s="23"/>
      <c r="I12" s="1"/>
      <c r="J12" s="22"/>
    </row>
    <row r="13" spans="1:23">
      <c r="A13" t="s">
        <v>263</v>
      </c>
      <c r="B13" t="s">
        <v>239</v>
      </c>
      <c r="C13" t="s">
        <v>240</v>
      </c>
      <c r="D13" t="s">
        <v>241</v>
      </c>
      <c r="E13" t="s">
        <v>242</v>
      </c>
      <c r="F13" t="s">
        <v>243</v>
      </c>
      <c r="G13" t="s">
        <v>244</v>
      </c>
      <c r="H13" s="23" t="s">
        <v>245</v>
      </c>
      <c r="I13" s="1" t="s">
        <v>246</v>
      </c>
      <c r="J13" s="22" t="s">
        <v>247</v>
      </c>
      <c r="K13" t="s">
        <v>248</v>
      </c>
      <c r="L13" t="s">
        <v>322</v>
      </c>
      <c r="M13" t="s">
        <v>323</v>
      </c>
      <c r="N13" t="s">
        <v>324</v>
      </c>
      <c r="O13" t="s">
        <v>325</v>
      </c>
      <c r="P13" t="s">
        <v>326</v>
      </c>
      <c r="Q13" t="s">
        <v>327</v>
      </c>
      <c r="R13" t="s">
        <v>328</v>
      </c>
      <c r="S13" t="s">
        <v>335</v>
      </c>
    </row>
    <row r="14" spans="1:23">
      <c r="A14" t="s">
        <v>148</v>
      </c>
      <c r="B14">
        <v>8.6335061073618222E-8</v>
      </c>
      <c r="C14" s="1">
        <v>0.17409232100547656</v>
      </c>
      <c r="D14" s="1">
        <v>9.7261263108781269E-3</v>
      </c>
      <c r="E14" s="1">
        <v>3.8429637020093014E-3</v>
      </c>
      <c r="F14">
        <v>5.9249465471268657E-4</v>
      </c>
      <c r="G14">
        <v>1.633289180179126E-8</v>
      </c>
      <c r="H14" s="1">
        <v>1.3223467559897258E-7</v>
      </c>
      <c r="I14" s="1">
        <v>2.476122311242084E-4</v>
      </c>
      <c r="J14" s="22">
        <v>4.0929866309247975</v>
      </c>
      <c r="K14" s="1">
        <v>0.34964146597066942</v>
      </c>
      <c r="L14" s="1">
        <v>6.0827326014377858</v>
      </c>
      <c r="M14" s="1">
        <v>2.8294576326426766</v>
      </c>
      <c r="N14">
        <v>-4.2117619606793806</v>
      </c>
      <c r="O14">
        <v>7.449401374643466E-3</v>
      </c>
      <c r="P14">
        <v>0.89755030631004606</v>
      </c>
      <c r="Q14">
        <v>4.0395965816209158E-3</v>
      </c>
      <c r="R14">
        <v>6.0945349043623483E-2</v>
      </c>
      <c r="S14">
        <v>1.5537986988204318E-3</v>
      </c>
    </row>
    <row r="15" spans="1:23">
      <c r="A15" t="s">
        <v>149</v>
      </c>
      <c r="B15">
        <v>1.4501480371050125E-7</v>
      </c>
      <c r="C15">
        <v>0.2546294474556568</v>
      </c>
      <c r="D15" s="1">
        <v>1.3137784848179597E-2</v>
      </c>
      <c r="E15">
        <v>1.5229590410428613E-3</v>
      </c>
      <c r="F15">
        <v>1.1403436362985627E-3</v>
      </c>
      <c r="G15">
        <v>2.9759998090639718E-8</v>
      </c>
      <c r="H15" s="1">
        <v>2.1925993764859139E-7</v>
      </c>
      <c r="I15" s="1">
        <v>1.7245182902904838E-4</v>
      </c>
      <c r="J15" s="22">
        <v>7.8465268851246188</v>
      </c>
      <c r="K15" s="1">
        <v>0.60129291422703535</v>
      </c>
      <c r="L15" s="1">
        <v>8.6768841131651921</v>
      </c>
      <c r="M15" s="1">
        <v>4.395601729777292</v>
      </c>
      <c r="N15">
        <v>5.422577407368391</v>
      </c>
      <c r="O15">
        <v>9.8759236068444983E-3</v>
      </c>
      <c r="P15">
        <v>0.83779369553138583</v>
      </c>
      <c r="Q15">
        <v>9.373204886016789E-3</v>
      </c>
      <c r="R15">
        <v>4.3640744485068529E-2</v>
      </c>
      <c r="S15">
        <v>1.584226488572941E-3</v>
      </c>
    </row>
    <row r="16" spans="1:23">
      <c r="A16" t="s">
        <v>150</v>
      </c>
      <c r="B16">
        <v>1.0341911117175258E-7</v>
      </c>
      <c r="C16">
        <v>0.12067797426862895</v>
      </c>
      <c r="D16" s="1">
        <v>5.3501152552114439E-3</v>
      </c>
      <c r="E16">
        <v>2.0909134452427815E-4</v>
      </c>
      <c r="F16">
        <v>3.884089974069091E-4</v>
      </c>
      <c r="G16">
        <v>5.4876779882148385E-9</v>
      </c>
      <c r="H16" s="1">
        <v>3.353612692874432E-8</v>
      </c>
      <c r="I16" s="1">
        <v>5.2412486113141093E-5</v>
      </c>
      <c r="J16" s="1">
        <v>1.3243697241379977</v>
      </c>
      <c r="K16" s="1">
        <v>0.34338010751570608</v>
      </c>
      <c r="L16" s="1">
        <v>4.7307304970950161</v>
      </c>
      <c r="M16" s="1">
        <v>2.3282712253329345</v>
      </c>
      <c r="N16">
        <v>2.9141903680000869</v>
      </c>
      <c r="O16">
        <v>4.4063977517289164E-3</v>
      </c>
      <c r="P16">
        <v>0.45146809645367286</v>
      </c>
      <c r="Q16">
        <v>1.4588484108592757E-2</v>
      </c>
      <c r="R16">
        <v>4.1579716287531453E-2</v>
      </c>
      <c r="S16">
        <v>7.1435076576808782E-4</v>
      </c>
    </row>
    <row r="17" spans="1:19">
      <c r="A17" t="s">
        <v>151</v>
      </c>
      <c r="B17">
        <v>2.5685200849830949E-7</v>
      </c>
      <c r="C17">
        <v>0.24476374648650912</v>
      </c>
      <c r="D17" s="1">
        <v>1.9384811325535337E-2</v>
      </c>
      <c r="E17">
        <v>1.3341457795363826E-3</v>
      </c>
      <c r="F17">
        <v>1.7465085565534237E-3</v>
      </c>
      <c r="G17">
        <v>4.3852432381439258E-8</v>
      </c>
      <c r="H17" s="1">
        <v>2.8133128770875752E-7</v>
      </c>
      <c r="I17" s="1">
        <v>1.9228226426123505E-4</v>
      </c>
      <c r="J17" s="1">
        <v>12.004209282206887</v>
      </c>
      <c r="K17" s="1">
        <v>0.68605459433567528</v>
      </c>
      <c r="L17" s="1">
        <v>10.064036684257099</v>
      </c>
      <c r="M17" s="1">
        <v>4.1567516859747053</v>
      </c>
      <c r="N17">
        <v>4.112239899683539</v>
      </c>
      <c r="O17">
        <v>1.6171149187489214E-2</v>
      </c>
      <c r="P17">
        <v>1.0813129675546174</v>
      </c>
      <c r="Q17">
        <v>-2.7482904343842023E-2</v>
      </c>
      <c r="R17">
        <v>0.13636197641179582</v>
      </c>
      <c r="S17">
        <v>1.5059253104192339E-3</v>
      </c>
    </row>
    <row r="18" spans="1:19">
      <c r="A18" t="s">
        <v>285</v>
      </c>
      <c r="B18">
        <v>1.761753866924025E-7</v>
      </c>
      <c r="C18">
        <v>0.31594900000000004</v>
      </c>
      <c r="D18" s="1">
        <v>2.2275902407978318E-2</v>
      </c>
      <c r="E18">
        <v>2.174500085090503E-3</v>
      </c>
      <c r="F18">
        <v>1.6066662824695955E-3</v>
      </c>
      <c r="G18">
        <v>4.1861634405938929E-8</v>
      </c>
      <c r="H18" s="1">
        <v>2.9821368315570053E-7</v>
      </c>
      <c r="I18" s="1">
        <v>2.9607688473040666E-4</v>
      </c>
      <c r="J18" s="1">
        <v>11.061969563148217</v>
      </c>
      <c r="K18" s="1">
        <v>0.64034944330101684</v>
      </c>
      <c r="L18" s="1">
        <v>10.921936502767259</v>
      </c>
      <c r="M18" s="1">
        <v>5.0729896491130981</v>
      </c>
      <c r="N18">
        <v>4.6709126478928029</v>
      </c>
      <c r="O18">
        <v>1.5138450110788917E-2</v>
      </c>
      <c r="P18">
        <v>1.0146255275692915</v>
      </c>
      <c r="Q18">
        <v>1.626287942864655E-2</v>
      </c>
      <c r="R18">
        <v>0.13200734865263075</v>
      </c>
      <c r="S18">
        <v>2.9880437598024455E-3</v>
      </c>
    </row>
    <row r="19" spans="1:19">
      <c r="A19" t="s">
        <v>313</v>
      </c>
      <c r="B19">
        <v>1.761753866924025E-7</v>
      </c>
      <c r="C19" s="1">
        <v>0.31594900000000004</v>
      </c>
      <c r="D19" s="1">
        <v>2.2275902407978318E-2</v>
      </c>
      <c r="E19" s="1">
        <v>2.174500085090503E-3</v>
      </c>
      <c r="F19">
        <v>1.6066662824695955E-3</v>
      </c>
      <c r="G19">
        <v>4.1861634405938929E-8</v>
      </c>
      <c r="H19" s="1">
        <v>2.9821368315570053E-7</v>
      </c>
      <c r="I19" s="1">
        <v>2.9607688473040666E-4</v>
      </c>
      <c r="J19" s="1">
        <v>11.061969563148217</v>
      </c>
      <c r="K19" s="1">
        <v>0.64034944330101684</v>
      </c>
      <c r="L19" s="1">
        <v>10.921936502767259</v>
      </c>
      <c r="M19" s="1">
        <v>5.0729896491130981</v>
      </c>
      <c r="N19">
        <v>4.6709126478928029</v>
      </c>
      <c r="O19">
        <v>1.5138450110788917E-2</v>
      </c>
      <c r="P19">
        <v>1.0146255275692915</v>
      </c>
      <c r="Q19">
        <v>1.626287942864655E-2</v>
      </c>
      <c r="R19">
        <v>0.13200734865263075</v>
      </c>
      <c r="S19">
        <v>2.9880437598024455E-3</v>
      </c>
    </row>
    <row r="20" spans="1:19">
      <c r="A20" t="s">
        <v>153</v>
      </c>
      <c r="B20">
        <v>1.0151387360996213E-7</v>
      </c>
      <c r="C20" s="1">
        <v>0.19089115235870388</v>
      </c>
      <c r="D20" s="1">
        <v>1.2500532898638563E-2</v>
      </c>
      <c r="E20" s="1">
        <v>1.2345931222653825E-3</v>
      </c>
      <c r="F20">
        <v>1.1342776784119722E-3</v>
      </c>
      <c r="G20">
        <v>2.9410047104923174E-8</v>
      </c>
      <c r="H20" s="1">
        <v>2.1515332958131265E-7</v>
      </c>
      <c r="I20" s="1">
        <v>1.3894855548633104E-4</v>
      </c>
      <c r="J20" s="1">
        <v>7.811145776923583</v>
      </c>
      <c r="K20" s="1">
        <v>0.37913159781443595</v>
      </c>
      <c r="L20" s="1">
        <v>6.7372704409357604</v>
      </c>
      <c r="M20" s="1">
        <v>3.0364172733924475</v>
      </c>
      <c r="N20">
        <v>-2.0672169731915955</v>
      </c>
      <c r="O20">
        <v>9.6975715757795337E-3</v>
      </c>
      <c r="P20">
        <v>0.94607583092083847</v>
      </c>
      <c r="Q20">
        <v>1.125451338667819E-2</v>
      </c>
      <c r="R20">
        <v>7.991531914966632E-2</v>
      </c>
      <c r="S20">
        <v>8.4787536328859115E-4</v>
      </c>
    </row>
    <row r="21" spans="1:19">
      <c r="H21" s="1"/>
      <c r="I21" s="1"/>
      <c r="J21" s="1"/>
      <c r="K21" s="1"/>
      <c r="L21" s="1"/>
      <c r="M21" s="1"/>
    </row>
    <row r="22" spans="1:19">
      <c r="I22" s="27"/>
      <c r="K22" s="22"/>
      <c r="M22" s="1"/>
    </row>
    <row r="23" spans="1:19">
      <c r="I23" s="27"/>
      <c r="K23" s="22"/>
      <c r="L23" s="1"/>
      <c r="M23" s="1"/>
    </row>
    <row r="24" spans="1:19">
      <c r="I24" s="27"/>
      <c r="K24" s="22"/>
    </row>
    <row r="25" spans="1:19">
      <c r="I25" s="27"/>
      <c r="K25" s="22"/>
    </row>
    <row r="26" spans="1:19">
      <c r="G26" s="1"/>
      <c r="H26" s="1"/>
    </row>
    <row r="31" spans="1:19">
      <c r="G31" s="1"/>
      <c r="H31" s="1"/>
    </row>
    <row r="32" spans="1:19">
      <c r="G32" s="1"/>
      <c r="H32" s="1"/>
    </row>
    <row r="44" spans="2:23">
      <c r="B44" s="1"/>
      <c r="G44" s="1"/>
      <c r="H44" s="1"/>
    </row>
    <row r="45" spans="2:23">
      <c r="B45" s="1"/>
      <c r="C45" s="1"/>
      <c r="D45" s="1"/>
      <c r="E45" s="1"/>
      <c r="F45" s="1"/>
      <c r="G45" s="1"/>
      <c r="H45" s="1"/>
      <c r="I45" s="1"/>
      <c r="J45" s="1"/>
      <c r="K45" s="1"/>
      <c r="L45" s="1"/>
      <c r="M45" s="1"/>
      <c r="N45" s="1"/>
      <c r="Q45" s="1"/>
      <c r="R45" s="1"/>
      <c r="S45" s="1"/>
      <c r="T45" s="1"/>
      <c r="U45" s="1"/>
      <c r="V45" s="1"/>
      <c r="W45" s="1"/>
    </row>
    <row r="46" spans="2:23">
      <c r="H46" s="1"/>
      <c r="I46" s="1"/>
      <c r="J46" s="1"/>
      <c r="K46" s="1"/>
      <c r="L46" s="1"/>
      <c r="M46" s="1"/>
      <c r="N46" s="1"/>
      <c r="Q46" s="1"/>
      <c r="S46" s="1"/>
    </row>
    <row r="47" spans="2:23">
      <c r="H47" s="1"/>
      <c r="J47" s="1"/>
      <c r="Q47" s="1"/>
      <c r="S47" s="1"/>
    </row>
    <row r="48" spans="2:23">
      <c r="H48" s="1"/>
      <c r="I48" s="1"/>
      <c r="J48" s="1"/>
      <c r="K48" s="1"/>
      <c r="L48" s="1"/>
      <c r="M48" s="1"/>
      <c r="Q48" s="1"/>
      <c r="R48" s="1"/>
      <c r="S48" s="1"/>
      <c r="T48" s="1"/>
      <c r="V48" s="1"/>
    </row>
    <row r="49" spans="8:23">
      <c r="H49" s="1"/>
      <c r="J49" s="1"/>
      <c r="K49" s="1"/>
      <c r="Q49" s="1"/>
      <c r="R49" s="1"/>
      <c r="S49" s="1"/>
      <c r="T49" s="1"/>
      <c r="U49" s="1"/>
      <c r="V49" s="1"/>
      <c r="W49" s="1"/>
    </row>
    <row r="50" spans="8:23">
      <c r="H50" s="1"/>
      <c r="J50" s="1"/>
      <c r="K50" s="1"/>
      <c r="L50" s="1"/>
      <c r="M50" s="1"/>
      <c r="N50" s="1"/>
      <c r="Q50" s="1"/>
      <c r="R50" s="1"/>
      <c r="S50" s="1"/>
      <c r="T50" s="1"/>
      <c r="U50" s="1"/>
      <c r="V50" s="1"/>
      <c r="W50" s="1"/>
    </row>
    <row r="51" spans="8:23">
      <c r="H51" s="1"/>
      <c r="J51" s="1"/>
      <c r="L51" s="1"/>
      <c r="M51" s="1"/>
      <c r="N51" s="1"/>
      <c r="Q51" s="1"/>
      <c r="R51" s="1"/>
      <c r="S51" s="1"/>
      <c r="T51" s="1"/>
      <c r="U51" s="1"/>
      <c r="V51" s="1"/>
      <c r="W51" s="1"/>
    </row>
    <row r="52" spans="8:23">
      <c r="Q52" s="1"/>
      <c r="R52" s="1"/>
      <c r="S52" s="1"/>
      <c r="T52" s="1"/>
      <c r="U52" s="1"/>
      <c r="V52" s="1"/>
      <c r="W52" s="1"/>
    </row>
    <row r="53" spans="8:23">
      <c r="Q53" s="1"/>
      <c r="S53" s="1"/>
    </row>
    <row r="54" spans="8:23">
      <c r="Q54" s="1"/>
      <c r="S54" s="1"/>
    </row>
  </sheetData>
  <mergeCells count="1">
    <mergeCell ref="A1:W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D87A9-6AC6-4AE6-8D45-0F7D9BC13329}">
  <dimension ref="A1:T8"/>
  <sheetViews>
    <sheetView workbookViewId="0">
      <selection activeCell="G12" sqref="G12"/>
    </sheetView>
  </sheetViews>
  <sheetFormatPr defaultRowHeight="14.4"/>
  <sheetData>
    <row r="1" spans="1:20">
      <c r="A1" t="s">
        <v>419</v>
      </c>
      <c r="B1" t="s">
        <v>314</v>
      </c>
      <c r="C1" t="s">
        <v>239</v>
      </c>
      <c r="D1" t="s">
        <v>240</v>
      </c>
      <c r="E1" t="s">
        <v>241</v>
      </c>
      <c r="F1" t="s">
        <v>242</v>
      </c>
      <c r="G1" t="s">
        <v>243</v>
      </c>
      <c r="H1" t="s">
        <v>244</v>
      </c>
      <c r="I1" t="s">
        <v>245</v>
      </c>
      <c r="J1" t="s">
        <v>246</v>
      </c>
      <c r="K1" t="s">
        <v>247</v>
      </c>
      <c r="L1" t="s">
        <v>248</v>
      </c>
      <c r="M1" t="s">
        <v>322</v>
      </c>
      <c r="N1" t="s">
        <v>323</v>
      </c>
      <c r="O1" t="s">
        <v>324</v>
      </c>
      <c r="P1" t="s">
        <v>325</v>
      </c>
      <c r="Q1" t="s">
        <v>326</v>
      </c>
      <c r="R1" t="s">
        <v>327</v>
      </c>
      <c r="S1" t="s">
        <v>328</v>
      </c>
      <c r="T1" t="s">
        <v>335</v>
      </c>
    </row>
    <row r="2" spans="1:20">
      <c r="A2" t="s">
        <v>148</v>
      </c>
      <c r="B2">
        <v>1.7906336088156519E-2</v>
      </c>
      <c r="C2">
        <v>1.0838198524593653E-7</v>
      </c>
      <c r="D2">
        <v>2.0906588823983845</v>
      </c>
      <c r="E2">
        <v>0.28792252130337592</v>
      </c>
      <c r="F2">
        <v>1.0888782951180116</v>
      </c>
      <c r="G2">
        <v>0.14214105547806741</v>
      </c>
      <c r="H2">
        <v>1.336455919864516E-6</v>
      </c>
      <c r="I2">
        <v>6.2510033677413813E-5</v>
      </c>
      <c r="J2">
        <v>4.5046316976807527E-2</v>
      </c>
      <c r="K2">
        <v>717.88119132524366</v>
      </c>
      <c r="L2">
        <v>1.7377952916379706</v>
      </c>
      <c r="M2">
        <v>31.99821784452546</v>
      </c>
      <c r="N2">
        <v>23.871005596769486</v>
      </c>
      <c r="O2">
        <v>3.0578633902288792</v>
      </c>
      <c r="P2">
        <v>1.5122996747965326E-2</v>
      </c>
      <c r="Q2">
        <v>9.5267261866127129</v>
      </c>
      <c r="R2">
        <v>-0.66577594944881868</v>
      </c>
      <c r="S2">
        <v>2.3456308563342665</v>
      </c>
      <c r="T2">
        <v>1.8822185809893168E-2</v>
      </c>
    </row>
    <row r="3" spans="1:20">
      <c r="A3" t="s">
        <v>149</v>
      </c>
      <c r="B3">
        <v>5.5096418732782544E-2</v>
      </c>
      <c r="C3">
        <v>1.8204646085548016E-7</v>
      </c>
      <c r="D3">
        <v>3.0578219244179947</v>
      </c>
      <c r="E3">
        <v>0.38891785042915411</v>
      </c>
      <c r="F3">
        <v>0.43152035062893207</v>
      </c>
      <c r="G3">
        <v>0.27357149432812333</v>
      </c>
      <c r="H3">
        <v>2.4351429070894946E-6</v>
      </c>
      <c r="I3">
        <v>1.036486536110018E-4</v>
      </c>
      <c r="J3">
        <v>3.1372924182311294E-2</v>
      </c>
      <c r="K3">
        <v>1376.2258653618137</v>
      </c>
      <c r="L3">
        <v>2.9885585576588114</v>
      </c>
      <c r="M3">
        <v>45.644753149124881</v>
      </c>
      <c r="N3">
        <v>37.083938731636884</v>
      </c>
      <c r="O3">
        <v>-3.9369511120232792</v>
      </c>
      <c r="P3">
        <v>2.0049068787975133E-2</v>
      </c>
      <c r="Q3">
        <v>8.8924610487969886</v>
      </c>
      <c r="R3">
        <v>-1.5448211860457877</v>
      </c>
      <c r="S3">
        <v>1.6796208154342558</v>
      </c>
      <c r="T3">
        <v>1.9190777644177023E-2</v>
      </c>
    </row>
    <row r="4" spans="1:20">
      <c r="A4" t="s">
        <v>150</v>
      </c>
      <c r="B4">
        <v>0.16391184573002837</v>
      </c>
      <c r="C4">
        <v>1.2982869811845039E-7</v>
      </c>
      <c r="D4">
        <v>1.4492108403024631</v>
      </c>
      <c r="E4">
        <v>0.15837946416768839</v>
      </c>
      <c r="F4">
        <v>5.9244646685184262E-2</v>
      </c>
      <c r="G4">
        <v>9.3180359366057022E-2</v>
      </c>
      <c r="H4">
        <v>4.4903497939388668E-7</v>
      </c>
      <c r="I4">
        <v>1.5853212587622662E-5</v>
      </c>
      <c r="J4">
        <v>9.535027620710488E-3</v>
      </c>
      <c r="K4">
        <v>232.2851748735014</v>
      </c>
      <c r="L4">
        <v>1.7066749575206046</v>
      </c>
      <c r="M4">
        <v>24.886010109010183</v>
      </c>
      <c r="N4">
        <v>19.64269576244212</v>
      </c>
      <c r="O4">
        <v>-2.1157881479673333</v>
      </c>
      <c r="P4">
        <v>8.9454085661785782E-3</v>
      </c>
      <c r="Q4">
        <v>4.7919463752259865</v>
      </c>
      <c r="R4">
        <v>-2.4043643126661109</v>
      </c>
      <c r="S4">
        <v>1.6002971030955571</v>
      </c>
      <c r="T4">
        <v>8.6534007635182715E-3</v>
      </c>
    </row>
    <row r="5" spans="1:20">
      <c r="A5" t="s">
        <v>151</v>
      </c>
      <c r="B5">
        <v>6.1917017060557654E-2</v>
      </c>
      <c r="C5">
        <v>3.2244293626798119E-7</v>
      </c>
      <c r="D5">
        <v>2.9393456168869689</v>
      </c>
      <c r="E5">
        <v>0.57384857788613886</v>
      </c>
      <c r="F5">
        <v>0.37802136437065698</v>
      </c>
      <c r="G5">
        <v>0.41899208314438158</v>
      </c>
      <c r="H5">
        <v>3.5882710525398425E-6</v>
      </c>
      <c r="I5">
        <v>1.3299104935620429E-4</v>
      </c>
      <c r="J5">
        <v>3.4980533011654776E-2</v>
      </c>
      <c r="K5">
        <v>2105.4542409978767</v>
      </c>
      <c r="L5">
        <v>3.4098428243724022</v>
      </c>
      <c r="M5">
        <v>52.941869932279339</v>
      </c>
      <c r="N5">
        <v>35.068856170716906</v>
      </c>
      <c r="O5">
        <v>-2.9856074389950589</v>
      </c>
      <c r="P5">
        <v>3.2828978366730335E-2</v>
      </c>
      <c r="Q5">
        <v>11.477209122992614</v>
      </c>
      <c r="R5">
        <v>4.5295257492743257</v>
      </c>
      <c r="S5">
        <v>5.2482242619250208</v>
      </c>
      <c r="T5">
        <v>1.8242263962538946E-2</v>
      </c>
    </row>
    <row r="6" spans="1:20">
      <c r="A6" t="s">
        <v>285</v>
      </c>
      <c r="B6">
        <v>0.48</v>
      </c>
      <c r="C6">
        <v>2.2116435575242606E-7</v>
      </c>
      <c r="D6">
        <v>3.794202865582498</v>
      </c>
      <c r="E6">
        <v>0.65943354842509694</v>
      </c>
      <c r="F6">
        <v>0.61613018726909308</v>
      </c>
      <c r="G6">
        <v>0.385443546831649</v>
      </c>
      <c r="H6">
        <v>3.4253719302105126E-6</v>
      </c>
      <c r="I6">
        <v>1.4097170271481566E-4</v>
      </c>
      <c r="J6">
        <v>5.3863143749071696E-2</v>
      </c>
      <c r="K6">
        <v>1940.1919929071798</v>
      </c>
      <c r="L6">
        <v>3.1826781313886054</v>
      </c>
      <c r="M6">
        <v>57.454852349914837</v>
      </c>
      <c r="N6">
        <v>42.79879044989589</v>
      </c>
      <c r="O6">
        <v>-3.3912203297084025</v>
      </c>
      <c r="P6">
        <v>3.07325005434619E-2</v>
      </c>
      <c r="Q6">
        <v>10.769379181472981</v>
      </c>
      <c r="R6">
        <v>-2.6803255655876002</v>
      </c>
      <c r="S6">
        <v>5.0806257593315571</v>
      </c>
      <c r="T6">
        <v>3.6196139755934428E-2</v>
      </c>
    </row>
    <row r="7" spans="1:20">
      <c r="A7" t="s">
        <v>313</v>
      </c>
      <c r="B7">
        <f>0.559229-B6</f>
        <v>7.9228999999999994E-2</v>
      </c>
      <c r="C7">
        <v>2.2116435575242606E-7</v>
      </c>
      <c r="D7">
        <v>3.794202865582498</v>
      </c>
      <c r="E7">
        <v>0.65943354842509694</v>
      </c>
      <c r="F7">
        <v>0.61613018726909308</v>
      </c>
      <c r="G7">
        <v>0.385443546831649</v>
      </c>
      <c r="H7">
        <v>3.4253719302105126E-6</v>
      </c>
      <c r="I7">
        <v>1.4097170271481566E-4</v>
      </c>
      <c r="J7">
        <v>5.3863143749071696E-2</v>
      </c>
      <c r="K7">
        <v>1940.1919929071798</v>
      </c>
      <c r="L7">
        <v>3.1826781313886054</v>
      </c>
      <c r="M7">
        <v>57.454852349914837</v>
      </c>
      <c r="N7">
        <v>42.79879044989589</v>
      </c>
      <c r="O7">
        <v>-3.3912203297084025</v>
      </c>
      <c r="P7">
        <v>3.07325005434619E-2</v>
      </c>
      <c r="Q7">
        <v>10.769379181472981</v>
      </c>
      <c r="R7">
        <v>-2.6803255655876002</v>
      </c>
      <c r="S7">
        <v>5.0806257593315571</v>
      </c>
      <c r="T7">
        <v>3.6196139755934428E-2</v>
      </c>
    </row>
    <row r="8" spans="1:20">
      <c r="A8" t="s">
        <v>153</v>
      </c>
      <c r="B8">
        <v>0.14193973225073736</v>
      </c>
      <c r="C8">
        <v>1.2743693020001573E-7</v>
      </c>
      <c r="D8">
        <v>2.2923945234634053</v>
      </c>
      <c r="E8">
        <v>0.3700532806967895</v>
      </c>
      <c r="F8">
        <v>0.34981377873381192</v>
      </c>
      <c r="G8">
        <v>0.27211625477511231</v>
      </c>
      <c r="H8">
        <v>2.4065078024063174E-6</v>
      </c>
      <c r="I8">
        <v>1.0170737604955461E-4</v>
      </c>
      <c r="J8">
        <v>2.5277913960425755E-2</v>
      </c>
      <c r="K8">
        <v>1370.0202667620383</v>
      </c>
      <c r="L8">
        <v>1.8843677587382535</v>
      </c>
      <c r="M8">
        <v>35.441414471447821</v>
      </c>
      <c r="N8">
        <v>25.617041545725879</v>
      </c>
      <c r="O8">
        <v>1.5008604857057681</v>
      </c>
      <c r="P8">
        <v>1.9686997119375108E-2</v>
      </c>
      <c r="Q8">
        <v>10.041782983740097</v>
      </c>
      <c r="R8">
        <v>-1.8548843143622771</v>
      </c>
      <c r="S8">
        <v>3.0757365645257631</v>
      </c>
      <c r="T8">
        <v>1.0270872052836527E-2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C2935-81C6-4506-9F86-7A52D925FEAD}">
  <dimension ref="A1:Y60"/>
  <sheetViews>
    <sheetView tabSelected="1" workbookViewId="0">
      <selection activeCell="B14" sqref="B14"/>
    </sheetView>
  </sheetViews>
  <sheetFormatPr defaultRowHeight="14.4"/>
  <sheetData>
    <row r="1" spans="1:25">
      <c r="B1" s="2" t="s">
        <v>239</v>
      </c>
      <c r="C1" s="2" t="s">
        <v>240</v>
      </c>
      <c r="D1" s="2" t="s">
        <v>241</v>
      </c>
      <c r="E1" s="2" t="s">
        <v>242</v>
      </c>
      <c r="F1" s="2" t="s">
        <v>243</v>
      </c>
      <c r="G1" s="2" t="s">
        <v>244</v>
      </c>
      <c r="H1" s="2" t="s">
        <v>245</v>
      </c>
      <c r="I1" s="2" t="s">
        <v>246</v>
      </c>
      <c r="J1" s="2" t="s">
        <v>247</v>
      </c>
      <c r="K1" s="2" t="s">
        <v>248</v>
      </c>
      <c r="L1" t="s">
        <v>322</v>
      </c>
      <c r="M1" t="s">
        <v>323</v>
      </c>
      <c r="N1" t="s">
        <v>324</v>
      </c>
      <c r="O1" t="s">
        <v>325</v>
      </c>
      <c r="P1" t="s">
        <v>326</v>
      </c>
      <c r="Q1" t="s">
        <v>327</v>
      </c>
      <c r="R1" t="s">
        <v>328</v>
      </c>
      <c r="S1" t="s">
        <v>335</v>
      </c>
    </row>
    <row r="2" spans="1:25">
      <c r="A2" t="s">
        <v>418</v>
      </c>
      <c r="B2" s="1">
        <v>9.8703726999999992E-7</v>
      </c>
      <c r="C2">
        <v>3.5830286</v>
      </c>
      <c r="D2">
        <v>0.36379172999999998</v>
      </c>
      <c r="E2">
        <v>8.4649988999999995E-2</v>
      </c>
      <c r="F2">
        <v>0.14735013</v>
      </c>
      <c r="G2" s="1">
        <v>1.3713817E-6</v>
      </c>
      <c r="H2" s="1">
        <v>3.5890938999999999E-5</v>
      </c>
      <c r="I2">
        <v>1.1513101E-2</v>
      </c>
      <c r="J2">
        <v>782.72577999999999</v>
      </c>
      <c r="K2">
        <v>4.9532655999999999</v>
      </c>
      <c r="L2" s="1">
        <f>SUM(M2:R2)</f>
        <v>66.466282429000003</v>
      </c>
      <c r="M2" s="1">
        <v>47.940221000000001</v>
      </c>
      <c r="N2">
        <v>12.247221</v>
      </c>
      <c r="O2">
        <v>2.9527469000000001E-2</v>
      </c>
      <c r="P2">
        <v>2.9812015999999999</v>
      </c>
      <c r="Q2">
        <v>0.35153156000000002</v>
      </c>
      <c r="R2" s="1">
        <v>2.9165798000000001</v>
      </c>
      <c r="S2" s="1">
        <v>2.218036E-2</v>
      </c>
    </row>
    <row r="3" spans="1:25">
      <c r="A3" t="s">
        <v>417</v>
      </c>
      <c r="B3" s="1">
        <v>1.0089181E-6</v>
      </c>
      <c r="C3" s="1">
        <v>3.1171726999999998</v>
      </c>
      <c r="D3" s="1">
        <v>0.33538354999999997</v>
      </c>
      <c r="E3" s="1">
        <v>8.3003458000000002E-2</v>
      </c>
      <c r="F3">
        <v>0.14768829999999999</v>
      </c>
      <c r="G3" s="1">
        <v>1.3637111999999999E-6</v>
      </c>
      <c r="H3" s="1">
        <v>3.587765E-5</v>
      </c>
      <c r="I3">
        <v>1.0255868E-2</v>
      </c>
      <c r="J3">
        <v>782.36725000000001</v>
      </c>
      <c r="K3">
        <v>4.6225652000000004</v>
      </c>
      <c r="L3" s="1">
        <f t="shared" ref="L3:L7" si="0">SUM(M3:R3)</f>
        <v>65.688015065000002</v>
      </c>
      <c r="M3" s="1">
        <v>42.763337</v>
      </c>
      <c r="N3">
        <v>15.903411</v>
      </c>
      <c r="O3">
        <v>3.0098915E-2</v>
      </c>
      <c r="P3">
        <v>3.3077266000000001</v>
      </c>
      <c r="Q3">
        <v>0.72304625</v>
      </c>
      <c r="R3" s="1">
        <v>2.9603953000000001</v>
      </c>
      <c r="S3" s="1">
        <v>2.2884438999999999E-2</v>
      </c>
    </row>
    <row r="4" spans="1:25">
      <c r="A4" t="s">
        <v>271</v>
      </c>
      <c r="B4" s="1">
        <v>1.6981154000000001E-7</v>
      </c>
      <c r="C4">
        <v>0.60440119999999997</v>
      </c>
      <c r="D4">
        <v>6.3471990000000006E-2</v>
      </c>
      <c r="E4">
        <v>1.493936E-2</v>
      </c>
      <c r="F4">
        <v>2.5702517000000001E-2</v>
      </c>
      <c r="G4" s="1">
        <v>2.3752843999999999E-7</v>
      </c>
      <c r="H4" s="1">
        <v>6.2500939999999999E-6</v>
      </c>
      <c r="I4">
        <v>1.9183188999999999E-3</v>
      </c>
      <c r="J4">
        <v>135.04518999999999</v>
      </c>
      <c r="K4">
        <v>0.82306391999999995</v>
      </c>
      <c r="L4" s="1">
        <f t="shared" si="0"/>
        <v>11.929339701799998</v>
      </c>
      <c r="M4" s="1">
        <v>8.1931808000000004</v>
      </c>
      <c r="N4">
        <v>2.4809833999999999</v>
      </c>
      <c r="O4">
        <v>5.3306598E-3</v>
      </c>
      <c r="P4">
        <v>0.66180620000000001</v>
      </c>
      <c r="Q4">
        <v>7.7442882000000005E-2</v>
      </c>
      <c r="R4" s="1">
        <v>0.51059575999999995</v>
      </c>
      <c r="S4" s="1">
        <v>7.0167392000000002E-3</v>
      </c>
    </row>
    <row r="5" spans="1:25">
      <c r="A5" t="s">
        <v>272</v>
      </c>
      <c r="B5" s="1">
        <v>1.8177859E-7</v>
      </c>
      <c r="C5">
        <v>0.77080968000000005</v>
      </c>
      <c r="D5">
        <v>7.2477206000000002E-2</v>
      </c>
      <c r="E5">
        <v>1.5701133999999999E-2</v>
      </c>
      <c r="F5">
        <v>2.6465988999999999E-2</v>
      </c>
      <c r="G5" s="1">
        <v>2.4764373999999997E-7</v>
      </c>
      <c r="H5" s="1">
        <v>6.2900015999999998E-6</v>
      </c>
      <c r="I5">
        <v>2.1694419000000001E-3</v>
      </c>
      <c r="J5">
        <v>136.25225</v>
      </c>
      <c r="K5">
        <v>0.95567857000000001</v>
      </c>
      <c r="L5" s="1">
        <f t="shared" si="0"/>
        <v>14.662504287399999</v>
      </c>
      <c r="M5" s="1">
        <v>10.257861999999999</v>
      </c>
      <c r="N5">
        <v>2.9244484000000002</v>
      </c>
      <c r="O5">
        <v>5.3841873999999996E-3</v>
      </c>
      <c r="P5">
        <v>0.68231425000000001</v>
      </c>
      <c r="Q5">
        <v>0.11770311999999999</v>
      </c>
      <c r="R5" s="1">
        <v>0.67479233000000005</v>
      </c>
      <c r="S5" s="1">
        <v>6.1872918000000004E-3</v>
      </c>
    </row>
    <row r="6" spans="1:25">
      <c r="A6" t="s">
        <v>279</v>
      </c>
      <c r="B6" s="1">
        <v>2.6281264E-7</v>
      </c>
      <c r="C6">
        <v>2.2764201000000002</v>
      </c>
      <c r="D6">
        <v>0.39977667</v>
      </c>
      <c r="E6">
        <v>8.9829633000000006E-2</v>
      </c>
      <c r="F6">
        <v>0.25721386000000002</v>
      </c>
      <c r="G6" s="1">
        <v>2.1567125000000001E-6</v>
      </c>
      <c r="H6" s="1">
        <v>6.1782343999999993E-5</v>
      </c>
      <c r="I6">
        <v>1.5680156000000001E-2</v>
      </c>
      <c r="J6" s="1">
        <v>1367.7937999999999</v>
      </c>
      <c r="K6">
        <v>2.8826843000000002</v>
      </c>
      <c r="L6" s="1">
        <f t="shared" si="0"/>
        <v>39.566394793999997</v>
      </c>
      <c r="M6" s="1">
        <v>27.672224</v>
      </c>
      <c r="N6">
        <v>2.1940076999999998</v>
      </c>
      <c r="O6">
        <v>2.0410393999999998E-2</v>
      </c>
      <c r="P6">
        <v>5.4478137000000002</v>
      </c>
      <c r="Q6">
        <v>1.9685589999999999</v>
      </c>
      <c r="R6" s="1">
        <v>2.2633800000000002</v>
      </c>
      <c r="S6" s="1">
        <v>2.0814846000000001E-2</v>
      </c>
    </row>
    <row r="7" spans="1:25">
      <c r="A7" t="s">
        <v>280</v>
      </c>
      <c r="B7" s="1">
        <v>2.5893781000000001E-7</v>
      </c>
      <c r="C7">
        <v>2.7409401</v>
      </c>
      <c r="D7">
        <v>0.42510771000000003</v>
      </c>
      <c r="E7">
        <v>9.1745683999999994E-2</v>
      </c>
      <c r="F7">
        <v>0.25929471999999998</v>
      </c>
      <c r="G7" s="1">
        <v>2.1816913999999999E-6</v>
      </c>
      <c r="H7" s="1">
        <v>6.1849124000000003E-5</v>
      </c>
      <c r="I7">
        <v>1.6777514E-2</v>
      </c>
      <c r="J7" s="1">
        <v>1367.3697</v>
      </c>
      <c r="K7">
        <v>3.0421985999999999</v>
      </c>
      <c r="L7" s="1">
        <f t="shared" si="0"/>
        <v>42.826987583000005</v>
      </c>
      <c r="M7" s="1">
        <v>32.714761000000003</v>
      </c>
      <c r="N7">
        <v>2.3849787999999998</v>
      </c>
      <c r="O7">
        <v>2.0193743E-2</v>
      </c>
      <c r="P7">
        <v>4.6442581000000001</v>
      </c>
      <c r="Q7">
        <v>0.55161903999999995</v>
      </c>
      <c r="R7" s="1">
        <v>2.5111769000000002</v>
      </c>
      <c r="S7" s="1">
        <v>2.1525308E-2</v>
      </c>
    </row>
    <row r="8" spans="1:25">
      <c r="L8" s="1"/>
      <c r="Q8" s="1"/>
    </row>
    <row r="9" spans="1:25">
      <c r="J9" s="1"/>
    </row>
    <row r="10" spans="1:25">
      <c r="A10" s="1"/>
      <c r="B10" s="1"/>
      <c r="C10" s="1"/>
      <c r="D10" s="1"/>
      <c r="E10" s="1"/>
      <c r="G10" s="1"/>
      <c r="H10" s="1"/>
      <c r="L10" s="1"/>
      <c r="Q10" s="1"/>
      <c r="R10" s="1"/>
    </row>
    <row r="11" spans="1:25">
      <c r="B11" s="1"/>
      <c r="G11" s="1"/>
      <c r="H11" s="1"/>
      <c r="Y11" s="1"/>
    </row>
    <row r="12" spans="1:25">
      <c r="B12" s="1"/>
      <c r="G12" s="1"/>
      <c r="H12" s="1"/>
      <c r="V12" s="1"/>
      <c r="W12" s="1"/>
      <c r="Y12" s="1"/>
    </row>
    <row r="13" spans="1:25">
      <c r="B13" s="1"/>
      <c r="G13" s="1"/>
      <c r="H13" s="1"/>
      <c r="M13" s="1"/>
      <c r="V13" s="1"/>
      <c r="W13" s="1"/>
      <c r="Y13" s="1"/>
    </row>
    <row r="14" spans="1:25">
      <c r="B14" s="1"/>
      <c r="C14" s="1"/>
      <c r="D14" s="1"/>
      <c r="E14" s="1"/>
      <c r="F14" s="1"/>
      <c r="G14" s="1"/>
      <c r="H14" s="1"/>
      <c r="I14" s="1"/>
      <c r="J14" s="1"/>
      <c r="K14" s="1"/>
      <c r="L14" s="1"/>
      <c r="M14" s="1"/>
      <c r="N14" s="1"/>
      <c r="T14" s="1"/>
      <c r="U14" s="1"/>
      <c r="V14" s="1"/>
      <c r="W14" s="1"/>
      <c r="Y14" s="1"/>
    </row>
    <row r="15" spans="1:25">
      <c r="A15" s="1"/>
      <c r="B15" s="1"/>
      <c r="C15" s="1"/>
      <c r="D15" s="1"/>
      <c r="E15" s="1"/>
      <c r="G15" s="1"/>
      <c r="H15" s="1"/>
      <c r="V15" s="1"/>
      <c r="W15" s="1"/>
      <c r="Y15" s="1"/>
    </row>
    <row r="16" spans="1:25">
      <c r="Q16" s="1"/>
      <c r="V16" s="1"/>
      <c r="W16" s="1"/>
      <c r="Y16" s="1"/>
    </row>
    <row r="17" spans="3:23">
      <c r="Q17" s="1"/>
      <c r="V17" s="1"/>
      <c r="W17" s="1"/>
    </row>
    <row r="19" spans="3:23">
      <c r="P19" s="1"/>
      <c r="Q19" s="1"/>
      <c r="R19" s="1"/>
      <c r="S19" s="1"/>
      <c r="T19" s="1"/>
      <c r="U19" s="1"/>
      <c r="V19" s="1"/>
    </row>
    <row r="20" spans="3:23">
      <c r="Q20" s="1"/>
      <c r="R20" s="1"/>
      <c r="S20" s="1"/>
      <c r="T20" s="1"/>
      <c r="U20" s="1"/>
      <c r="V20" s="1"/>
    </row>
    <row r="22" spans="3:23">
      <c r="H22" s="1"/>
      <c r="I22" s="1"/>
      <c r="J22" s="1"/>
      <c r="N22" s="1"/>
    </row>
    <row r="27" spans="3:23">
      <c r="H27" s="1"/>
      <c r="I27" s="1"/>
      <c r="J27" s="1"/>
      <c r="K27" s="1"/>
      <c r="L27" s="1"/>
      <c r="M27" s="1"/>
      <c r="N27" s="1"/>
    </row>
    <row r="28" spans="3:23">
      <c r="I28" s="1"/>
      <c r="J28" s="1"/>
      <c r="K28" s="1"/>
      <c r="L28" s="1"/>
      <c r="M28" s="1"/>
      <c r="N28" s="1"/>
    </row>
    <row r="30" spans="3:23">
      <c r="C30" s="1"/>
      <c r="D30" s="1"/>
      <c r="E30" s="1"/>
      <c r="F30" s="1"/>
      <c r="G30" s="1"/>
      <c r="H30" s="1"/>
      <c r="I30" s="1"/>
      <c r="J30" s="1"/>
      <c r="K30" s="1"/>
      <c r="L30" s="1"/>
      <c r="M30" s="1"/>
    </row>
    <row r="35" spans="2:13">
      <c r="C35" s="1"/>
      <c r="D35" s="1"/>
      <c r="E35" s="1"/>
      <c r="F35" s="1"/>
      <c r="G35" s="1"/>
      <c r="H35" s="1"/>
      <c r="I35" s="1"/>
      <c r="J35" s="1"/>
      <c r="K35" s="1"/>
      <c r="L35" s="1"/>
      <c r="M35" s="1"/>
    </row>
    <row r="36" spans="2:13">
      <c r="F36" s="1"/>
      <c r="G36" s="1"/>
      <c r="H36" s="1"/>
      <c r="J36" s="1"/>
      <c r="K36" s="1"/>
      <c r="M36" s="1"/>
    </row>
    <row r="43" spans="2:13">
      <c r="B43" s="1"/>
      <c r="G43" s="1"/>
    </row>
    <row r="44" spans="2:13">
      <c r="B44" s="1"/>
      <c r="G44" s="1"/>
    </row>
    <row r="45" spans="2:13">
      <c r="B45" s="1"/>
      <c r="G45" s="1"/>
    </row>
    <row r="46" spans="2:13">
      <c r="B46" s="1"/>
      <c r="G46" s="1"/>
      <c r="H46" s="1"/>
    </row>
    <row r="47" spans="2:13">
      <c r="B47" s="1"/>
      <c r="G47" s="1"/>
      <c r="H47" s="1"/>
    </row>
    <row r="48" spans="2:13">
      <c r="B48" s="1"/>
      <c r="G48" s="1"/>
      <c r="H48" s="1"/>
    </row>
    <row r="49" spans="2:19">
      <c r="B49" s="1"/>
      <c r="G49" s="1"/>
    </row>
    <row r="50" spans="2:19">
      <c r="B50" s="1"/>
      <c r="G50" s="1"/>
      <c r="H50" s="1"/>
    </row>
    <row r="51" spans="2:19">
      <c r="B51" s="1"/>
      <c r="G51" s="1"/>
      <c r="H51" s="1"/>
    </row>
    <row r="52" spans="2:19">
      <c r="B52" s="1"/>
      <c r="G52" s="1"/>
    </row>
    <row r="53" spans="2:19">
      <c r="B53" s="1"/>
      <c r="G53" s="1"/>
      <c r="H53" s="1"/>
    </row>
    <row r="54" spans="2:19">
      <c r="P54" s="1"/>
      <c r="Q54" s="1"/>
      <c r="R54" s="1"/>
      <c r="S54" s="1"/>
    </row>
    <row r="59" spans="2:19">
      <c r="P59" s="1"/>
      <c r="Q59" s="1"/>
      <c r="R59" s="1"/>
      <c r="S59" s="1"/>
    </row>
    <row r="60" spans="2:19">
      <c r="P60" s="1"/>
      <c r="Q60" s="1"/>
      <c r="R60" s="1"/>
      <c r="S60"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2BD3-4F82-4748-AE49-9BC8F1F6E548}">
  <dimension ref="A1:K37"/>
  <sheetViews>
    <sheetView workbookViewId="0">
      <selection activeCell="M21" sqref="M21"/>
    </sheetView>
  </sheetViews>
  <sheetFormatPr defaultRowHeight="14.4"/>
  <cols>
    <col min="4" max="4" width="12" bestFit="1" customWidth="1"/>
  </cols>
  <sheetData>
    <row r="1" spans="1:11">
      <c r="A1" t="s">
        <v>282</v>
      </c>
      <c r="B1" t="s">
        <v>281</v>
      </c>
      <c r="F1" t="s">
        <v>383</v>
      </c>
      <c r="G1" t="s">
        <v>87</v>
      </c>
      <c r="H1" t="s">
        <v>422</v>
      </c>
      <c r="I1" t="s">
        <v>415</v>
      </c>
    </row>
    <row r="2" spans="1:11">
      <c r="A2" t="s">
        <v>148</v>
      </c>
      <c r="B2">
        <f>SUMIF(G2:G35,"Oceania",H2:H35)/$H$36</f>
        <v>0</v>
      </c>
      <c r="F2" t="s">
        <v>384</v>
      </c>
      <c r="G2" t="s">
        <v>150</v>
      </c>
      <c r="H2">
        <v>2.9</v>
      </c>
      <c r="I2" s="27">
        <f t="shared" ref="I2:I37" si="0">H2/$H$36*100</f>
        <v>9.9522634535726892E-3</v>
      </c>
    </row>
    <row r="3" spans="1:11">
      <c r="A3" t="s">
        <v>149</v>
      </c>
      <c r="B3">
        <f>SUMIF(G2:G35,"Africa",H2:H35)/$H$36</f>
        <v>5.7105401333603298E-3</v>
      </c>
      <c r="F3" t="s">
        <v>385</v>
      </c>
      <c r="G3" t="s">
        <v>150</v>
      </c>
      <c r="H3">
        <v>263.2</v>
      </c>
      <c r="I3" s="27">
        <f t="shared" si="0"/>
        <v>0.90325370378632142</v>
      </c>
    </row>
    <row r="4" spans="1:11">
      <c r="A4" t="s">
        <v>150</v>
      </c>
      <c r="B4">
        <f>SUMIF(G2:G35,"Europe",H2:H35)/$H$36</f>
        <v>0.15314474366057976</v>
      </c>
      <c r="F4" t="s">
        <v>386</v>
      </c>
      <c r="G4" t="s">
        <v>153</v>
      </c>
      <c r="H4">
        <v>112.1</v>
      </c>
      <c r="I4" s="27">
        <f t="shared" si="0"/>
        <v>0.38470645970534428</v>
      </c>
    </row>
    <row r="5" spans="1:11">
      <c r="A5" t="s">
        <v>151</v>
      </c>
      <c r="B5">
        <f>SUMIF(G2:G35,"North America",H2:H35)/$H$36</f>
        <v>7.5719565806768224E-2</v>
      </c>
      <c r="F5" t="s">
        <v>387</v>
      </c>
      <c r="G5" t="s">
        <v>150</v>
      </c>
      <c r="H5">
        <v>51.2</v>
      </c>
      <c r="I5" s="27">
        <f t="shared" si="0"/>
        <v>0.17570892718031786</v>
      </c>
    </row>
    <row r="6" spans="1:11">
      <c r="A6" t="s">
        <v>285</v>
      </c>
      <c r="B6">
        <f>SUMIF(G2:G35,"China",H2:H35)/$H$36</f>
        <v>0.62899677752573002</v>
      </c>
      <c r="F6" t="s">
        <v>285</v>
      </c>
      <c r="G6" t="s">
        <v>285</v>
      </c>
      <c r="H6">
        <v>17723.900000000001</v>
      </c>
      <c r="I6" s="27">
        <f t="shared" si="0"/>
        <v>60.825145594750694</v>
      </c>
    </row>
    <row r="7" spans="1:11">
      <c r="A7" t="s">
        <v>313</v>
      </c>
      <c r="B7">
        <f>SUMIF(G2:G35,"Asia",H2:H35)/$H$36</f>
        <v>0.11954727496731195</v>
      </c>
      <c r="F7" t="s">
        <v>388</v>
      </c>
      <c r="G7" t="s">
        <v>149</v>
      </c>
      <c r="H7">
        <v>115</v>
      </c>
      <c r="I7" s="27">
        <f t="shared" si="0"/>
        <v>0.39465872315891704</v>
      </c>
    </row>
    <row r="8" spans="1:11">
      <c r="A8" t="s">
        <v>153</v>
      </c>
      <c r="B8">
        <f>SUMIF(G2:G35,"Latin America",H2:H35)/$H$36</f>
        <v>1.6881097906249677E-2</v>
      </c>
      <c r="F8" t="s">
        <v>161</v>
      </c>
      <c r="G8" t="s">
        <v>150</v>
      </c>
      <c r="H8">
        <v>30.4</v>
      </c>
      <c r="I8" s="27">
        <f t="shared" si="0"/>
        <v>0.10432717551331372</v>
      </c>
    </row>
    <row r="9" spans="1:11">
      <c r="F9" t="s">
        <v>389</v>
      </c>
      <c r="G9" t="s">
        <v>150</v>
      </c>
      <c r="H9">
        <v>148.6</v>
      </c>
      <c r="I9" s="27">
        <f t="shared" si="0"/>
        <v>0.50996770662100055</v>
      </c>
      <c r="K9" s="34"/>
    </row>
    <row r="10" spans="1:11">
      <c r="F10" t="s">
        <v>390</v>
      </c>
      <c r="G10" t="s">
        <v>150</v>
      </c>
      <c r="H10">
        <v>1704.3</v>
      </c>
      <c r="I10" s="27">
        <f t="shared" si="0"/>
        <v>5.8488422772151498</v>
      </c>
      <c r="K10" s="34"/>
    </row>
    <row r="11" spans="1:11">
      <c r="F11" t="s">
        <v>391</v>
      </c>
      <c r="G11" t="s">
        <v>150</v>
      </c>
      <c r="H11">
        <v>78.5</v>
      </c>
      <c r="I11" s="27">
        <f t="shared" si="0"/>
        <v>0.26939747624326077</v>
      </c>
      <c r="K11" s="34"/>
    </row>
    <row r="12" spans="1:11">
      <c r="F12" t="s">
        <v>392</v>
      </c>
      <c r="G12" t="s">
        <v>150</v>
      </c>
      <c r="H12">
        <v>0.3</v>
      </c>
      <c r="I12" s="27">
        <f t="shared" si="0"/>
        <v>1.0295444951971748E-3</v>
      </c>
      <c r="K12" s="34"/>
    </row>
    <row r="13" spans="1:11">
      <c r="F13" t="s">
        <v>393</v>
      </c>
      <c r="G13" t="s">
        <v>152</v>
      </c>
      <c r="H13">
        <v>397.8</v>
      </c>
      <c r="I13" s="27">
        <f t="shared" si="0"/>
        <v>1.3651760006314539</v>
      </c>
      <c r="K13" s="34"/>
    </row>
    <row r="14" spans="1:11">
      <c r="F14" t="s">
        <v>394</v>
      </c>
      <c r="G14" t="s">
        <v>150</v>
      </c>
      <c r="H14">
        <v>1055.2</v>
      </c>
      <c r="I14" s="27">
        <f t="shared" si="0"/>
        <v>3.6212511711068629</v>
      </c>
      <c r="K14" s="34"/>
    </row>
    <row r="15" spans="1:11">
      <c r="F15" t="s">
        <v>395</v>
      </c>
      <c r="G15" t="s">
        <v>152</v>
      </c>
      <c r="H15">
        <v>1325.1</v>
      </c>
      <c r="I15" s="27">
        <f t="shared" si="0"/>
        <v>4.5474980352859209</v>
      </c>
      <c r="K15" s="34"/>
    </row>
    <row r="16" spans="1:11">
      <c r="F16" t="s">
        <v>396</v>
      </c>
      <c r="G16" t="s">
        <v>152</v>
      </c>
      <c r="H16">
        <v>37</v>
      </c>
      <c r="I16" s="27">
        <f t="shared" si="0"/>
        <v>0.12697715440765156</v>
      </c>
    </row>
    <row r="17" spans="6:9">
      <c r="F17" t="s">
        <v>397</v>
      </c>
      <c r="G17" t="s">
        <v>152</v>
      </c>
      <c r="H17">
        <v>1128.5999999999999</v>
      </c>
      <c r="I17" s="27">
        <f t="shared" si="0"/>
        <v>3.8731463909317712</v>
      </c>
    </row>
    <row r="18" spans="6:9">
      <c r="F18" t="s">
        <v>398</v>
      </c>
      <c r="G18" t="s">
        <v>153</v>
      </c>
      <c r="H18">
        <v>379.8</v>
      </c>
      <c r="I18" s="27">
        <f t="shared" si="0"/>
        <v>1.3034033309196233</v>
      </c>
    </row>
    <row r="19" spans="6:9">
      <c r="F19" t="s">
        <v>399</v>
      </c>
      <c r="G19" t="s">
        <v>152</v>
      </c>
      <c r="H19">
        <v>0</v>
      </c>
      <c r="I19" s="27">
        <f t="shared" si="0"/>
        <v>0</v>
      </c>
    </row>
    <row r="20" spans="6:9">
      <c r="F20" t="s">
        <v>400</v>
      </c>
      <c r="G20" t="s">
        <v>150</v>
      </c>
      <c r="H20">
        <v>312.89999999999998</v>
      </c>
      <c r="I20" s="27">
        <f t="shared" si="0"/>
        <v>1.0738149084906532</v>
      </c>
    </row>
    <row r="21" spans="6:9">
      <c r="F21" t="s">
        <v>401</v>
      </c>
      <c r="G21" t="s">
        <v>150</v>
      </c>
      <c r="H21">
        <v>4.5</v>
      </c>
      <c r="I21" s="27">
        <f t="shared" si="0"/>
        <v>1.5443167427957623E-2</v>
      </c>
    </row>
    <row r="22" spans="6:9">
      <c r="F22" t="s">
        <v>402</v>
      </c>
      <c r="G22" t="s">
        <v>152</v>
      </c>
      <c r="H22">
        <v>0</v>
      </c>
      <c r="I22" s="27">
        <f t="shared" si="0"/>
        <v>0</v>
      </c>
    </row>
    <row r="23" spans="6:9">
      <c r="F23" t="s">
        <v>403</v>
      </c>
      <c r="G23" t="s">
        <v>152</v>
      </c>
      <c r="H23">
        <v>175</v>
      </c>
      <c r="I23" s="27">
        <f t="shared" si="0"/>
        <v>0.60056762219835202</v>
      </c>
    </row>
    <row r="24" spans="6:9">
      <c r="F24" t="s">
        <v>404</v>
      </c>
      <c r="G24" t="s">
        <v>150</v>
      </c>
      <c r="H24">
        <v>3.5</v>
      </c>
      <c r="I24" s="27">
        <f t="shared" si="0"/>
        <v>1.201135244396704E-2</v>
      </c>
    </row>
    <row r="25" spans="6:9">
      <c r="F25" t="s">
        <v>405</v>
      </c>
      <c r="G25" t="s">
        <v>150</v>
      </c>
      <c r="H25">
        <v>37.299999999999997</v>
      </c>
      <c r="I25" s="27">
        <f t="shared" si="0"/>
        <v>0.12800669890284871</v>
      </c>
    </row>
    <row r="26" spans="6:9">
      <c r="F26" t="s">
        <v>406</v>
      </c>
      <c r="G26" t="s">
        <v>150</v>
      </c>
      <c r="H26">
        <v>0</v>
      </c>
      <c r="I26" s="27">
        <f t="shared" si="0"/>
        <v>0</v>
      </c>
    </row>
    <row r="27" spans="6:9">
      <c r="F27" t="s">
        <v>407</v>
      </c>
      <c r="G27" t="s">
        <v>149</v>
      </c>
      <c r="H27">
        <v>51.4</v>
      </c>
      <c r="I27" s="27">
        <f t="shared" si="0"/>
        <v>0.17639529017711594</v>
      </c>
    </row>
    <row r="28" spans="6:9">
      <c r="F28" t="s">
        <v>408</v>
      </c>
      <c r="G28" t="s">
        <v>150</v>
      </c>
      <c r="H28">
        <v>361.3</v>
      </c>
      <c r="I28" s="27">
        <f t="shared" si="0"/>
        <v>1.2399147537157975</v>
      </c>
    </row>
    <row r="29" spans="6:9">
      <c r="F29" t="s">
        <v>409</v>
      </c>
      <c r="G29" t="s">
        <v>285</v>
      </c>
      <c r="H29">
        <v>604.5</v>
      </c>
      <c r="I29" s="27">
        <f t="shared" si="0"/>
        <v>2.0745321578223073</v>
      </c>
    </row>
    <row r="30" spans="6:9">
      <c r="F30" t="s">
        <v>164</v>
      </c>
      <c r="G30" t="s">
        <v>150</v>
      </c>
      <c r="H30">
        <v>354</v>
      </c>
      <c r="I30" s="27">
        <f t="shared" si="0"/>
        <v>1.2148625043326664</v>
      </c>
    </row>
    <row r="31" spans="6:9">
      <c r="F31" t="s">
        <v>410</v>
      </c>
      <c r="G31" t="s">
        <v>150</v>
      </c>
      <c r="H31">
        <v>54.4</v>
      </c>
      <c r="I31" s="27">
        <f t="shared" si="0"/>
        <v>0.18669073512908768</v>
      </c>
    </row>
    <row r="32" spans="6:9">
      <c r="F32" t="s">
        <v>167</v>
      </c>
      <c r="G32" t="s">
        <v>151</v>
      </c>
      <c r="H32">
        <v>2206.4</v>
      </c>
      <c r="I32" s="27">
        <f t="shared" si="0"/>
        <v>7.5719565806768223</v>
      </c>
    </row>
    <row r="33" spans="6:9">
      <c r="F33" t="s">
        <v>411</v>
      </c>
      <c r="G33" t="s">
        <v>152</v>
      </c>
      <c r="H33">
        <v>420</v>
      </c>
      <c r="I33" s="27">
        <f t="shared" si="0"/>
        <v>1.4413622932760448</v>
      </c>
    </row>
    <row r="34" spans="6:9">
      <c r="F34" t="s">
        <v>412</v>
      </c>
      <c r="G34" t="s">
        <v>152</v>
      </c>
      <c r="H34">
        <v>0</v>
      </c>
      <c r="I34" s="27">
        <f t="shared" si="0"/>
        <v>0</v>
      </c>
    </row>
    <row r="35" spans="6:9">
      <c r="F35" t="s">
        <v>413</v>
      </c>
      <c r="G35" t="s">
        <v>149</v>
      </c>
      <c r="H35">
        <v>0</v>
      </c>
      <c r="I35" s="27">
        <f t="shared" si="0"/>
        <v>0</v>
      </c>
    </row>
    <row r="36" spans="6:9">
      <c r="F36" t="s">
        <v>416</v>
      </c>
      <c r="H36">
        <f>SUM(H2:H35)</f>
        <v>29139.100000000002</v>
      </c>
      <c r="I36" s="27">
        <f t="shared" si="0"/>
        <v>100</v>
      </c>
    </row>
    <row r="37" spans="6:9">
      <c r="F37" t="s">
        <v>414</v>
      </c>
      <c r="H37">
        <v>27850.6</v>
      </c>
      <c r="I37" s="27">
        <f t="shared" si="0"/>
        <v>95.578106393128124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89FF-7497-432D-97CC-108BDD073272}">
  <dimension ref="A1:Q108"/>
  <sheetViews>
    <sheetView topLeftCell="A8" workbookViewId="0">
      <selection activeCell="A19" sqref="A19"/>
    </sheetView>
  </sheetViews>
  <sheetFormatPr defaultRowHeight="14.4"/>
  <cols>
    <col min="1" max="1" width="33" customWidth="1"/>
    <col min="3" max="3" width="9.109375" customWidth="1"/>
    <col min="4" max="4" width="16.21875" customWidth="1"/>
    <col min="5" max="5" width="15.5546875" customWidth="1"/>
    <col min="7" max="7" width="13" customWidth="1"/>
    <col min="8" max="8" width="14.88671875" customWidth="1"/>
    <col min="9" max="9" width="14.109375" customWidth="1"/>
    <col min="10" max="10" width="17.77734375" customWidth="1"/>
    <col min="11" max="11" width="18.33203125" customWidth="1"/>
    <col min="12" max="12" width="11.88671875" customWidth="1"/>
    <col min="13" max="13" width="19" customWidth="1"/>
  </cols>
  <sheetData>
    <row r="1" spans="1:13">
      <c r="A1" t="s">
        <v>16</v>
      </c>
      <c r="B1" t="s">
        <v>87</v>
      </c>
      <c r="C1" t="s">
        <v>88</v>
      </c>
      <c r="D1" s="2" t="s">
        <v>239</v>
      </c>
      <c r="E1" s="2" t="s">
        <v>240</v>
      </c>
      <c r="F1" s="2" t="s">
        <v>241</v>
      </c>
      <c r="G1" s="2" t="s">
        <v>242</v>
      </c>
      <c r="H1" s="2" t="s">
        <v>243</v>
      </c>
      <c r="I1" s="2" t="s">
        <v>244</v>
      </c>
      <c r="J1" s="2" t="s">
        <v>245</v>
      </c>
      <c r="K1" s="2" t="s">
        <v>246</v>
      </c>
      <c r="L1" s="2" t="s">
        <v>247</v>
      </c>
      <c r="M1" s="2" t="s">
        <v>248</v>
      </c>
    </row>
    <row r="2" spans="1:13">
      <c r="A2" t="s">
        <v>20</v>
      </c>
      <c r="D2" s="1">
        <v>6.2197891000000005E-5</v>
      </c>
      <c r="E2">
        <v>233.07203000000001</v>
      </c>
      <c r="F2">
        <v>49.980873000000003</v>
      </c>
      <c r="G2">
        <v>10.955062</v>
      </c>
      <c r="H2">
        <v>30.027225000000001</v>
      </c>
      <c r="I2">
        <v>2.5578173999999998E-4</v>
      </c>
      <c r="J2">
        <v>7.2161405E-3</v>
      </c>
      <c r="K2">
        <v>1.6400478999999999</v>
      </c>
      <c r="L2">
        <v>159668.65</v>
      </c>
      <c r="M2">
        <v>312.72933</v>
      </c>
    </row>
    <row r="3" spans="1:13">
      <c r="A3" t="s">
        <v>223</v>
      </c>
      <c r="B3" s="3" t="str">
        <f t="shared" ref="B3:B10" si="0">IF(ISNUMBER(SEARCH("GLO",A3)),"GLO",IF(ISNUMBER(SEARCH("RER",A3)),"RER",IF(ISNUMBER(SEARCH("RoW",A3)),"RoW",IF(ISNUMBER(SEARCH("RLA",A3)),"RLA",IF(ISNUMBER(SEARCH("RNA",A3)),"RNA",IF(ISNUMBER(SEARCH("AU",A3)),"AU",IF(ISNUMBER(SEARCH("{RAS}",A3)),"RAS",IF(ISNUMBER(SEARCH("{SE}",A3)),"Sweden","Switzerland"))))))))</f>
        <v>RoW</v>
      </c>
      <c r="C3" t="s">
        <v>89</v>
      </c>
      <c r="D3" s="1">
        <v>2.3723340000000001E-7</v>
      </c>
      <c r="E3">
        <v>5.7959592999999998</v>
      </c>
      <c r="F3">
        <v>0.68842020000000004</v>
      </c>
      <c r="G3">
        <v>5.3611263999999999E-2</v>
      </c>
      <c r="H3">
        <v>6.9784882000000006E-2</v>
      </c>
      <c r="I3" s="1">
        <v>7.2147792999999998E-7</v>
      </c>
      <c r="J3" s="1">
        <v>5.2139409000000002E-5</v>
      </c>
      <c r="K3">
        <v>1.1148079E-2</v>
      </c>
      <c r="L3">
        <v>323.05282</v>
      </c>
      <c r="M3">
        <v>4.1039997000000001</v>
      </c>
    </row>
    <row r="4" spans="1:13">
      <c r="A4" t="s">
        <v>232</v>
      </c>
      <c r="B4" s="3" t="str">
        <f t="shared" si="0"/>
        <v>GLO</v>
      </c>
      <c r="C4" t="s">
        <v>89</v>
      </c>
      <c r="D4" s="1">
        <v>-1.1675874E-7</v>
      </c>
      <c r="E4">
        <v>5.0841571000000002E-2</v>
      </c>
      <c r="F4">
        <v>-0.26655701999999998</v>
      </c>
      <c r="G4">
        <v>1.9049633E-2</v>
      </c>
      <c r="H4">
        <v>4.9780835000000002E-2</v>
      </c>
      <c r="I4" s="1">
        <v>7.1875699999999998E-7</v>
      </c>
      <c r="J4" s="1">
        <v>2.5348533E-5</v>
      </c>
      <c r="K4">
        <v>3.0255491999999998E-3</v>
      </c>
      <c r="L4">
        <v>277.28082000000001</v>
      </c>
      <c r="M4">
        <v>-1.3542015999999999</v>
      </c>
    </row>
    <row r="5" spans="1:13">
      <c r="A5" t="s">
        <v>233</v>
      </c>
      <c r="B5" s="3" t="str">
        <f t="shared" si="0"/>
        <v>RoW</v>
      </c>
      <c r="C5" t="s">
        <v>89</v>
      </c>
      <c r="D5" s="1">
        <v>1.6390939999999999E-6</v>
      </c>
      <c r="E5">
        <v>19.279285000000002</v>
      </c>
      <c r="F5">
        <v>3.3981854999999999</v>
      </c>
      <c r="G5">
        <v>0.43846974</v>
      </c>
      <c r="H5">
        <v>9.5376854999999996E-2</v>
      </c>
      <c r="I5" s="1">
        <v>2.5508445999999998E-6</v>
      </c>
      <c r="J5" s="1">
        <v>6.8741872000000003E-6</v>
      </c>
      <c r="K5">
        <v>0.11235368</v>
      </c>
      <c r="L5">
        <v>200.19631000000001</v>
      </c>
      <c r="M5">
        <v>19.845780999999999</v>
      </c>
    </row>
    <row r="6" spans="1:13">
      <c r="A6" t="s">
        <v>234</v>
      </c>
      <c r="B6" s="3" t="str">
        <f t="shared" si="0"/>
        <v>GLO</v>
      </c>
      <c r="C6" t="s">
        <v>89</v>
      </c>
      <c r="D6" s="1">
        <v>1.2494649999999999E-6</v>
      </c>
      <c r="E6">
        <v>11.799443999999999</v>
      </c>
      <c r="F6">
        <v>2.0198100999999999</v>
      </c>
      <c r="G6">
        <v>1.4584900000000001</v>
      </c>
      <c r="H6">
        <v>-3.0883989000000001E-2</v>
      </c>
      <c r="I6" s="1">
        <v>-4.9465440999999998E-8</v>
      </c>
      <c r="J6" s="1">
        <v>-2.5495623E-5</v>
      </c>
      <c r="K6">
        <v>0.10846288</v>
      </c>
      <c r="L6">
        <v>-379.37504999999999</v>
      </c>
      <c r="M6">
        <v>13.24873</v>
      </c>
    </row>
    <row r="7" spans="1:13">
      <c r="A7" t="s">
        <v>235</v>
      </c>
      <c r="B7" s="3" t="str">
        <f t="shared" si="0"/>
        <v>RoW</v>
      </c>
      <c r="C7" t="s">
        <v>89</v>
      </c>
      <c r="D7" s="1">
        <v>7.5077354999999995E-7</v>
      </c>
      <c r="E7">
        <v>19.603431</v>
      </c>
      <c r="F7">
        <v>1.2210733</v>
      </c>
      <c r="G7">
        <v>0.10957376000000001</v>
      </c>
      <c r="H7">
        <v>6.0039539000000003E-2</v>
      </c>
      <c r="I7" s="1">
        <v>5.5254996000000001E-6</v>
      </c>
      <c r="J7" s="1">
        <v>5.6278162E-6</v>
      </c>
      <c r="K7">
        <v>2.2533345999999999E-2</v>
      </c>
      <c r="L7">
        <v>244.82373999999999</v>
      </c>
      <c r="M7">
        <v>10.05335</v>
      </c>
    </row>
    <row r="8" spans="1:13">
      <c r="A8" t="s">
        <v>236</v>
      </c>
      <c r="B8" s="3" t="str">
        <f t="shared" si="0"/>
        <v>RoW</v>
      </c>
      <c r="C8" t="s">
        <v>89</v>
      </c>
      <c r="D8" s="1">
        <v>2.1645896000000001E-7</v>
      </c>
      <c r="E8">
        <v>2.7988978000000002</v>
      </c>
      <c r="F8">
        <v>0.37998180999999998</v>
      </c>
      <c r="G8">
        <v>1.8487587E-2</v>
      </c>
      <c r="H8">
        <v>1.974329E-2</v>
      </c>
      <c r="I8" s="1">
        <v>5.2589912000000002E-5</v>
      </c>
      <c r="J8" s="1">
        <v>1.2754267999999999E-6</v>
      </c>
      <c r="K8">
        <v>1.7140121000000001E-2</v>
      </c>
      <c r="L8">
        <v>747.23929999999996</v>
      </c>
      <c r="M8">
        <v>2.7881824000000002</v>
      </c>
    </row>
    <row r="9" spans="1:13">
      <c r="A9" t="s">
        <v>237</v>
      </c>
      <c r="B9" s="3" t="str">
        <f t="shared" si="0"/>
        <v>GLO</v>
      </c>
      <c r="C9" t="s">
        <v>89</v>
      </c>
      <c r="D9" s="1">
        <v>1.3897742E-8</v>
      </c>
      <c r="E9">
        <v>0.10852069</v>
      </c>
      <c r="F9">
        <v>1.7893592E-2</v>
      </c>
      <c r="G9">
        <v>9.7934444999999998E-4</v>
      </c>
      <c r="H9">
        <v>4.3400178000000002E-4</v>
      </c>
      <c r="I9" s="1">
        <v>6.5204220000000003E-9</v>
      </c>
      <c r="J9" s="1">
        <v>3.0909299000000002E-8</v>
      </c>
      <c r="K9">
        <v>9.5237014999999996E-4</v>
      </c>
      <c r="L9">
        <v>0.80915638999999995</v>
      </c>
      <c r="M9">
        <v>0.13638939999999999</v>
      </c>
    </row>
    <row r="10" spans="1:13">
      <c r="A10" t="s">
        <v>94</v>
      </c>
      <c r="B10" t="str">
        <f t="shared" si="0"/>
        <v>Switzerland</v>
      </c>
      <c r="C10" t="s">
        <v>133</v>
      </c>
      <c r="D10" s="1">
        <v>3.3806248999999998E-7</v>
      </c>
      <c r="E10">
        <v>5.6891892999999998</v>
      </c>
      <c r="F10">
        <v>1.3459513999999999</v>
      </c>
      <c r="G10">
        <v>0.28700102999999999</v>
      </c>
      <c r="H10">
        <v>0.80489054999999998</v>
      </c>
      <c r="I10" s="1">
        <v>6.7100158999999998E-6</v>
      </c>
      <c r="J10">
        <v>2.1083024999999999E-4</v>
      </c>
      <c r="K10">
        <v>4.8772932999999997E-2</v>
      </c>
      <c r="L10">
        <v>4258.9831000000004</v>
      </c>
      <c r="M10">
        <v>4.9901036999999997</v>
      </c>
    </row>
    <row r="11" spans="1:13">
      <c r="A11" t="s">
        <v>95</v>
      </c>
      <c r="B11" t="str">
        <f t="shared" ref="B11:B47" si="1">IF(ISNUMBER(SEARCH("GLO",A11)),"GLO",IF(ISNUMBER(SEARCH("RER",A11)),"RER",IF(ISNUMBER(SEARCH("RoW",A11)),"RoW",IF(ISNUMBER(SEARCH("RLA",A11)),"RLA",IF(ISNUMBER(SEARCH("RNA",A11)),"RNA",IF(ISNUMBER(SEARCH("AU",A11)),"AU",IF(ISNUMBER(SEARCH("{RAS}",A11)),"RAS",IF(ISNUMBER(SEARCH("{SE}",A11)),"Sweden","Switzerland"))))))))</f>
        <v>RoW</v>
      </c>
      <c r="C11" t="s">
        <v>133</v>
      </c>
      <c r="D11" s="1">
        <v>3.4808087999999999E-7</v>
      </c>
      <c r="E11">
        <v>5.7826718000000001</v>
      </c>
      <c r="F11">
        <v>1.3545503000000001</v>
      </c>
      <c r="G11">
        <v>0.28754906000000002</v>
      </c>
      <c r="H11">
        <v>0.80541289999999999</v>
      </c>
      <c r="I11" s="1">
        <v>6.7152788000000001E-6</v>
      </c>
      <c r="J11">
        <v>2.1085411999999999E-4</v>
      </c>
      <c r="K11">
        <v>4.9029010999999997E-2</v>
      </c>
      <c r="L11">
        <v>4258.8593000000001</v>
      </c>
      <c r="M11">
        <v>5.1106175</v>
      </c>
    </row>
    <row r="12" spans="1:13">
      <c r="A12" t="s">
        <v>96</v>
      </c>
      <c r="B12" t="str">
        <f t="shared" si="1"/>
        <v>GLO</v>
      </c>
      <c r="C12" t="s">
        <v>133</v>
      </c>
      <c r="D12" s="1">
        <v>4.4442353999999998E-7</v>
      </c>
      <c r="E12">
        <v>6.2560517000000004</v>
      </c>
      <c r="F12">
        <v>1.7136803</v>
      </c>
      <c r="G12">
        <v>0.38941601999999997</v>
      </c>
      <c r="H12">
        <v>1.0679044</v>
      </c>
      <c r="I12" s="1">
        <v>8.9328945000000004E-6</v>
      </c>
      <c r="J12">
        <v>2.5888696000000001E-4</v>
      </c>
      <c r="K12">
        <v>6.7189201000000004E-2</v>
      </c>
      <c r="L12">
        <v>5647.5388000000003</v>
      </c>
      <c r="M12">
        <v>6.0463939</v>
      </c>
    </row>
    <row r="13" spans="1:13">
      <c r="A13" t="s">
        <v>97</v>
      </c>
      <c r="B13" t="str">
        <f t="shared" si="1"/>
        <v>GLO</v>
      </c>
      <c r="C13" t="s">
        <v>133</v>
      </c>
      <c r="D13" s="1">
        <v>3.5230546E-7</v>
      </c>
      <c r="E13">
        <v>5.4718204999999998</v>
      </c>
      <c r="F13">
        <v>1.6016378</v>
      </c>
      <c r="G13">
        <v>0.38268719000000001</v>
      </c>
      <c r="H13">
        <v>1.1084166</v>
      </c>
      <c r="I13" s="1">
        <v>9.1790323000000004E-6</v>
      </c>
      <c r="J13">
        <v>2.6956780999999998E-4</v>
      </c>
      <c r="K13">
        <v>6.4231156999999997E-2</v>
      </c>
      <c r="L13">
        <v>5877.8442999999997</v>
      </c>
      <c r="M13">
        <v>5.0262830000000003</v>
      </c>
    </row>
    <row r="14" spans="1:13">
      <c r="A14" t="s">
        <v>98</v>
      </c>
      <c r="B14" t="str">
        <f t="shared" si="1"/>
        <v>Switzerland</v>
      </c>
      <c r="C14" t="s">
        <v>133</v>
      </c>
      <c r="D14" s="1">
        <v>3.3608938000000001E-7</v>
      </c>
      <c r="E14">
        <v>5.6805227</v>
      </c>
      <c r="F14">
        <v>1.3452955</v>
      </c>
      <c r="G14">
        <v>0.28696828000000002</v>
      </c>
      <c r="H14">
        <v>0.80486811000000003</v>
      </c>
      <c r="I14" s="1">
        <v>6.7096260000000004E-6</v>
      </c>
      <c r="J14">
        <v>2.1082768000000001E-4</v>
      </c>
      <c r="K14">
        <v>4.8765409000000003E-2</v>
      </c>
      <c r="L14">
        <v>4258.9295000000002</v>
      </c>
      <c r="M14">
        <v>4.9727553000000002</v>
      </c>
    </row>
    <row r="15" spans="1:13">
      <c r="A15" t="s">
        <v>99</v>
      </c>
      <c r="B15" t="str">
        <f t="shared" si="1"/>
        <v>RoW</v>
      </c>
      <c r="C15" t="s">
        <v>133</v>
      </c>
      <c r="D15" s="1">
        <v>3.3296625999999998E-7</v>
      </c>
      <c r="E15">
        <v>5.7110856999999999</v>
      </c>
      <c r="F15">
        <v>1.3456644</v>
      </c>
      <c r="G15">
        <v>0.28714190000000001</v>
      </c>
      <c r="H15">
        <v>0.80521880999999995</v>
      </c>
      <c r="I15" s="1">
        <v>6.7119191000000003E-6</v>
      </c>
      <c r="J15">
        <v>2.1083536000000001E-4</v>
      </c>
      <c r="K15">
        <v>4.8936596999999998E-2</v>
      </c>
      <c r="L15">
        <v>4258.4283999999998</v>
      </c>
      <c r="M15">
        <v>4.9721681999999996</v>
      </c>
    </row>
    <row r="16" spans="1:13">
      <c r="A16" t="s">
        <v>100</v>
      </c>
      <c r="B16" t="str">
        <f t="shared" si="1"/>
        <v>Switzerland</v>
      </c>
      <c r="C16" t="s">
        <v>133</v>
      </c>
      <c r="D16" s="1">
        <v>4.3251168999999999E-7</v>
      </c>
      <c r="E16">
        <v>6.1534081</v>
      </c>
      <c r="F16">
        <v>1.7044225</v>
      </c>
      <c r="G16">
        <v>0.38883308999999999</v>
      </c>
      <c r="H16">
        <v>1.0673558000000001</v>
      </c>
      <c r="I16" s="1">
        <v>8.9271979999999994E-6</v>
      </c>
      <c r="J16">
        <v>2.5886044E-4</v>
      </c>
      <c r="K16">
        <v>6.6928961999999995E-2</v>
      </c>
      <c r="L16">
        <v>5647.6224000000002</v>
      </c>
      <c r="M16">
        <v>5.9088965</v>
      </c>
    </row>
    <row r="17" spans="1:13">
      <c r="A17" t="s">
        <v>101</v>
      </c>
      <c r="B17" t="str">
        <f t="shared" si="1"/>
        <v>AU</v>
      </c>
      <c r="C17" t="s">
        <v>133</v>
      </c>
      <c r="D17" s="1">
        <v>2.0045044999999999E-7</v>
      </c>
      <c r="E17">
        <v>3.6012786999999999</v>
      </c>
      <c r="F17">
        <v>0.90297583999999997</v>
      </c>
      <c r="G17">
        <v>1.2285759000000001</v>
      </c>
      <c r="H17">
        <v>0.56849844999999999</v>
      </c>
      <c r="I17" s="1">
        <v>5.2278331000000004E-6</v>
      </c>
      <c r="J17">
        <v>1.8648549000000001E-4</v>
      </c>
      <c r="K17">
        <v>9.3625981999999996E-2</v>
      </c>
      <c r="L17">
        <v>3140.8161</v>
      </c>
      <c r="M17">
        <v>2.4711818999999999</v>
      </c>
    </row>
    <row r="18" spans="1:13">
      <c r="A18" t="s">
        <v>102</v>
      </c>
      <c r="B18" t="str">
        <f t="shared" si="1"/>
        <v>AU</v>
      </c>
      <c r="C18" t="s">
        <v>133</v>
      </c>
      <c r="D18" s="1">
        <v>2.2079172E-7</v>
      </c>
      <c r="E18">
        <v>4.1903205999999997</v>
      </c>
      <c r="F18">
        <v>1.1114596999999999</v>
      </c>
      <c r="G18">
        <v>1.2362987999999999</v>
      </c>
      <c r="H18">
        <v>0.70117238000000004</v>
      </c>
      <c r="I18" s="1">
        <v>6.2751825000000001E-6</v>
      </c>
      <c r="J18">
        <v>2.1413307E-4</v>
      </c>
      <c r="K18">
        <v>0.10734339</v>
      </c>
      <c r="L18">
        <v>3819.9047999999998</v>
      </c>
      <c r="M18">
        <v>3.6320815999999998</v>
      </c>
    </row>
    <row r="19" spans="1:13">
      <c r="A19" t="s">
        <v>103</v>
      </c>
      <c r="B19" t="str">
        <f t="shared" si="1"/>
        <v>GLO</v>
      </c>
      <c r="C19" t="s">
        <v>90</v>
      </c>
      <c r="D19" s="1">
        <v>1.2570052000000001E-5</v>
      </c>
      <c r="E19">
        <v>14.245304000000001</v>
      </c>
      <c r="F19">
        <v>0.70505773000000005</v>
      </c>
      <c r="G19">
        <v>7.3756846000000001E-2</v>
      </c>
      <c r="H19">
        <v>3.6837199000000001E-2</v>
      </c>
      <c r="I19" s="1">
        <v>1.4610084000000001E-6</v>
      </c>
      <c r="J19" s="1">
        <v>6.7487653000000004E-6</v>
      </c>
      <c r="K19">
        <v>9.4089450999999998E-3</v>
      </c>
      <c r="L19">
        <v>248.41084000000001</v>
      </c>
      <c r="M19">
        <v>35.834510000000002</v>
      </c>
    </row>
    <row r="20" spans="1:13">
      <c r="A20" t="s">
        <v>104</v>
      </c>
      <c r="B20" t="str">
        <f t="shared" si="1"/>
        <v>RAS</v>
      </c>
      <c r="C20" t="s">
        <v>133</v>
      </c>
      <c r="D20" s="1">
        <v>3.4607671000000002E-7</v>
      </c>
      <c r="E20">
        <v>5.7959807999999997</v>
      </c>
      <c r="F20">
        <v>1.9683385</v>
      </c>
      <c r="G20">
        <v>0.67496347000000001</v>
      </c>
      <c r="H20">
        <v>1.4495716999999999</v>
      </c>
      <c r="I20" s="1">
        <v>1.2487007999999999E-5</v>
      </c>
      <c r="J20">
        <v>3.8741767000000001E-4</v>
      </c>
      <c r="K20">
        <v>0.10059669</v>
      </c>
      <c r="L20">
        <v>7967.0382</v>
      </c>
      <c r="M20">
        <v>4.3826792000000001</v>
      </c>
    </row>
    <row r="21" spans="1:13">
      <c r="A21" t="s">
        <v>105</v>
      </c>
      <c r="B21" t="str">
        <f t="shared" si="1"/>
        <v>RAS</v>
      </c>
      <c r="C21" t="s">
        <v>133</v>
      </c>
      <c r="D21" s="1">
        <v>4.5054773999999998E-7</v>
      </c>
      <c r="E21">
        <v>7.6047444000000004</v>
      </c>
      <c r="F21">
        <v>2.5455939000000001</v>
      </c>
      <c r="G21">
        <v>0.69954651000000001</v>
      </c>
      <c r="H21">
        <v>1.9013674</v>
      </c>
      <c r="I21" s="1">
        <v>1.6083459000000001E-5</v>
      </c>
      <c r="J21">
        <v>4.8290973000000002E-4</v>
      </c>
      <c r="K21">
        <v>0.12835350000000001</v>
      </c>
      <c r="L21">
        <v>10323.921</v>
      </c>
      <c r="M21">
        <v>6.6519611000000003</v>
      </c>
    </row>
    <row r="22" spans="1:13">
      <c r="A22" t="s">
        <v>106</v>
      </c>
      <c r="B22" t="str">
        <f t="shared" si="1"/>
        <v>RER</v>
      </c>
      <c r="C22" t="s">
        <v>133</v>
      </c>
      <c r="D22" s="1">
        <v>2.2986644999999999E-7</v>
      </c>
      <c r="E22">
        <v>1.7984848</v>
      </c>
      <c r="F22">
        <v>0.42909553</v>
      </c>
      <c r="G22">
        <v>5.8398825000000001E-2</v>
      </c>
      <c r="H22">
        <v>0.39192128999999998</v>
      </c>
      <c r="I22" s="1">
        <v>1.5434549E-6</v>
      </c>
      <c r="J22" s="1">
        <v>4.0979819000000002E-5</v>
      </c>
      <c r="K22">
        <v>1.5378186E-2</v>
      </c>
      <c r="L22">
        <v>914.62603000000001</v>
      </c>
      <c r="M22">
        <v>2.1677119</v>
      </c>
    </row>
    <row r="23" spans="1:13">
      <c r="A23" t="s">
        <v>107</v>
      </c>
      <c r="B23" t="str">
        <f t="shared" si="1"/>
        <v>RER</v>
      </c>
      <c r="C23" t="s">
        <v>133</v>
      </c>
      <c r="D23" s="1">
        <v>2.6448216E-7</v>
      </c>
      <c r="E23">
        <v>2.9046623</v>
      </c>
      <c r="F23">
        <v>0.61138806000000001</v>
      </c>
      <c r="G23">
        <v>6.7265631000000006E-2</v>
      </c>
      <c r="H23">
        <v>0.45965252000000001</v>
      </c>
      <c r="I23" s="1">
        <v>2.1083945999999999E-6</v>
      </c>
      <c r="J23" s="1">
        <v>5.4306435000000001E-5</v>
      </c>
      <c r="K23">
        <v>2.2721551E-2</v>
      </c>
      <c r="L23">
        <v>1236.0084999999999</v>
      </c>
      <c r="M23">
        <v>3.5670384999999998</v>
      </c>
    </row>
    <row r="24" spans="1:13">
      <c r="A24" t="s">
        <v>108</v>
      </c>
      <c r="B24" t="str">
        <f t="shared" si="1"/>
        <v>RER</v>
      </c>
      <c r="C24" t="s">
        <v>134</v>
      </c>
      <c r="D24" s="1">
        <v>9.8416131999999995E-6</v>
      </c>
      <c r="E24">
        <v>19.188264</v>
      </c>
      <c r="F24">
        <v>1.5029169</v>
      </c>
      <c r="G24">
        <v>0.14425428000000001</v>
      </c>
      <c r="H24">
        <v>5.8901321999999999E-2</v>
      </c>
      <c r="I24" s="1">
        <v>2.2739620999999999E-6</v>
      </c>
      <c r="J24" s="1">
        <v>8.6376072000000008E-6</v>
      </c>
      <c r="K24">
        <v>1.7960935000000001E-2</v>
      </c>
      <c r="L24">
        <v>385.94387</v>
      </c>
      <c r="M24">
        <v>39.339587999999999</v>
      </c>
    </row>
    <row r="25" spans="1:13">
      <c r="A25" t="s">
        <v>109</v>
      </c>
      <c r="B25" t="str">
        <f t="shared" si="1"/>
        <v>RLA</v>
      </c>
      <c r="C25" t="s">
        <v>133</v>
      </c>
      <c r="D25" s="1">
        <v>2.7421747999999999E-7</v>
      </c>
      <c r="E25">
        <v>3.6296458999999999</v>
      </c>
      <c r="F25">
        <v>1.1893365</v>
      </c>
      <c r="G25">
        <v>0.38837705</v>
      </c>
      <c r="H25">
        <v>1.0931092</v>
      </c>
      <c r="I25" s="1">
        <v>9.3450102E-6</v>
      </c>
      <c r="J25">
        <v>2.9688841999999998E-4</v>
      </c>
      <c r="K25">
        <v>4.5099886999999998E-2</v>
      </c>
      <c r="L25">
        <v>6020.8545000000004</v>
      </c>
      <c r="M25">
        <v>3.1018186999999999</v>
      </c>
    </row>
    <row r="26" spans="1:13">
      <c r="A26" t="s">
        <v>110</v>
      </c>
      <c r="B26" t="str">
        <f t="shared" si="1"/>
        <v>RLA</v>
      </c>
      <c r="C26" t="s">
        <v>133</v>
      </c>
      <c r="D26" s="1">
        <v>2.5960973999999999E-7</v>
      </c>
      <c r="E26">
        <v>4.5946606000000001</v>
      </c>
      <c r="F26">
        <v>1.4285068999999999</v>
      </c>
      <c r="G26">
        <v>0.39717418999999998</v>
      </c>
      <c r="H26">
        <v>1.3423314</v>
      </c>
      <c r="I26" s="1">
        <v>1.1299493999999999E-5</v>
      </c>
      <c r="J26">
        <v>3.4840666999999998E-4</v>
      </c>
      <c r="K26">
        <v>6.0236155999999999E-2</v>
      </c>
      <c r="L26">
        <v>7289.9903999999997</v>
      </c>
      <c r="M26">
        <v>3.9384256</v>
      </c>
    </row>
    <row r="27" spans="1:13">
      <c r="A27" t="s">
        <v>111</v>
      </c>
      <c r="B27" t="str">
        <f t="shared" si="1"/>
        <v>RNA</v>
      </c>
      <c r="C27" t="s">
        <v>133</v>
      </c>
      <c r="D27" s="1">
        <v>6.9738493999999999E-7</v>
      </c>
      <c r="E27">
        <v>5.4594566000000002</v>
      </c>
      <c r="F27">
        <v>1.8195467999999999</v>
      </c>
      <c r="G27">
        <v>0.41701192999999998</v>
      </c>
      <c r="H27">
        <v>1.6676105000000001</v>
      </c>
      <c r="I27" s="1">
        <v>1.3720949999999999E-5</v>
      </c>
      <c r="J27">
        <v>3.6787507999999999E-4</v>
      </c>
      <c r="K27">
        <v>6.8628562000000004E-2</v>
      </c>
      <c r="L27">
        <v>9030.0344999999998</v>
      </c>
      <c r="M27">
        <v>6.1876502999999996</v>
      </c>
    </row>
    <row r="28" spans="1:13">
      <c r="A28" t="s">
        <v>112</v>
      </c>
      <c r="B28" t="str">
        <f t="shared" si="1"/>
        <v>RNA</v>
      </c>
      <c r="C28" t="s">
        <v>133</v>
      </c>
      <c r="D28" s="1">
        <v>6.5686866999999997E-7</v>
      </c>
      <c r="E28">
        <v>5.8913487</v>
      </c>
      <c r="F28">
        <v>2.2152124999999998</v>
      </c>
      <c r="G28">
        <v>0.42920072999999997</v>
      </c>
      <c r="H28">
        <v>2.0668601</v>
      </c>
      <c r="I28" s="1">
        <v>1.6848333999999999E-5</v>
      </c>
      <c r="J28">
        <v>4.5557136999999998E-4</v>
      </c>
      <c r="K28">
        <v>8.3357070000000005E-2</v>
      </c>
      <c r="L28">
        <v>11203.295</v>
      </c>
      <c r="M28">
        <v>7.1267469999999999</v>
      </c>
    </row>
    <row r="29" spans="1:13">
      <c r="A29" t="s">
        <v>113</v>
      </c>
      <c r="B29" t="str">
        <f t="shared" si="1"/>
        <v>RoW</v>
      </c>
      <c r="C29" t="s">
        <v>132</v>
      </c>
      <c r="D29" s="1">
        <v>4.7195411000000002E-7</v>
      </c>
      <c r="E29">
        <v>6.7845966999999998</v>
      </c>
      <c r="F29">
        <v>1.44895</v>
      </c>
      <c r="G29">
        <v>7.5987811000000002E-2</v>
      </c>
      <c r="H29">
        <v>4.4469621000000001E-2</v>
      </c>
      <c r="I29" s="1">
        <v>5.1188156999999998E-7</v>
      </c>
      <c r="J29" s="1">
        <v>7.2706518000000002E-6</v>
      </c>
      <c r="K29">
        <v>1.0768405E-2</v>
      </c>
      <c r="L29">
        <v>134.7199</v>
      </c>
      <c r="M29">
        <v>4.6963565999999997</v>
      </c>
    </row>
    <row r="30" spans="1:13">
      <c r="A30" t="s">
        <v>114</v>
      </c>
      <c r="B30" t="str">
        <f t="shared" si="1"/>
        <v>RoW</v>
      </c>
      <c r="C30" t="s">
        <v>132</v>
      </c>
      <c r="D30" s="1">
        <v>1.6536204999999999E-7</v>
      </c>
      <c r="E30">
        <v>4.6641094000000001</v>
      </c>
      <c r="F30">
        <v>1.1473689</v>
      </c>
      <c r="G30">
        <v>5.450004E-2</v>
      </c>
      <c r="H30">
        <v>-1.5190848999999999E-2</v>
      </c>
      <c r="I30" s="1">
        <v>-3.4337451E-8</v>
      </c>
      <c r="J30" s="1">
        <v>-1.5151093000000001E-5</v>
      </c>
      <c r="K30">
        <v>1.3411657E-2</v>
      </c>
      <c r="L30">
        <v>-222.14624000000001</v>
      </c>
      <c r="M30">
        <v>2.8043906000000001</v>
      </c>
    </row>
    <row r="31" spans="1:13">
      <c r="A31" t="s">
        <v>115</v>
      </c>
      <c r="B31" t="str">
        <f t="shared" si="1"/>
        <v>RoW</v>
      </c>
      <c r="C31" t="s">
        <v>133</v>
      </c>
      <c r="D31" s="1">
        <v>3.6218783999999999E-7</v>
      </c>
      <c r="E31">
        <v>4.9575035999999999</v>
      </c>
      <c r="F31">
        <v>1.2241533</v>
      </c>
      <c r="G31">
        <v>0.48034918999999998</v>
      </c>
      <c r="H31">
        <v>1.0667457</v>
      </c>
      <c r="I31" s="1">
        <v>9.2165346999999999E-6</v>
      </c>
      <c r="J31">
        <v>2.9593239000000001E-4</v>
      </c>
      <c r="K31">
        <v>5.7730547E-2</v>
      </c>
      <c r="L31">
        <v>5864.2936</v>
      </c>
      <c r="M31">
        <v>4.5971206000000002</v>
      </c>
    </row>
    <row r="32" spans="1:13">
      <c r="A32" t="s">
        <v>116</v>
      </c>
      <c r="B32" t="str">
        <f t="shared" si="1"/>
        <v>RoW</v>
      </c>
      <c r="C32" t="s">
        <v>133</v>
      </c>
      <c r="D32" s="1">
        <v>3.7085823000000001E-7</v>
      </c>
      <c r="E32">
        <v>6.1288115000000003</v>
      </c>
      <c r="F32">
        <v>1.5013293000000001</v>
      </c>
      <c r="G32">
        <v>0.48994281000000001</v>
      </c>
      <c r="H32">
        <v>1.34951</v>
      </c>
      <c r="I32" s="1">
        <v>1.1433946999999999E-5</v>
      </c>
      <c r="J32">
        <v>3.5505667E-4</v>
      </c>
      <c r="K32">
        <v>7.4760297000000003E-2</v>
      </c>
      <c r="L32">
        <v>7323.0109000000002</v>
      </c>
      <c r="M32">
        <v>6.2462412</v>
      </c>
    </row>
    <row r="33" spans="1:13">
      <c r="A33" t="s">
        <v>117</v>
      </c>
      <c r="B33" t="str">
        <f t="shared" si="1"/>
        <v>RoW</v>
      </c>
      <c r="C33" t="s">
        <v>90</v>
      </c>
      <c r="D33" s="1">
        <v>7.6982061999999999E-6</v>
      </c>
      <c r="E33">
        <v>12.267256</v>
      </c>
      <c r="F33">
        <v>0.71484639000000005</v>
      </c>
      <c r="G33">
        <v>7.2236454000000005E-2</v>
      </c>
      <c r="H33">
        <v>0.10105653000000001</v>
      </c>
      <c r="I33" s="1">
        <v>1.8937341999999999E-6</v>
      </c>
      <c r="J33" s="1">
        <v>2.1052204999999998E-5</v>
      </c>
      <c r="K33">
        <v>1.1516139999999999E-2</v>
      </c>
      <c r="L33">
        <v>715.37312999999995</v>
      </c>
      <c r="M33">
        <v>24.412868</v>
      </c>
    </row>
    <row r="34" spans="1:13">
      <c r="A34" t="s">
        <v>118</v>
      </c>
      <c r="B34" t="str">
        <f t="shared" si="1"/>
        <v>RoW</v>
      </c>
      <c r="C34" t="s">
        <v>134</v>
      </c>
      <c r="D34" s="1">
        <v>9.8416131999999995E-6</v>
      </c>
      <c r="E34">
        <v>19.188264</v>
      </c>
      <c r="F34">
        <v>1.5029169</v>
      </c>
      <c r="G34">
        <v>0.14425428000000001</v>
      </c>
      <c r="H34">
        <v>5.8901321999999999E-2</v>
      </c>
      <c r="I34" s="1">
        <v>2.2739620999999999E-6</v>
      </c>
      <c r="J34" s="1">
        <v>8.6376072000000008E-6</v>
      </c>
      <c r="K34">
        <v>1.7960935000000001E-2</v>
      </c>
      <c r="L34">
        <v>385.94387</v>
      </c>
      <c r="M34">
        <v>39.339587999999999</v>
      </c>
    </row>
    <row r="35" spans="1:13">
      <c r="A35" t="s">
        <v>119</v>
      </c>
      <c r="B35" t="str">
        <f t="shared" si="1"/>
        <v>Sweden</v>
      </c>
      <c r="C35" t="s">
        <v>133</v>
      </c>
      <c r="D35" s="1">
        <v>5.5645868999999995E-7</v>
      </c>
      <c r="E35">
        <v>2.2178759000000001</v>
      </c>
      <c r="F35">
        <v>1.2027776999999999</v>
      </c>
      <c r="G35">
        <v>5.5319382E-2</v>
      </c>
      <c r="H35">
        <v>2.6245982000000001E-2</v>
      </c>
      <c r="I35" s="1">
        <v>2.7474272999999999E-7</v>
      </c>
      <c r="J35" s="1">
        <v>6.4606904999999997E-6</v>
      </c>
      <c r="K35">
        <v>3.2342929E-3</v>
      </c>
      <c r="L35">
        <v>113.70945</v>
      </c>
      <c r="M35">
        <v>1.8635788</v>
      </c>
    </row>
    <row r="36" spans="1:13">
      <c r="A36" t="s">
        <v>120</v>
      </c>
      <c r="B36" t="str">
        <f t="shared" si="1"/>
        <v>Sweden</v>
      </c>
      <c r="C36" t="s">
        <v>133</v>
      </c>
      <c r="D36" s="1">
        <v>1.0487671E-7</v>
      </c>
      <c r="E36">
        <v>1.5721527</v>
      </c>
      <c r="F36">
        <v>0.98604172000000001</v>
      </c>
      <c r="G36">
        <v>4.0475034999999999E-2</v>
      </c>
      <c r="H36">
        <v>-3.6785115E-2</v>
      </c>
      <c r="I36" s="1">
        <v>-2.4863099000000001E-7</v>
      </c>
      <c r="J36" s="1">
        <v>-1.569808E-5</v>
      </c>
      <c r="K36">
        <v>-5.6387853999999998E-4</v>
      </c>
      <c r="L36">
        <v>-223.76473999999999</v>
      </c>
      <c r="M36">
        <v>2.2676622000000002</v>
      </c>
    </row>
    <row r="37" spans="1:13">
      <c r="A37" t="s">
        <v>121</v>
      </c>
      <c r="B37" t="str">
        <f t="shared" si="1"/>
        <v>Sweden</v>
      </c>
      <c r="C37" t="s">
        <v>90</v>
      </c>
      <c r="D37" s="1">
        <v>7.6982061999999999E-6</v>
      </c>
      <c r="E37">
        <v>12.267256</v>
      </c>
      <c r="F37">
        <v>0.71484639000000005</v>
      </c>
      <c r="G37">
        <v>7.2236454000000005E-2</v>
      </c>
      <c r="H37">
        <v>0.10105653000000001</v>
      </c>
      <c r="I37" s="1">
        <v>1.8937341999999999E-6</v>
      </c>
      <c r="J37" s="1">
        <v>2.1052204999999998E-5</v>
      </c>
      <c r="K37">
        <v>1.1516139999999999E-2</v>
      </c>
      <c r="L37">
        <v>715.37312999999995</v>
      </c>
      <c r="M37">
        <v>24.412868</v>
      </c>
    </row>
    <row r="38" spans="1:13">
      <c r="A38" t="s">
        <v>122</v>
      </c>
      <c r="B38" t="str">
        <f t="shared" si="1"/>
        <v>AU</v>
      </c>
      <c r="C38" t="s">
        <v>135</v>
      </c>
      <c r="D38" s="1">
        <v>2.7865323999999999E-8</v>
      </c>
      <c r="E38">
        <v>0.48211032999999998</v>
      </c>
      <c r="F38">
        <v>0.19790974</v>
      </c>
      <c r="G38">
        <v>9.5435489000000005E-3</v>
      </c>
      <c r="H38">
        <v>0.13402446000000001</v>
      </c>
      <c r="I38" s="1">
        <v>1.1214071000000001E-6</v>
      </c>
      <c r="J38" s="1">
        <v>2.8961261999999999E-5</v>
      </c>
      <c r="K38">
        <v>6.5721447999999997E-3</v>
      </c>
      <c r="L38">
        <v>716.26445000000001</v>
      </c>
      <c r="M38">
        <v>0.35443918000000002</v>
      </c>
    </row>
    <row r="39" spans="1:13">
      <c r="A39" t="s">
        <v>123</v>
      </c>
      <c r="B39" t="str">
        <f t="shared" si="1"/>
        <v>AU</v>
      </c>
      <c r="C39" t="s">
        <v>135</v>
      </c>
      <c r="D39" s="1">
        <v>3.9254366E-8</v>
      </c>
      <c r="E39">
        <v>0.57212225000000005</v>
      </c>
      <c r="F39">
        <v>0.26209093999999999</v>
      </c>
      <c r="G39">
        <v>1.2094677E-2</v>
      </c>
      <c r="H39">
        <v>0.17404316</v>
      </c>
      <c r="I39" s="1">
        <v>1.4416194999999999E-6</v>
      </c>
      <c r="J39" s="1">
        <v>3.7980956999999997E-5</v>
      </c>
      <c r="K39">
        <v>9.2245130000000002E-3</v>
      </c>
      <c r="L39">
        <v>939.52892999999995</v>
      </c>
      <c r="M39">
        <v>0.61968469000000004</v>
      </c>
    </row>
    <row r="40" spans="1:13">
      <c r="A40" t="s">
        <v>124</v>
      </c>
      <c r="B40" t="str">
        <f t="shared" si="1"/>
        <v>RER</v>
      </c>
      <c r="C40" t="s">
        <v>136</v>
      </c>
      <c r="D40" s="1">
        <v>1.5132226E-7</v>
      </c>
      <c r="E40">
        <v>1.4801660000000001</v>
      </c>
      <c r="F40">
        <v>0.39827464000000001</v>
      </c>
      <c r="G40">
        <v>5.6076748000000003E-2</v>
      </c>
      <c r="H40">
        <v>0.16512441</v>
      </c>
      <c r="I40" s="1">
        <v>1.5033531E-6</v>
      </c>
      <c r="J40" s="1">
        <v>4.0144651000000001E-5</v>
      </c>
      <c r="K40">
        <v>1.4860898000000001E-2</v>
      </c>
      <c r="L40">
        <v>895.95150999999998</v>
      </c>
      <c r="M40">
        <v>1.3007185000000001</v>
      </c>
    </row>
    <row r="41" spans="1:13">
      <c r="A41" t="s">
        <v>125</v>
      </c>
      <c r="B41" t="str">
        <f t="shared" si="1"/>
        <v>RER</v>
      </c>
      <c r="C41" t="s">
        <v>136</v>
      </c>
      <c r="D41" s="1">
        <v>1.4580665999999999E-7</v>
      </c>
      <c r="E41">
        <v>2.3668513</v>
      </c>
      <c r="F41">
        <v>0.57973666999999995</v>
      </c>
      <c r="G41">
        <v>6.4967126E-2</v>
      </c>
      <c r="H41">
        <v>0.23180423</v>
      </c>
      <c r="I41" s="1">
        <v>2.0645136000000001E-6</v>
      </c>
      <c r="J41" s="1">
        <v>5.3286806999999999E-5</v>
      </c>
      <c r="K41">
        <v>2.1998407000000001E-2</v>
      </c>
      <c r="L41">
        <v>1217.0164</v>
      </c>
      <c r="M41">
        <v>2.0063176</v>
      </c>
    </row>
    <row r="42" spans="1:13">
      <c r="A42" t="s">
        <v>126</v>
      </c>
      <c r="B42" t="str">
        <f t="shared" si="1"/>
        <v>RoW</v>
      </c>
      <c r="C42" t="s">
        <v>136</v>
      </c>
      <c r="D42" s="1">
        <v>3.3810635E-7</v>
      </c>
      <c r="E42">
        <v>4.8225271000000003</v>
      </c>
      <c r="F42">
        <v>1.1981272000000001</v>
      </c>
      <c r="G42">
        <v>9.8514727999999996E-2</v>
      </c>
      <c r="H42">
        <v>1.1289180999999999</v>
      </c>
      <c r="I42" s="1">
        <v>9.2759338000000002E-6</v>
      </c>
      <c r="J42">
        <v>2.5052062000000002E-4</v>
      </c>
      <c r="K42">
        <v>4.1541084999999998E-2</v>
      </c>
      <c r="L42">
        <v>6105.9838</v>
      </c>
      <c r="M42">
        <v>4.3160577</v>
      </c>
    </row>
    <row r="43" spans="1:13">
      <c r="A43" t="s">
        <v>127</v>
      </c>
      <c r="B43" t="str">
        <f t="shared" si="1"/>
        <v>RoW</v>
      </c>
      <c r="C43" t="s">
        <v>136</v>
      </c>
      <c r="D43" s="1">
        <v>3.4628645999999998E-7</v>
      </c>
      <c r="E43">
        <v>6.0285934000000001</v>
      </c>
      <c r="F43">
        <v>1.5511273999999999</v>
      </c>
      <c r="G43">
        <v>0.11260518999999999</v>
      </c>
      <c r="H43">
        <v>1.4815628999999999</v>
      </c>
      <c r="I43" s="1">
        <v>1.2063681000000001E-5</v>
      </c>
      <c r="J43">
        <v>3.2500329000000001E-4</v>
      </c>
      <c r="K43">
        <v>6.1282870000000003E-2</v>
      </c>
      <c r="L43">
        <v>7949.8494000000001</v>
      </c>
      <c r="M43">
        <v>5.5777780999999997</v>
      </c>
    </row>
    <row r="44" spans="1:13">
      <c r="A44" t="s">
        <v>128</v>
      </c>
      <c r="B44" t="str">
        <f t="shared" si="1"/>
        <v>GLO</v>
      </c>
      <c r="C44" t="s">
        <v>91</v>
      </c>
      <c r="D44" s="1">
        <v>3.6718009E-6</v>
      </c>
      <c r="E44">
        <v>8.1769122000000003</v>
      </c>
      <c r="F44">
        <v>1.2519369</v>
      </c>
      <c r="G44">
        <v>0.34350099000000001</v>
      </c>
      <c r="H44">
        <v>0.61599954000000001</v>
      </c>
      <c r="I44" s="1">
        <v>5.5613979000000002E-6</v>
      </c>
      <c r="J44">
        <v>1.5507541999999999E-4</v>
      </c>
      <c r="K44">
        <v>4.1422764000000001E-2</v>
      </c>
      <c r="L44">
        <v>3303.9996000000001</v>
      </c>
      <c r="M44">
        <v>13.744953000000001</v>
      </c>
    </row>
    <row r="45" spans="1:13">
      <c r="A45" t="s">
        <v>129</v>
      </c>
      <c r="B45" t="str">
        <f t="shared" si="1"/>
        <v>GLO</v>
      </c>
      <c r="C45" t="s">
        <v>91</v>
      </c>
      <c r="D45" s="1">
        <v>3.5230546E-7</v>
      </c>
      <c r="E45">
        <v>5.4718204999999998</v>
      </c>
      <c r="F45">
        <v>1.6016378</v>
      </c>
      <c r="G45">
        <v>0.38268719000000001</v>
      </c>
      <c r="H45">
        <v>1.1084166</v>
      </c>
      <c r="I45" s="1">
        <v>9.1790323000000004E-6</v>
      </c>
      <c r="J45">
        <v>2.6956780999999998E-4</v>
      </c>
      <c r="K45">
        <v>6.4231156999999997E-2</v>
      </c>
      <c r="L45">
        <v>5877.8442999999997</v>
      </c>
      <c r="M45">
        <v>5.0262830000000003</v>
      </c>
    </row>
    <row r="46" spans="1:13">
      <c r="A46" t="s">
        <v>130</v>
      </c>
      <c r="B46" t="str">
        <f t="shared" si="1"/>
        <v>GLO</v>
      </c>
      <c r="C46" t="s">
        <v>137</v>
      </c>
      <c r="D46" s="1">
        <v>6.9734234999999997E-7</v>
      </c>
      <c r="E46">
        <v>6.9267310000000002</v>
      </c>
      <c r="F46">
        <v>2.8328864</v>
      </c>
      <c r="G46">
        <v>0.13926601</v>
      </c>
      <c r="H46">
        <v>2.0122935000000002</v>
      </c>
      <c r="I46" s="1">
        <v>1.6715667E-5</v>
      </c>
      <c r="J46">
        <v>4.3846199999999998E-4</v>
      </c>
      <c r="K46">
        <v>1.4336434E-2</v>
      </c>
      <c r="L46">
        <v>10873.797</v>
      </c>
      <c r="M46">
        <v>6.6484005000000002</v>
      </c>
    </row>
    <row r="47" spans="1:13">
      <c r="A47" t="s">
        <v>131</v>
      </c>
      <c r="B47" t="str">
        <f t="shared" si="1"/>
        <v>GLO</v>
      </c>
      <c r="C47" t="s">
        <v>137</v>
      </c>
      <c r="D47" s="1">
        <v>5.6167681000000001E-7</v>
      </c>
      <c r="E47">
        <v>7.0474715999999997</v>
      </c>
      <c r="F47">
        <v>2.8232841999999998</v>
      </c>
      <c r="G47">
        <v>0.12608338999999999</v>
      </c>
      <c r="H47">
        <v>2.0771283999999999</v>
      </c>
      <c r="I47" s="1">
        <v>1.7079508E-5</v>
      </c>
      <c r="J47">
        <v>4.5150171999999998E-4</v>
      </c>
      <c r="K47">
        <v>1.7678953000000001E-2</v>
      </c>
      <c r="L47">
        <v>11192.856</v>
      </c>
      <c r="M47">
        <v>7.0654152000000003</v>
      </c>
    </row>
    <row r="52" spans="1:2">
      <c r="A52" t="s">
        <v>0</v>
      </c>
      <c r="B52" t="s">
        <v>1</v>
      </c>
    </row>
    <row r="53" spans="1:2">
      <c r="A53" t="s">
        <v>2</v>
      </c>
      <c r="B53" t="s">
        <v>3</v>
      </c>
    </row>
    <row r="54" spans="1:2">
      <c r="A54" t="s">
        <v>4</v>
      </c>
      <c r="B54" t="s">
        <v>93</v>
      </c>
    </row>
    <row r="55" spans="1:2">
      <c r="A55" t="s">
        <v>6</v>
      </c>
      <c r="B55" t="s">
        <v>7</v>
      </c>
    </row>
    <row r="56" spans="1:2">
      <c r="A56" t="s">
        <v>8</v>
      </c>
      <c r="B56" t="s">
        <v>9</v>
      </c>
    </row>
    <row r="57" spans="1:2">
      <c r="A57" t="s">
        <v>10</v>
      </c>
      <c r="B57" t="s">
        <v>11</v>
      </c>
    </row>
    <row r="58" spans="1:2">
      <c r="A58" t="s">
        <v>12</v>
      </c>
      <c r="B58" t="s">
        <v>13</v>
      </c>
    </row>
    <row r="59" spans="1:2">
      <c r="A59" t="s">
        <v>14</v>
      </c>
      <c r="B59" t="s">
        <v>13</v>
      </c>
    </row>
    <row r="60" spans="1:2">
      <c r="A60" t="s">
        <v>15</v>
      </c>
      <c r="B60" t="s">
        <v>16</v>
      </c>
    </row>
    <row r="61" spans="1:2">
      <c r="A61" t="s">
        <v>17</v>
      </c>
      <c r="B61" t="s">
        <v>18</v>
      </c>
    </row>
    <row r="69" spans="7:8">
      <c r="G69" t="s">
        <v>224</v>
      </c>
    </row>
    <row r="70" spans="7:8">
      <c r="G70" t="s">
        <v>211</v>
      </c>
    </row>
    <row r="71" spans="7:8">
      <c r="G71" t="s">
        <v>225</v>
      </c>
      <c r="H71" t="s">
        <v>222</v>
      </c>
    </row>
    <row r="72" spans="7:8">
      <c r="G72" t="s">
        <v>226</v>
      </c>
      <c r="H72" t="s">
        <v>222</v>
      </c>
    </row>
    <row r="73" spans="7:8">
      <c r="G73" t="s">
        <v>227</v>
      </c>
      <c r="H73" t="s">
        <v>222</v>
      </c>
    </row>
    <row r="74" spans="7:8">
      <c r="G74" t="s">
        <v>228</v>
      </c>
      <c r="H74" t="s">
        <v>222</v>
      </c>
    </row>
    <row r="75" spans="7:8">
      <c r="G75" t="s">
        <v>229</v>
      </c>
      <c r="H75" t="s">
        <v>222</v>
      </c>
    </row>
    <row r="76" spans="7:8">
      <c r="G76" t="s">
        <v>230</v>
      </c>
      <c r="H76" t="s">
        <v>222</v>
      </c>
    </row>
    <row r="77" spans="7:8">
      <c r="G77" t="s">
        <v>231</v>
      </c>
      <c r="H77" t="s">
        <v>222</v>
      </c>
    </row>
    <row r="78" spans="7:8">
      <c r="G78" t="s">
        <v>212</v>
      </c>
    </row>
    <row r="79" spans="7:8">
      <c r="G79" t="s">
        <v>213</v>
      </c>
    </row>
    <row r="80" spans="7:8">
      <c r="G80" t="s">
        <v>214</v>
      </c>
    </row>
    <row r="81" spans="7:15">
      <c r="G81" t="s">
        <v>215</v>
      </c>
    </row>
    <row r="82" spans="7:15">
      <c r="G82" t="s">
        <v>216</v>
      </c>
    </row>
    <row r="83" spans="7:15">
      <c r="G83" t="s">
        <v>217</v>
      </c>
    </row>
    <row r="84" spans="7:15">
      <c r="G84" t="s">
        <v>218</v>
      </c>
    </row>
    <row r="86" spans="7:15">
      <c r="G86" t="s">
        <v>16</v>
      </c>
      <c r="H86" t="s">
        <v>19</v>
      </c>
      <c r="I86" t="s">
        <v>223</v>
      </c>
      <c r="J86" t="s">
        <v>232</v>
      </c>
      <c r="K86" t="s">
        <v>233</v>
      </c>
      <c r="L86" t="s">
        <v>234</v>
      </c>
      <c r="M86" t="s">
        <v>235</v>
      </c>
      <c r="N86" t="s">
        <v>236</v>
      </c>
      <c r="O86" t="s">
        <v>237</v>
      </c>
    </row>
    <row r="87" spans="7:15">
      <c r="G87" t="s">
        <v>68</v>
      </c>
      <c r="H87" t="s">
        <v>69</v>
      </c>
      <c r="I87" s="1">
        <v>2.3723340000000001E-7</v>
      </c>
      <c r="J87" s="1">
        <v>-1.1675874E-7</v>
      </c>
      <c r="K87" s="1">
        <v>1.6390939999999999E-6</v>
      </c>
      <c r="L87" s="1">
        <v>1.2494649999999999E-6</v>
      </c>
      <c r="M87" s="1">
        <v>7.5077354999999995E-7</v>
      </c>
      <c r="N87" s="1">
        <v>2.1645896000000001E-7</v>
      </c>
      <c r="O87" s="1">
        <v>1.3897742E-8</v>
      </c>
    </row>
    <row r="88" spans="7:15">
      <c r="G88" t="s">
        <v>70</v>
      </c>
      <c r="H88" t="s">
        <v>71</v>
      </c>
      <c r="I88">
        <v>5.7959592999999998</v>
      </c>
      <c r="J88">
        <v>5.0841571000000002E-2</v>
      </c>
      <c r="K88">
        <v>19.279285000000002</v>
      </c>
      <c r="L88">
        <v>11.799443999999999</v>
      </c>
      <c r="M88">
        <v>19.603431</v>
      </c>
      <c r="N88">
        <v>2.7988978000000002</v>
      </c>
      <c r="O88">
        <v>0.10852069</v>
      </c>
    </row>
    <row r="89" spans="7:15">
      <c r="G89" t="s">
        <v>72</v>
      </c>
      <c r="H89" t="s">
        <v>73</v>
      </c>
      <c r="I89">
        <v>0.68842020000000004</v>
      </c>
      <c r="J89">
        <v>-0.26655701999999998</v>
      </c>
      <c r="K89">
        <v>3.3981854999999999</v>
      </c>
      <c r="L89">
        <v>2.0198100999999999</v>
      </c>
      <c r="M89">
        <v>1.2210733</v>
      </c>
      <c r="N89">
        <v>0.37998180999999998</v>
      </c>
      <c r="O89">
        <v>1.7893592E-2</v>
      </c>
    </row>
    <row r="90" spans="7:15">
      <c r="G90" t="s">
        <v>74</v>
      </c>
      <c r="H90" t="s">
        <v>75</v>
      </c>
      <c r="I90">
        <v>5.3611263999999999E-2</v>
      </c>
      <c r="J90">
        <v>1.9049633E-2</v>
      </c>
      <c r="K90">
        <v>0.43846974</v>
      </c>
      <c r="L90">
        <v>1.4584900000000001</v>
      </c>
      <c r="M90">
        <v>0.10957376000000001</v>
      </c>
      <c r="N90">
        <v>1.8487587E-2</v>
      </c>
      <c r="O90">
        <v>9.7934444999999998E-4</v>
      </c>
    </row>
    <row r="91" spans="7:15">
      <c r="G91" t="s">
        <v>76</v>
      </c>
      <c r="H91" t="s">
        <v>77</v>
      </c>
      <c r="I91">
        <v>6.9784882000000006E-2</v>
      </c>
      <c r="J91">
        <v>4.9780835000000002E-2</v>
      </c>
      <c r="K91">
        <v>9.5376854999999996E-2</v>
      </c>
      <c r="L91">
        <v>-3.0883989000000001E-2</v>
      </c>
      <c r="M91">
        <v>6.0039539000000003E-2</v>
      </c>
      <c r="N91">
        <v>1.974329E-2</v>
      </c>
      <c r="O91">
        <v>4.3400178000000002E-4</v>
      </c>
    </row>
    <row r="92" spans="7:15">
      <c r="G92" t="s">
        <v>78</v>
      </c>
      <c r="H92" t="s">
        <v>79</v>
      </c>
      <c r="I92" s="1">
        <v>7.2147792999999998E-7</v>
      </c>
      <c r="J92" s="1">
        <v>7.1875699999999998E-7</v>
      </c>
      <c r="K92" s="1">
        <v>2.5508445999999998E-6</v>
      </c>
      <c r="L92" s="1">
        <v>-4.9465440999999998E-8</v>
      </c>
      <c r="M92" s="1">
        <v>5.5254996000000001E-6</v>
      </c>
      <c r="N92" s="1">
        <v>5.2589912000000002E-5</v>
      </c>
      <c r="O92" s="1">
        <v>6.5204220000000003E-9</v>
      </c>
    </row>
    <row r="93" spans="7:15">
      <c r="G93" t="s">
        <v>80</v>
      </c>
      <c r="H93" t="s">
        <v>79</v>
      </c>
      <c r="I93" s="1">
        <v>5.2139409000000002E-5</v>
      </c>
      <c r="J93" s="1">
        <v>2.5348533E-5</v>
      </c>
      <c r="K93" s="1">
        <v>6.8741872000000003E-6</v>
      </c>
      <c r="L93" s="1">
        <v>-2.5495623E-5</v>
      </c>
      <c r="M93" s="1">
        <v>5.6278162E-6</v>
      </c>
      <c r="N93" s="1">
        <v>1.2754267999999999E-6</v>
      </c>
      <c r="O93" s="1">
        <v>3.0909299000000002E-8</v>
      </c>
    </row>
    <row r="94" spans="7:15">
      <c r="G94" t="s">
        <v>81</v>
      </c>
      <c r="H94" t="s">
        <v>82</v>
      </c>
      <c r="I94">
        <v>1.1148079E-2</v>
      </c>
      <c r="J94">
        <v>3.0255491999999998E-3</v>
      </c>
      <c r="K94">
        <v>0.11235368</v>
      </c>
      <c r="L94">
        <v>0.10846288</v>
      </c>
      <c r="M94">
        <v>2.2533345999999999E-2</v>
      </c>
      <c r="N94">
        <v>1.7140121000000001E-2</v>
      </c>
      <c r="O94">
        <v>9.5237014999999996E-4</v>
      </c>
    </row>
    <row r="95" spans="7:15">
      <c r="G95" t="s">
        <v>83</v>
      </c>
      <c r="H95" t="s">
        <v>84</v>
      </c>
      <c r="I95">
        <v>323.05282</v>
      </c>
      <c r="J95">
        <v>277.28082000000001</v>
      </c>
      <c r="K95">
        <v>200.19631000000001</v>
      </c>
      <c r="L95">
        <v>-379.37504999999999</v>
      </c>
      <c r="M95">
        <v>244.82373999999999</v>
      </c>
      <c r="N95">
        <v>747.23929999999996</v>
      </c>
      <c r="O95">
        <v>0.80915638999999995</v>
      </c>
    </row>
    <row r="96" spans="7:15">
      <c r="G96" t="s">
        <v>85</v>
      </c>
      <c r="H96" t="s">
        <v>86</v>
      </c>
      <c r="I96">
        <v>4.1039997000000001</v>
      </c>
      <c r="J96">
        <v>-1.3542015999999999</v>
      </c>
      <c r="K96">
        <v>19.845780999999999</v>
      </c>
      <c r="L96">
        <v>13.24873</v>
      </c>
      <c r="M96">
        <v>10.05335</v>
      </c>
      <c r="N96">
        <v>2.7881824000000002</v>
      </c>
      <c r="O96">
        <v>0.13638939999999999</v>
      </c>
    </row>
    <row r="100" spans="7:17">
      <c r="G100" t="s">
        <v>16</v>
      </c>
      <c r="H100" t="s">
        <v>68</v>
      </c>
      <c r="I100" t="s">
        <v>70</v>
      </c>
      <c r="J100" t="s">
        <v>72</v>
      </c>
      <c r="K100" t="s">
        <v>74</v>
      </c>
      <c r="L100" t="s">
        <v>76</v>
      </c>
      <c r="M100" t="s">
        <v>78</v>
      </c>
      <c r="N100" t="s">
        <v>80</v>
      </c>
      <c r="O100" t="s">
        <v>81</v>
      </c>
      <c r="P100" t="s">
        <v>83</v>
      </c>
      <c r="Q100" t="s">
        <v>85</v>
      </c>
    </row>
    <row r="101" spans="7:17">
      <c r="G101" t="s">
        <v>19</v>
      </c>
      <c r="H101" t="s">
        <v>69</v>
      </c>
      <c r="I101" t="s">
        <v>71</v>
      </c>
      <c r="J101" t="s">
        <v>73</v>
      </c>
      <c r="K101" t="s">
        <v>75</v>
      </c>
      <c r="L101" t="s">
        <v>77</v>
      </c>
      <c r="M101" t="s">
        <v>79</v>
      </c>
      <c r="N101" t="s">
        <v>79</v>
      </c>
      <c r="O101" t="s">
        <v>82</v>
      </c>
      <c r="P101" t="s">
        <v>84</v>
      </c>
      <c r="Q101" t="s">
        <v>86</v>
      </c>
    </row>
    <row r="102" spans="7:17">
      <c r="G102" t="s">
        <v>223</v>
      </c>
      <c r="H102" s="1">
        <v>2.3723340000000001E-7</v>
      </c>
      <c r="I102">
        <v>5.7959592999999998</v>
      </c>
      <c r="J102">
        <v>0.68842020000000004</v>
      </c>
      <c r="K102">
        <v>5.3611263999999999E-2</v>
      </c>
      <c r="L102">
        <v>6.9784882000000006E-2</v>
      </c>
      <c r="M102" s="1">
        <v>7.2147792999999998E-7</v>
      </c>
      <c r="N102" s="1">
        <v>5.2139409000000002E-5</v>
      </c>
      <c r="O102">
        <v>1.1148079E-2</v>
      </c>
      <c r="P102">
        <v>323.05282</v>
      </c>
      <c r="Q102">
        <v>4.1039997000000001</v>
      </c>
    </row>
    <row r="103" spans="7:17">
      <c r="G103" t="s">
        <v>232</v>
      </c>
      <c r="H103" s="1">
        <v>-1.1675874E-7</v>
      </c>
      <c r="I103">
        <v>5.0841571000000002E-2</v>
      </c>
      <c r="J103">
        <v>-0.26655701999999998</v>
      </c>
      <c r="K103">
        <v>1.9049633E-2</v>
      </c>
      <c r="L103">
        <v>4.9780835000000002E-2</v>
      </c>
      <c r="M103" s="1">
        <v>7.1875699999999998E-7</v>
      </c>
      <c r="N103" s="1">
        <v>2.5348533E-5</v>
      </c>
      <c r="O103">
        <v>3.0255491999999998E-3</v>
      </c>
      <c r="P103">
        <v>277.28082000000001</v>
      </c>
      <c r="Q103">
        <v>-1.3542015999999999</v>
      </c>
    </row>
    <row r="104" spans="7:17">
      <c r="G104" t="s">
        <v>233</v>
      </c>
      <c r="H104" s="1">
        <v>1.6390939999999999E-6</v>
      </c>
      <c r="I104">
        <v>19.279285000000002</v>
      </c>
      <c r="J104">
        <v>3.3981854999999999</v>
      </c>
      <c r="K104">
        <v>0.43846974</v>
      </c>
      <c r="L104">
        <v>9.5376854999999996E-2</v>
      </c>
      <c r="M104" s="1">
        <v>2.5508445999999998E-6</v>
      </c>
      <c r="N104" s="1">
        <v>6.8741872000000003E-6</v>
      </c>
      <c r="O104">
        <v>0.11235368</v>
      </c>
      <c r="P104">
        <v>200.19631000000001</v>
      </c>
      <c r="Q104">
        <v>19.845780999999999</v>
      </c>
    </row>
    <row r="105" spans="7:17">
      <c r="G105" t="s">
        <v>234</v>
      </c>
      <c r="H105" s="1">
        <v>1.2494649999999999E-6</v>
      </c>
      <c r="I105">
        <v>11.799443999999999</v>
      </c>
      <c r="J105">
        <v>2.0198100999999999</v>
      </c>
      <c r="K105">
        <v>1.4584900000000001</v>
      </c>
      <c r="L105">
        <v>-3.0883989000000001E-2</v>
      </c>
      <c r="M105" s="1">
        <v>-4.9465440999999998E-8</v>
      </c>
      <c r="N105" s="1">
        <v>-2.5495623E-5</v>
      </c>
      <c r="O105">
        <v>0.10846288</v>
      </c>
      <c r="P105">
        <v>-379.37504999999999</v>
      </c>
      <c r="Q105">
        <v>13.24873</v>
      </c>
    </row>
    <row r="106" spans="7:17">
      <c r="G106" t="s">
        <v>235</v>
      </c>
      <c r="H106" s="1">
        <v>7.5077354999999995E-7</v>
      </c>
      <c r="I106">
        <v>19.603431</v>
      </c>
      <c r="J106">
        <v>1.2210733</v>
      </c>
      <c r="K106">
        <v>0.10957376000000001</v>
      </c>
      <c r="L106">
        <v>6.0039539000000003E-2</v>
      </c>
      <c r="M106" s="1">
        <v>5.5254996000000001E-6</v>
      </c>
      <c r="N106" s="1">
        <v>5.6278162E-6</v>
      </c>
      <c r="O106">
        <v>2.2533345999999999E-2</v>
      </c>
      <c r="P106">
        <v>244.82373999999999</v>
      </c>
      <c r="Q106">
        <v>10.05335</v>
      </c>
    </row>
    <row r="107" spans="7:17">
      <c r="G107" t="s">
        <v>236</v>
      </c>
      <c r="H107" s="1">
        <v>2.1645896000000001E-7</v>
      </c>
      <c r="I107">
        <v>2.7988978000000002</v>
      </c>
      <c r="J107">
        <v>0.37998180999999998</v>
      </c>
      <c r="K107">
        <v>1.8487587E-2</v>
      </c>
      <c r="L107">
        <v>1.974329E-2</v>
      </c>
      <c r="M107" s="1">
        <v>5.2589912000000002E-5</v>
      </c>
      <c r="N107" s="1">
        <v>1.2754267999999999E-6</v>
      </c>
      <c r="O107">
        <v>1.7140121000000001E-2</v>
      </c>
      <c r="P107">
        <v>747.23929999999996</v>
      </c>
      <c r="Q107">
        <v>2.7881824000000002</v>
      </c>
    </row>
    <row r="108" spans="7:17">
      <c r="G108" t="s">
        <v>237</v>
      </c>
      <c r="H108" s="1">
        <v>1.3897742E-8</v>
      </c>
      <c r="I108">
        <v>0.10852069</v>
      </c>
      <c r="J108">
        <v>1.7893592E-2</v>
      </c>
      <c r="K108">
        <v>9.7934444999999998E-4</v>
      </c>
      <c r="L108">
        <v>4.3400178000000002E-4</v>
      </c>
      <c r="M108" s="1">
        <v>6.5204220000000003E-9</v>
      </c>
      <c r="N108" s="1">
        <v>3.0909299000000002E-8</v>
      </c>
      <c r="O108">
        <v>9.5237014999999996E-4</v>
      </c>
      <c r="P108">
        <v>0.80915638999999995</v>
      </c>
      <c r="Q108">
        <v>0.13638939999999999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64F84-9B0B-4840-8C3D-86C9EC4EB698}">
  <dimension ref="A1:AP64"/>
  <sheetViews>
    <sheetView topLeftCell="L1" workbookViewId="0">
      <selection activeCell="AQ50" sqref="AQ50"/>
    </sheetView>
  </sheetViews>
  <sheetFormatPr defaultRowHeight="14.4"/>
  <sheetData>
    <row r="1" spans="1:42">
      <c r="A1" s="31" t="s">
        <v>141</v>
      </c>
      <c r="B1" s="31"/>
      <c r="C1" s="31" t="s">
        <v>142</v>
      </c>
      <c r="D1" s="31"/>
      <c r="E1" s="31" t="s">
        <v>143</v>
      </c>
      <c r="F1" s="31"/>
      <c r="G1" s="31" t="s">
        <v>144</v>
      </c>
      <c r="H1" s="31"/>
      <c r="I1" s="31" t="s">
        <v>140</v>
      </c>
      <c r="J1" s="31"/>
      <c r="AJ1" s="25" t="s">
        <v>340</v>
      </c>
      <c r="AM1" t="s">
        <v>350</v>
      </c>
    </row>
    <row r="2" spans="1:42">
      <c r="A2" t="s">
        <v>139</v>
      </c>
      <c r="B2" t="s">
        <v>138</v>
      </c>
      <c r="C2" t="s">
        <v>139</v>
      </c>
      <c r="D2" t="s">
        <v>138</v>
      </c>
      <c r="E2" t="s">
        <v>139</v>
      </c>
      <c r="F2" t="s">
        <v>138</v>
      </c>
      <c r="G2" t="s">
        <v>139</v>
      </c>
      <c r="H2" t="s">
        <v>138</v>
      </c>
      <c r="I2" t="s">
        <v>139</v>
      </c>
      <c r="J2" t="s">
        <v>138</v>
      </c>
      <c r="AJ2" t="s">
        <v>341</v>
      </c>
      <c r="AK2" t="s">
        <v>342</v>
      </c>
      <c r="AM2" t="s">
        <v>209</v>
      </c>
      <c r="AN2" t="s">
        <v>351</v>
      </c>
      <c r="AO2" t="s">
        <v>209</v>
      </c>
      <c r="AP2" t="s">
        <v>352</v>
      </c>
    </row>
    <row r="3" spans="1:42">
      <c r="A3">
        <v>0.57589285714285698</v>
      </c>
      <c r="B3">
        <v>2.8447204968944102</v>
      </c>
      <c r="C3">
        <v>0.54017857142857095</v>
      </c>
      <c r="D3">
        <v>8.0372670807453392</v>
      </c>
      <c r="E3">
        <v>0.71428571428571397</v>
      </c>
      <c r="F3">
        <v>4.7577639751552701</v>
      </c>
      <c r="G3">
        <v>0.97321428571428503</v>
      </c>
      <c r="H3">
        <v>1.8757763975155299</v>
      </c>
      <c r="I3">
        <v>0.468749999999999</v>
      </c>
      <c r="J3">
        <v>10.0248447204968</v>
      </c>
      <c r="O3" t="s">
        <v>145</v>
      </c>
      <c r="AJ3">
        <v>0.57433774958574102</v>
      </c>
      <c r="AK3">
        <v>23.093607305936001</v>
      </c>
      <c r="AM3">
        <v>0.99694849164356103</v>
      </c>
      <c r="AN3">
        <v>292.32965249932101</v>
      </c>
      <c r="AO3">
        <v>0.28180472555755598</v>
      </c>
      <c r="AP3">
        <v>81.460698290664197</v>
      </c>
    </row>
    <row r="4" spans="1:42">
      <c r="A4">
        <v>0.56696428571428503</v>
      </c>
      <c r="B4">
        <v>2.3478260869565202</v>
      </c>
      <c r="C4">
        <v>0.30357142857142799</v>
      </c>
      <c r="D4">
        <v>7.0186335403726696</v>
      </c>
      <c r="E4">
        <v>0.70089285714285698</v>
      </c>
      <c r="F4">
        <v>3.9378881987577601</v>
      </c>
      <c r="G4">
        <v>0.999999999999999</v>
      </c>
      <c r="H4">
        <v>1.7763975155279501</v>
      </c>
      <c r="I4">
        <v>0.58035714285714202</v>
      </c>
      <c r="J4">
        <v>8.9068322981366403</v>
      </c>
      <c r="O4" t="s">
        <v>146</v>
      </c>
      <c r="AJ4">
        <v>0.56559521935053303</v>
      </c>
      <c r="AK4">
        <v>23.5730593607305</v>
      </c>
      <c r="AM4">
        <v>0.221782522727523</v>
      </c>
      <c r="AN4">
        <v>202.537922163677</v>
      </c>
      <c r="AO4">
        <v>0.29606811077113299</v>
      </c>
      <c r="AP4">
        <v>76.336987165561197</v>
      </c>
    </row>
    <row r="5" spans="1:42">
      <c r="A5">
        <v>0.54464285714285698</v>
      </c>
      <c r="B5">
        <v>2.3478260869565202</v>
      </c>
      <c r="C5">
        <v>0.33035714285714202</v>
      </c>
      <c r="D5">
        <v>6.3975155279502998</v>
      </c>
      <c r="E5">
        <v>0.85267857142857095</v>
      </c>
      <c r="F5">
        <v>3.5155279503105499</v>
      </c>
      <c r="G5">
        <v>0.999999999999999</v>
      </c>
      <c r="H5">
        <v>1.2049689440993701</v>
      </c>
      <c r="I5">
        <v>0.58928571428571397</v>
      </c>
      <c r="J5">
        <v>9.00621118012422</v>
      </c>
      <c r="AJ5">
        <v>0.86203897398984697</v>
      </c>
      <c r="AK5">
        <v>51.621004566209997</v>
      </c>
      <c r="AM5">
        <v>0.466079930188116</v>
      </c>
      <c r="AN5">
        <v>208.566193030839</v>
      </c>
      <c r="AO5">
        <v>0.31270918711131201</v>
      </c>
      <c r="AP5">
        <v>70.281714515053906</v>
      </c>
    </row>
    <row r="6" spans="1:42">
      <c r="A6">
        <v>0.51785714285714202</v>
      </c>
      <c r="B6">
        <v>2.1739130434782599</v>
      </c>
      <c r="C6">
        <v>0.468749999999999</v>
      </c>
      <c r="D6">
        <v>5.8757763975155202</v>
      </c>
      <c r="E6">
        <v>0.87946428571428503</v>
      </c>
      <c r="F6">
        <v>2.8447204968944102</v>
      </c>
      <c r="G6">
        <v>1.0535714285714199</v>
      </c>
      <c r="H6">
        <v>1.05590062111801</v>
      </c>
      <c r="I6">
        <v>0.72098214285714202</v>
      </c>
      <c r="J6">
        <v>8.9068322981366403</v>
      </c>
      <c r="AJ6">
        <v>0.52397447721018697</v>
      </c>
      <c r="AK6">
        <v>22.8538812785388</v>
      </c>
      <c r="AM6">
        <v>1.0993217642965201</v>
      </c>
      <c r="AN6">
        <v>229.92092159541201</v>
      </c>
      <c r="AO6">
        <v>0.52397021948767697</v>
      </c>
      <c r="AP6">
        <v>46.976966251452701</v>
      </c>
    </row>
    <row r="7" spans="1:42">
      <c r="A7">
        <v>0.54017857142857095</v>
      </c>
      <c r="B7">
        <v>2.02484472049689</v>
      </c>
      <c r="C7">
        <v>0.70089285714285698</v>
      </c>
      <c r="D7">
        <v>5.2298136645962696</v>
      </c>
      <c r="E7">
        <v>0.72767857142857095</v>
      </c>
      <c r="F7">
        <v>2.81987577639751</v>
      </c>
      <c r="G7">
        <v>2.8348214285714199</v>
      </c>
      <c r="H7">
        <v>2.0993788819875698</v>
      </c>
      <c r="I7">
        <v>0.62946428571428503</v>
      </c>
      <c r="J7">
        <v>8.70807453416149</v>
      </c>
      <c r="AJ7">
        <v>0.53926515759297899</v>
      </c>
      <c r="AK7">
        <v>21.735159817351501</v>
      </c>
      <c r="AM7">
        <v>1.0994460338676</v>
      </c>
      <c r="AN7">
        <v>208.96631036586101</v>
      </c>
      <c r="AO7">
        <v>0.53821703542511201</v>
      </c>
      <c r="AP7">
        <v>44.647203290289802</v>
      </c>
    </row>
    <row r="8" spans="1:42">
      <c r="A8">
        <v>0.58928571428571397</v>
      </c>
      <c r="B8">
        <v>2.0745341614906798</v>
      </c>
      <c r="C8">
        <v>0.749999999999999</v>
      </c>
      <c r="D8">
        <v>4.5838509316770102</v>
      </c>
      <c r="E8">
        <v>0.640625</v>
      </c>
      <c r="F8">
        <v>3.1677018633540301</v>
      </c>
      <c r="G8">
        <v>2.9151785714285698</v>
      </c>
      <c r="H8">
        <v>2.2732919254658301</v>
      </c>
      <c r="I8">
        <v>0.58928571428571397</v>
      </c>
      <c r="J8">
        <v>8.5590062111801206</v>
      </c>
      <c r="AJ8">
        <v>0.58961593349878605</v>
      </c>
      <c r="AK8">
        <v>21.575342465753401</v>
      </c>
      <c r="AM8">
        <v>1.19905223740458</v>
      </c>
      <c r="AN8">
        <v>213.14692283994901</v>
      </c>
      <c r="AO8">
        <v>0.550061306321731</v>
      </c>
      <c r="AP8">
        <v>47.439924100441502</v>
      </c>
    </row>
    <row r="9" spans="1:42">
      <c r="A9">
        <v>0.85714285714285698</v>
      </c>
      <c r="B9">
        <v>3.9130434782608701</v>
      </c>
      <c r="C9">
        <v>0.81696428571428503</v>
      </c>
      <c r="D9">
        <v>4.2360248447204896</v>
      </c>
      <c r="E9">
        <v>0.70089285714285698</v>
      </c>
      <c r="F9">
        <v>3.2173913043478199</v>
      </c>
      <c r="G9">
        <v>2.9553571428571401</v>
      </c>
      <c r="H9">
        <v>2.2484472049689401</v>
      </c>
      <c r="I9">
        <v>0.65848214285714202</v>
      </c>
      <c r="J9">
        <v>7.92546583850931</v>
      </c>
      <c r="AJ9">
        <v>0.58309777487859604</v>
      </c>
      <c r="AK9">
        <v>23.1735159817351</v>
      </c>
      <c r="AM9">
        <v>1.19918755315976</v>
      </c>
      <c r="AN9">
        <v>190.32967950110501</v>
      </c>
      <c r="AO9">
        <v>0.56427222216085404</v>
      </c>
      <c r="AP9">
        <v>51.163715494482197</v>
      </c>
    </row>
    <row r="10" spans="1:42">
      <c r="A10">
        <v>1.96428571428571</v>
      </c>
      <c r="B10">
        <v>4.0869565217391299</v>
      </c>
      <c r="C10">
        <v>0.91071428571428503</v>
      </c>
      <c r="D10">
        <v>3.6397515527950302</v>
      </c>
      <c r="E10">
        <v>1.00446428571428</v>
      </c>
      <c r="F10">
        <v>1.92546583850931</v>
      </c>
      <c r="G10">
        <v>3.1294642857142798</v>
      </c>
      <c r="H10">
        <v>1.92546583850931</v>
      </c>
      <c r="I10">
        <v>0.73883928571428503</v>
      </c>
      <c r="J10">
        <v>8.4099378881987494</v>
      </c>
      <c r="AJ10">
        <v>1.9579343835366401</v>
      </c>
      <c r="AK10">
        <v>20.136986301369799</v>
      </c>
      <c r="AM10">
        <v>0.99999171536192699</v>
      </c>
      <c r="AN10">
        <v>179.17450638899001</v>
      </c>
      <c r="AO10">
        <v>0.57852456119033602</v>
      </c>
      <c r="AP10">
        <v>47.902636478672697</v>
      </c>
    </row>
    <row r="11" spans="1:42">
      <c r="A11">
        <v>1.96875</v>
      </c>
      <c r="B11">
        <v>2.6956521739130399</v>
      </c>
      <c r="C11">
        <v>0.88839285714285698</v>
      </c>
      <c r="D11">
        <v>2.6459627329192501</v>
      </c>
      <c r="E11">
        <v>0.97321428571428503</v>
      </c>
      <c r="F11">
        <v>1.8012422360248399</v>
      </c>
      <c r="G11">
        <v>3.3660714285714199</v>
      </c>
      <c r="H11">
        <v>1.7515527950310501</v>
      </c>
      <c r="I11">
        <v>0.578124999999999</v>
      </c>
      <c r="J11">
        <v>7.8136645962732896</v>
      </c>
      <c r="AJ11">
        <v>1.96462499343935</v>
      </c>
      <c r="AK11">
        <v>24.0525114155251</v>
      </c>
      <c r="AM11">
        <v>1.00008008483469</v>
      </c>
      <c r="AN11">
        <v>164.27344951464201</v>
      </c>
      <c r="AO11">
        <v>0.59041853991538595</v>
      </c>
      <c r="AP11">
        <v>42.313512797004101</v>
      </c>
    </row>
    <row r="12" spans="1:42">
      <c r="A12">
        <v>1.9598214285714199</v>
      </c>
      <c r="B12">
        <v>2.2732919254658301</v>
      </c>
      <c r="C12">
        <v>0.6875</v>
      </c>
      <c r="D12">
        <v>2.7701863354037202</v>
      </c>
      <c r="E12">
        <v>1.0223214285714199</v>
      </c>
      <c r="F12">
        <v>1.57763975155279</v>
      </c>
      <c r="G12">
        <v>3.4241071428571401</v>
      </c>
      <c r="H12">
        <v>2.0496894409937898</v>
      </c>
      <c r="I12">
        <v>0.54910714285714202</v>
      </c>
      <c r="J12">
        <v>7.3788819875776301</v>
      </c>
      <c r="AJ12">
        <v>2.0631246672814898</v>
      </c>
      <c r="AK12">
        <v>23.3333333333333</v>
      </c>
      <c r="AM12">
        <v>0.91248660650178304</v>
      </c>
      <c r="AN12">
        <v>134.48041818398201</v>
      </c>
      <c r="AO12">
        <v>0.85859227429884299</v>
      </c>
      <c r="AP12">
        <v>22.2624794264818</v>
      </c>
    </row>
    <row r="13" spans="1:42">
      <c r="A13">
        <v>2.0669642857142798</v>
      </c>
      <c r="B13">
        <v>2.0745341614906798</v>
      </c>
      <c r="C13">
        <v>0.41964285714285698</v>
      </c>
      <c r="D13">
        <v>3.9627329192546501</v>
      </c>
      <c r="E13">
        <v>1</v>
      </c>
      <c r="F13">
        <v>1.05590062111801</v>
      </c>
      <c r="I13">
        <v>0.94642857142857095</v>
      </c>
      <c r="J13">
        <v>5.2173913043478199</v>
      </c>
      <c r="AJ13">
        <v>1.9649823924741201</v>
      </c>
      <c r="AK13">
        <v>35.4794520547945</v>
      </c>
      <c r="AM13">
        <v>0.27649979564559402</v>
      </c>
      <c r="AN13">
        <v>175.98976877881901</v>
      </c>
      <c r="AO13">
        <v>1.9638900241911399</v>
      </c>
      <c r="AP13">
        <v>44.499675364922801</v>
      </c>
    </row>
    <row r="14" spans="1:42">
      <c r="C14">
        <v>0.36607142857142799</v>
      </c>
      <c r="D14">
        <v>4.8322981366459601</v>
      </c>
      <c r="E14">
        <v>1</v>
      </c>
      <c r="F14">
        <v>0.85714285714285898</v>
      </c>
      <c r="I14">
        <v>0.66964285714285698</v>
      </c>
      <c r="J14">
        <v>5.0559006211180098</v>
      </c>
      <c r="AJ14">
        <v>0.86203897398984697</v>
      </c>
      <c r="AK14">
        <v>51.621004566209997</v>
      </c>
      <c r="AM14">
        <v>0.19125086988699699</v>
      </c>
      <c r="AN14">
        <v>150.85307225063499</v>
      </c>
      <c r="AO14">
        <v>1.9662842845938799</v>
      </c>
      <c r="AP14">
        <v>40.774165675578303</v>
      </c>
    </row>
    <row r="15" spans="1:42">
      <c r="C15">
        <v>0.29910714285714202</v>
      </c>
      <c r="D15">
        <v>5.1552795031055796</v>
      </c>
      <c r="E15">
        <v>1</v>
      </c>
      <c r="F15">
        <v>1.00621118012422</v>
      </c>
      <c r="I15">
        <v>0.77455357142857095</v>
      </c>
      <c r="J15">
        <v>4.4844720496894297</v>
      </c>
      <c r="AM15">
        <v>0.18663080338896901</v>
      </c>
      <c r="AN15">
        <v>129.898951962599</v>
      </c>
      <c r="AO15">
        <v>2.0612207138044099</v>
      </c>
      <c r="AP15">
        <v>32.382502353450697</v>
      </c>
    </row>
    <row r="16" spans="1:42">
      <c r="C16">
        <v>0.25892857142857101</v>
      </c>
      <c r="D16">
        <v>5.4037267080745304</v>
      </c>
      <c r="E16">
        <v>1.08928571428571</v>
      </c>
      <c r="F16">
        <v>1.60248447204969</v>
      </c>
      <c r="I16">
        <v>0.84821428571428503</v>
      </c>
      <c r="J16">
        <v>4.4099378881987503</v>
      </c>
      <c r="AM16">
        <v>0.38821537849749799</v>
      </c>
      <c r="AN16">
        <v>138.259931440017</v>
      </c>
    </row>
    <row r="17" spans="3:40">
      <c r="C17">
        <v>0.223214285714285</v>
      </c>
      <c r="D17">
        <v>5.7763975155279397</v>
      </c>
      <c r="E17">
        <v>1.1160714285714199</v>
      </c>
      <c r="F17">
        <v>1.62732919254658</v>
      </c>
      <c r="I17">
        <v>0.80580357142857095</v>
      </c>
      <c r="J17">
        <v>4.0248447204968896</v>
      </c>
      <c r="AM17">
        <v>0.41196743584928502</v>
      </c>
      <c r="AN17">
        <v>133.13523843188301</v>
      </c>
    </row>
    <row r="18" spans="3:40">
      <c r="C18">
        <v>0.191964285714285</v>
      </c>
      <c r="D18">
        <v>5.4285714285714199</v>
      </c>
      <c r="E18">
        <v>1.1339285714285701</v>
      </c>
      <c r="F18">
        <v>1.3540372670807399</v>
      </c>
      <c r="I18">
        <v>0.86607142857142805</v>
      </c>
      <c r="J18">
        <v>4.0621118012422297</v>
      </c>
      <c r="AM18">
        <v>0.21041876083906699</v>
      </c>
      <c r="AN18">
        <v>118.72070459926201</v>
      </c>
    </row>
    <row r="19" spans="3:40">
      <c r="C19">
        <v>0.27678571428571402</v>
      </c>
      <c r="D19">
        <v>4.8322981366459601</v>
      </c>
      <c r="E19">
        <v>1.1004464285714199</v>
      </c>
      <c r="F19">
        <v>2.5341614906832302</v>
      </c>
      <c r="I19">
        <v>0.58928571428571397</v>
      </c>
      <c r="J19">
        <v>4.0621118012422297</v>
      </c>
      <c r="AM19">
        <v>0.25591799312927299</v>
      </c>
      <c r="AN19">
        <v>46.5390464197474</v>
      </c>
    </row>
    <row r="20" spans="3:40">
      <c r="C20">
        <v>0.281249999999999</v>
      </c>
      <c r="D20">
        <v>4.4099378881987503</v>
      </c>
      <c r="E20">
        <v>1.0245535714285701</v>
      </c>
      <c r="F20">
        <v>2.7204968944099299</v>
      </c>
      <c r="I20">
        <v>0.52678571428571397</v>
      </c>
      <c r="J20">
        <v>4.1987577639751503</v>
      </c>
      <c r="AM20">
        <v>0.303328215268035</v>
      </c>
      <c r="AN20">
        <v>52.122033332473997</v>
      </c>
    </row>
    <row r="21" spans="3:40">
      <c r="C21">
        <v>0.187499999999999</v>
      </c>
      <c r="D21">
        <v>3.5652173913043401</v>
      </c>
      <c r="E21">
        <v>1.08928571428571</v>
      </c>
      <c r="F21">
        <v>2.9813664596273202</v>
      </c>
      <c r="I21">
        <v>0.62723214285714202</v>
      </c>
      <c r="J21">
        <v>3.7763975155279499</v>
      </c>
      <c r="AM21">
        <v>0.28197594141103899</v>
      </c>
      <c r="AN21">
        <v>52.589900596616502</v>
      </c>
    </row>
    <row r="22" spans="3:40">
      <c r="C22">
        <v>0.20982142857142799</v>
      </c>
      <c r="D22">
        <v>3.2919254658385002</v>
      </c>
      <c r="E22">
        <v>1.2098214285714199</v>
      </c>
      <c r="F22">
        <v>2.79503105590062</v>
      </c>
      <c r="I22">
        <v>0.60491071428571397</v>
      </c>
      <c r="J22">
        <v>2.7204968944099401</v>
      </c>
      <c r="AM22">
        <v>0.30575561422306602</v>
      </c>
      <c r="AN22">
        <v>42.808627315249197</v>
      </c>
    </row>
    <row r="23" spans="3:40">
      <c r="C23">
        <v>0.94196428571428503</v>
      </c>
      <c r="D23">
        <v>2.1490683229813601</v>
      </c>
      <c r="E23">
        <v>1.1741071428571399</v>
      </c>
      <c r="F23">
        <v>2.6832298136645898</v>
      </c>
      <c r="I23">
        <v>0.54910714285714202</v>
      </c>
      <c r="J23">
        <v>2.8695652173913002</v>
      </c>
      <c r="AM23">
        <v>0.369765489511648</v>
      </c>
      <c r="AN23">
        <v>49.321211987318797</v>
      </c>
    </row>
    <row r="24" spans="3:40">
      <c r="C24">
        <v>0.91071428571428603</v>
      </c>
      <c r="D24">
        <v>1.5403726708074501</v>
      </c>
      <c r="E24">
        <v>1.3660714285714199</v>
      </c>
      <c r="F24">
        <v>1.4037267080745299</v>
      </c>
      <c r="I24">
        <v>0.66741071428571397</v>
      </c>
      <c r="J24">
        <v>2.3602484472049698</v>
      </c>
      <c r="AM24">
        <v>0.422016701830352</v>
      </c>
      <c r="AN24">
        <v>38.605677002212701</v>
      </c>
    </row>
    <row r="25" spans="3:40">
      <c r="C25">
        <v>0.75892857142857095</v>
      </c>
      <c r="D25">
        <v>1.4285714285714199</v>
      </c>
      <c r="E25">
        <v>1.4196428571428501</v>
      </c>
      <c r="F25">
        <v>1.2298136645962701</v>
      </c>
      <c r="I25">
        <v>0.63839285714285698</v>
      </c>
      <c r="J25">
        <v>2.0621118012422301</v>
      </c>
      <c r="AM25">
        <v>0.334108407250715</v>
      </c>
      <c r="AN25">
        <v>61.897660786414498</v>
      </c>
    </row>
    <row r="26" spans="3:40">
      <c r="C26">
        <v>0.81919642857142805</v>
      </c>
      <c r="D26">
        <v>1.36645962732919</v>
      </c>
      <c r="E26">
        <v>1.4352678571428501</v>
      </c>
      <c r="F26">
        <v>1.3167701863354</v>
      </c>
      <c r="I26">
        <v>0.5625</v>
      </c>
      <c r="J26">
        <v>2.2981366459627299</v>
      </c>
      <c r="AM26">
        <v>0.54011421754354905</v>
      </c>
      <c r="AN26">
        <v>124.740138519148</v>
      </c>
    </row>
    <row r="27" spans="3:40">
      <c r="C27">
        <v>0.85491071428571397</v>
      </c>
      <c r="D27">
        <v>1.2795031055900601</v>
      </c>
      <c r="E27">
        <v>1.3035714285714199</v>
      </c>
      <c r="F27">
        <v>2</v>
      </c>
      <c r="I27">
        <v>2.0200892857142798</v>
      </c>
      <c r="J27">
        <v>4.9937888198757703</v>
      </c>
      <c r="AM27">
        <v>0.66826099923781301</v>
      </c>
      <c r="AN27">
        <v>116.345038606413</v>
      </c>
    </row>
    <row r="28" spans="3:40">
      <c r="C28">
        <v>0.88839285714285698</v>
      </c>
      <c r="D28">
        <v>0.90683229813664901</v>
      </c>
      <c r="I28">
        <v>2.1941964285714199</v>
      </c>
      <c r="J28">
        <v>4.6459627329192497</v>
      </c>
      <c r="AM28">
        <v>0.69921793016602296</v>
      </c>
      <c r="AN28">
        <v>96.318552311659303</v>
      </c>
    </row>
    <row r="29" spans="3:40">
      <c r="C29">
        <v>0.79910714285714302</v>
      </c>
      <c r="D29">
        <v>0.93167701863354302</v>
      </c>
      <c r="I29">
        <v>2.2633928571428501</v>
      </c>
      <c r="J29">
        <v>4.4223602484472</v>
      </c>
      <c r="AM29">
        <v>0.74908040517403196</v>
      </c>
      <c r="AN29">
        <v>88.397210961251005</v>
      </c>
    </row>
    <row r="30" spans="3:40">
      <c r="C30">
        <v>1.00446428571428</v>
      </c>
      <c r="D30">
        <v>0.55900621118012594</v>
      </c>
      <c r="I30">
        <v>2.2589285714285698</v>
      </c>
      <c r="J30">
        <v>4.2111801242236</v>
      </c>
      <c r="AM30">
        <v>0.82019849992819904</v>
      </c>
      <c r="AN30">
        <v>96.3060333030175</v>
      </c>
    </row>
    <row r="31" spans="3:40">
      <c r="C31">
        <v>1</v>
      </c>
      <c r="D31">
        <v>0.13664596273292201</v>
      </c>
      <c r="I31">
        <v>2.52678571428571</v>
      </c>
      <c r="J31">
        <v>4.4596273291925401</v>
      </c>
      <c r="AM31">
        <v>0.78707927846325398</v>
      </c>
      <c r="AN31">
        <v>80.942754991954502</v>
      </c>
    </row>
    <row r="32" spans="3:40">
      <c r="C32">
        <v>1.09821428571428</v>
      </c>
      <c r="D32">
        <v>0.161490683229814</v>
      </c>
      <c r="I32">
        <v>2.4709821428571401</v>
      </c>
      <c r="J32">
        <v>5.0931677018633499</v>
      </c>
      <c r="AM32">
        <v>0.82038076196577803</v>
      </c>
      <c r="AN32">
        <v>65.572603499676404</v>
      </c>
    </row>
    <row r="33" spans="3:40">
      <c r="C33">
        <v>1.0602678571428501</v>
      </c>
      <c r="D33">
        <v>0.670807453416149</v>
      </c>
      <c r="I33">
        <v>2.4196428571428501</v>
      </c>
      <c r="J33">
        <v>6.1118012422360204</v>
      </c>
      <c r="AM33">
        <v>0.69005512045863704</v>
      </c>
      <c r="AN33">
        <v>41.371886970534703</v>
      </c>
    </row>
    <row r="34" spans="3:40">
      <c r="C34">
        <v>1.1004464285714199</v>
      </c>
      <c r="D34">
        <v>0.59627329192546696</v>
      </c>
      <c r="I34">
        <v>2.5758928571428501</v>
      </c>
      <c r="J34">
        <v>5.71428571428571</v>
      </c>
      <c r="AM34">
        <v>0.76135823879640696</v>
      </c>
      <c r="AN34">
        <v>18.081621481636699</v>
      </c>
    </row>
    <row r="35" spans="3:40">
      <c r="C35">
        <v>1.1227678571428501</v>
      </c>
      <c r="D35">
        <v>0.73291925465838403</v>
      </c>
      <c r="I35">
        <v>2.6808035714285698</v>
      </c>
      <c r="J35">
        <v>5.7018633540372603</v>
      </c>
      <c r="AM35">
        <v>0.79675297418506696</v>
      </c>
      <c r="AN35">
        <v>49.742685278259302</v>
      </c>
    </row>
    <row r="36" spans="3:40">
      <c r="C36">
        <v>1.19866071428571</v>
      </c>
      <c r="D36">
        <v>0.64596273291925599</v>
      </c>
      <c r="I36">
        <v>2.71875</v>
      </c>
      <c r="J36">
        <v>6.3726708074534102</v>
      </c>
      <c r="AM36">
        <v>0.85135426217013299</v>
      </c>
      <c r="AN36">
        <v>42.752169040982402</v>
      </c>
    </row>
    <row r="37" spans="3:40">
      <c r="C37">
        <v>1</v>
      </c>
      <c r="D37">
        <v>0.98136645962733104</v>
      </c>
      <c r="I37">
        <v>2.9977678571428501</v>
      </c>
      <c r="J37">
        <v>5.2670807453416097</v>
      </c>
      <c r="AM37">
        <v>0.88923715052635</v>
      </c>
      <c r="AN37">
        <v>54.855350219266597</v>
      </c>
    </row>
    <row r="38" spans="3:40">
      <c r="C38">
        <v>1.03571428571428</v>
      </c>
      <c r="D38">
        <v>1.05590062111801</v>
      </c>
      <c r="I38">
        <v>2.9620535714285698</v>
      </c>
      <c r="J38">
        <v>4.7826086956521703</v>
      </c>
      <c r="AM38">
        <v>0.889273050624661</v>
      </c>
      <c r="AN38">
        <v>48.801795864063102</v>
      </c>
    </row>
    <row r="39" spans="3:40">
      <c r="C39">
        <v>1.0758928571428501</v>
      </c>
      <c r="D39">
        <v>1.7018633540372601</v>
      </c>
      <c r="I39">
        <v>3.0245535714285698</v>
      </c>
      <c r="J39">
        <v>4.8074534161490599</v>
      </c>
      <c r="AM39">
        <v>0.93911343326447805</v>
      </c>
      <c r="AN39">
        <v>44.605718732241499</v>
      </c>
    </row>
    <row r="40" spans="3:40">
      <c r="C40">
        <v>1.21428571428571</v>
      </c>
      <c r="D40">
        <v>1.7763975155279501</v>
      </c>
      <c r="I40">
        <v>3.0334821428571401</v>
      </c>
      <c r="J40">
        <v>4.4844720496894297</v>
      </c>
      <c r="AM40">
        <v>0.91050933954865199</v>
      </c>
      <c r="AN40">
        <v>67.891565747501204</v>
      </c>
    </row>
    <row r="41" spans="3:40">
      <c r="C41">
        <v>1.1875</v>
      </c>
      <c r="D41">
        <v>1.3788819875776399</v>
      </c>
      <c r="I41">
        <v>3.05803571428571</v>
      </c>
      <c r="J41">
        <v>4.2236024844720497</v>
      </c>
      <c r="AM41">
        <v>0.84676181113234406</v>
      </c>
      <c r="AN41">
        <v>17.141468479713399</v>
      </c>
    </row>
    <row r="42" spans="3:40">
      <c r="C42">
        <v>1.09374999999999</v>
      </c>
      <c r="D42">
        <v>1.2049689440993701</v>
      </c>
      <c r="I42">
        <v>3.2232142857142798</v>
      </c>
      <c r="J42">
        <v>4.1987577639751503</v>
      </c>
      <c r="AM42">
        <v>0.86100310397773006</v>
      </c>
      <c r="AN42">
        <v>15.7430215731973</v>
      </c>
    </row>
    <row r="43" spans="3:40">
      <c r="C43">
        <v>1.0848214285714199</v>
      </c>
      <c r="D43">
        <v>0.95652173913043703</v>
      </c>
      <c r="AM43">
        <v>1.06962133680919</v>
      </c>
      <c r="AN43">
        <v>38.073005458042097</v>
      </c>
    </row>
    <row r="44" spans="3:40">
      <c r="C44">
        <v>1.3125</v>
      </c>
      <c r="D44">
        <v>2.0496894409937898</v>
      </c>
      <c r="AM44">
        <v>1.14081675485203</v>
      </c>
      <c r="AN44">
        <v>32.943403034754702</v>
      </c>
    </row>
    <row r="45" spans="3:40">
      <c r="C45">
        <v>1.3214285714285701</v>
      </c>
      <c r="D45">
        <v>1.90062111801242</v>
      </c>
      <c r="AM45">
        <v>1.11938439616034</v>
      </c>
      <c r="AN45">
        <v>46.915353091274397</v>
      </c>
    </row>
    <row r="46" spans="3:40">
      <c r="C46">
        <v>1.53124999999999</v>
      </c>
      <c r="D46">
        <v>2.4223602484472</v>
      </c>
      <c r="AM46">
        <v>1.2095875354858601</v>
      </c>
      <c r="AN46">
        <v>36.6615486013688</v>
      </c>
    </row>
    <row r="47" spans="3:40">
      <c r="C47">
        <v>1.8616071428571399</v>
      </c>
      <c r="D47">
        <v>2.3229813664596199</v>
      </c>
      <c r="AM47">
        <v>1.1882987771874201</v>
      </c>
      <c r="AN47">
        <v>26.419281237074198</v>
      </c>
    </row>
    <row r="48" spans="3:40">
      <c r="C48">
        <v>2.4419642857142798</v>
      </c>
      <c r="D48">
        <v>1.57763975155279</v>
      </c>
      <c r="AM48">
        <v>1.3234792166046201</v>
      </c>
      <c r="AN48">
        <v>31.993185731766498</v>
      </c>
    </row>
    <row r="49" spans="3:40">
      <c r="C49">
        <v>2.4866071428571401</v>
      </c>
      <c r="D49">
        <v>1.7018633540372701</v>
      </c>
      <c r="AM49">
        <v>1.3210932408399501</v>
      </c>
      <c r="AN49">
        <v>34.321721339141</v>
      </c>
    </row>
    <row r="50" spans="3:40">
      <c r="C50">
        <v>3.3035714285714199</v>
      </c>
      <c r="D50">
        <v>1.0434782608695601</v>
      </c>
      <c r="AM50">
        <v>1.1310657358415499</v>
      </c>
      <c r="AN50">
        <v>77.181897513503699</v>
      </c>
    </row>
    <row r="51" spans="3:40">
      <c r="C51">
        <v>3.703125</v>
      </c>
      <c r="D51">
        <v>1.1304347826087</v>
      </c>
      <c r="AM51">
        <v>1.0883225264832199</v>
      </c>
      <c r="AN51">
        <v>84.636844424315697</v>
      </c>
    </row>
    <row r="52" spans="3:40">
      <c r="C52">
        <v>3.8058035714285698</v>
      </c>
      <c r="D52">
        <v>0.93167701863354302</v>
      </c>
      <c r="AM52">
        <v>1.0597985176020901</v>
      </c>
      <c r="AN52">
        <v>94.418608647198198</v>
      </c>
    </row>
    <row r="53" spans="3:40">
      <c r="C53">
        <v>3.90625</v>
      </c>
      <c r="D53">
        <v>0.91925465838509401</v>
      </c>
      <c r="AM53">
        <v>1.0383827281865401</v>
      </c>
      <c r="AN53">
        <v>105.596610539777</v>
      </c>
    </row>
    <row r="54" spans="3:40">
      <c r="C54">
        <v>0.31696428571428498</v>
      </c>
      <c r="D54">
        <v>1.29192546583851</v>
      </c>
      <c r="AM54">
        <v>1.06921538954368</v>
      </c>
      <c r="AN54">
        <v>106.524735474574</v>
      </c>
    </row>
    <row r="55" spans="3:40">
      <c r="C55">
        <v>0.39732142857142799</v>
      </c>
      <c r="D55">
        <v>1.0931677018633501</v>
      </c>
      <c r="AM55">
        <v>1.5298136508743001</v>
      </c>
      <c r="AN55">
        <v>39.422358213021703</v>
      </c>
    </row>
    <row r="56" spans="3:40">
      <c r="C56">
        <v>0.38839285714285698</v>
      </c>
      <c r="D56">
        <v>0.91925465838509601</v>
      </c>
      <c r="AM56">
        <v>1.85950082294071</v>
      </c>
      <c r="AN56">
        <v>46.838766214877502</v>
      </c>
    </row>
    <row r="57" spans="3:40">
      <c r="AM57">
        <v>2.4834417700405398</v>
      </c>
      <c r="AN57">
        <v>36.529730804493397</v>
      </c>
    </row>
    <row r="58" spans="3:40">
      <c r="AM58">
        <v>3.3015387334445299</v>
      </c>
      <c r="AN58">
        <v>87.201768371338204</v>
      </c>
    </row>
    <row r="59" spans="3:40">
      <c r="AM59">
        <v>3.6999773553225999</v>
      </c>
      <c r="AN59">
        <v>101.59592813107101</v>
      </c>
    </row>
    <row r="60" spans="3:40">
      <c r="AM60">
        <v>3.79965259751018</v>
      </c>
      <c r="AN60">
        <v>94.135089922075196</v>
      </c>
    </row>
    <row r="61" spans="3:40">
      <c r="AM61">
        <v>3.7996802129704301</v>
      </c>
      <c r="AN61">
        <v>89.478509648841694</v>
      </c>
    </row>
    <row r="62" spans="3:40">
      <c r="AM62">
        <v>3.9016558229959402</v>
      </c>
      <c r="AN62">
        <v>94.1245346794949</v>
      </c>
    </row>
    <row r="63" spans="3:40">
      <c r="AM63">
        <v>3.9017607617448502</v>
      </c>
      <c r="AN63">
        <v>76.429529641207594</v>
      </c>
    </row>
    <row r="64" spans="3:40">
      <c r="AM64">
        <v>4.2007091650189397</v>
      </c>
      <c r="AN64">
        <v>67.085439779272605</v>
      </c>
    </row>
  </sheetData>
  <mergeCells count="5">
    <mergeCell ref="I1:J1"/>
    <mergeCell ref="A1:B1"/>
    <mergeCell ref="C1:D1"/>
    <mergeCell ref="E1:F1"/>
    <mergeCell ref="G1:H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E7613-31EB-4B72-ACA1-8D31AEE84C74}">
  <dimension ref="A1:AO47"/>
  <sheetViews>
    <sheetView topLeftCell="O13" zoomScale="85" zoomScaleNormal="85" workbookViewId="0">
      <selection activeCell="AK18" sqref="AK18"/>
    </sheetView>
  </sheetViews>
  <sheetFormatPr defaultRowHeight="14.4"/>
  <cols>
    <col min="4" max="4" width="9.21875" bestFit="1" customWidth="1"/>
    <col min="8" max="8" width="9.21875" bestFit="1" customWidth="1"/>
    <col min="10" max="10" width="9.21875" customWidth="1"/>
    <col min="11" max="11" width="11.5546875" bestFit="1" customWidth="1"/>
    <col min="12" max="12" width="10.5546875" bestFit="1" customWidth="1"/>
    <col min="15" max="15" width="12" bestFit="1" customWidth="1"/>
  </cols>
  <sheetData>
    <row r="1" spans="1:41" ht="43.8" customHeight="1" thickBot="1">
      <c r="A1" s="16" t="s">
        <v>169</v>
      </c>
      <c r="B1" s="16" t="s">
        <v>286</v>
      </c>
      <c r="C1" s="16" t="s">
        <v>168</v>
      </c>
      <c r="D1" s="16" t="s">
        <v>208</v>
      </c>
      <c r="E1" s="11" t="s">
        <v>201</v>
      </c>
      <c r="F1" s="19" t="s">
        <v>157</v>
      </c>
      <c r="G1" s="20" t="s">
        <v>295</v>
      </c>
      <c r="H1" s="16" t="s">
        <v>207</v>
      </c>
      <c r="I1" s="21" t="s">
        <v>202</v>
      </c>
      <c r="J1" s="24" t="s">
        <v>296</v>
      </c>
      <c r="K1" s="12" t="s">
        <v>203</v>
      </c>
      <c r="L1" s="21" t="s">
        <v>210</v>
      </c>
      <c r="P1" s="13"/>
      <c r="Q1" s="16" t="s">
        <v>169</v>
      </c>
      <c r="R1" s="16" t="s">
        <v>286</v>
      </c>
      <c r="S1" s="16" t="s">
        <v>168</v>
      </c>
      <c r="T1" s="16" t="s">
        <v>311</v>
      </c>
      <c r="U1" s="16" t="s">
        <v>208</v>
      </c>
      <c r="V1" s="21" t="s">
        <v>202</v>
      </c>
      <c r="W1" s="21" t="s">
        <v>298</v>
      </c>
      <c r="X1" s="21" t="s">
        <v>299</v>
      </c>
      <c r="Y1" s="11" t="s">
        <v>201</v>
      </c>
      <c r="Z1" s="19" t="s">
        <v>157</v>
      </c>
      <c r="AA1" s="20" t="s">
        <v>295</v>
      </c>
      <c r="AB1" s="16" t="s">
        <v>207</v>
      </c>
      <c r="AC1" s="24" t="s">
        <v>296</v>
      </c>
      <c r="AE1" t="s">
        <v>302</v>
      </c>
    </row>
    <row r="2" spans="1:41">
      <c r="A2" s="13" t="s">
        <v>156</v>
      </c>
      <c r="B2" s="13"/>
      <c r="C2" s="13"/>
      <c r="D2" s="13"/>
      <c r="E2" s="13"/>
      <c r="F2" s="13"/>
      <c r="G2" s="13"/>
      <c r="H2" s="13"/>
      <c r="J2" s="13"/>
      <c r="K2" s="13"/>
      <c r="M2" t="s">
        <v>205</v>
      </c>
      <c r="N2" t="s">
        <v>284</v>
      </c>
      <c r="O2" t="s">
        <v>209</v>
      </c>
      <c r="P2" s="12"/>
      <c r="Q2" s="25" t="s">
        <v>297</v>
      </c>
      <c r="S2" s="12"/>
      <c r="T2" s="12"/>
      <c r="AE2" t="s">
        <v>301</v>
      </c>
      <c r="AF2" t="s">
        <v>308</v>
      </c>
      <c r="AG2" t="s">
        <v>311</v>
      </c>
      <c r="AH2" t="s">
        <v>305</v>
      </c>
      <c r="AI2" t="s">
        <v>202</v>
      </c>
      <c r="AJ2" t="s">
        <v>298</v>
      </c>
      <c r="AK2" t="s">
        <v>299</v>
      </c>
      <c r="AL2" t="s">
        <v>309</v>
      </c>
      <c r="AM2" t="s">
        <v>306</v>
      </c>
      <c r="AN2" t="s">
        <v>295</v>
      </c>
      <c r="AO2" t="s">
        <v>307</v>
      </c>
    </row>
    <row r="3" spans="1:41" ht="15.6">
      <c r="A3" s="14" t="s">
        <v>170</v>
      </c>
      <c r="B3" s="14" t="s">
        <v>287</v>
      </c>
      <c r="C3" s="17">
        <v>22317</v>
      </c>
      <c r="D3" s="17">
        <v>64228</v>
      </c>
      <c r="E3" s="14">
        <v>5.2</v>
      </c>
      <c r="F3" s="14">
        <v>49</v>
      </c>
      <c r="G3" s="14">
        <v>28.4</v>
      </c>
      <c r="H3" s="14">
        <v>0.33</v>
      </c>
      <c r="I3" s="14">
        <f>E3*D3</f>
        <v>333985.60000000003</v>
      </c>
      <c r="J3" s="14">
        <v>0.43</v>
      </c>
      <c r="K3" s="12">
        <f>SUM(I3:I11)/SUM(D3:D11)</f>
        <v>3.1855297316566822</v>
      </c>
      <c r="L3" s="12">
        <f>H3*C3</f>
        <v>7364.6100000000006</v>
      </c>
      <c r="M3" t="s">
        <v>148</v>
      </c>
      <c r="N3">
        <f>SUM(I3:I11,I41)/SUM(D41,D3:D11)</f>
        <v>2.7926429873006082</v>
      </c>
      <c r="O3">
        <f>SUM(L3:L11,L41)/SUM(C3:C11,C41)</f>
        <v>0.95435901111397814</v>
      </c>
      <c r="P3" s="12"/>
      <c r="Q3" s="14" t="s">
        <v>170</v>
      </c>
      <c r="R3" s="14" t="s">
        <v>287</v>
      </c>
      <c r="S3" s="17">
        <v>22317</v>
      </c>
      <c r="T3" s="17">
        <f>S3*AB3/100*1000</f>
        <v>73646.100000000006</v>
      </c>
      <c r="U3" s="17">
        <v>64228</v>
      </c>
      <c r="V3" s="14">
        <f t="shared" ref="V3:V12" si="0">Y3*U3</f>
        <v>333985.60000000003</v>
      </c>
      <c r="W3" s="14">
        <f t="shared" ref="W3:W12" si="1">AA3*U3</f>
        <v>1824075.2</v>
      </c>
      <c r="X3" s="14">
        <f t="shared" ref="X3:X12" si="2">Z3*U3</f>
        <v>3147172</v>
      </c>
      <c r="Y3" s="14">
        <v>5.2</v>
      </c>
      <c r="Z3" s="14">
        <v>49</v>
      </c>
      <c r="AA3" s="14">
        <v>28.4</v>
      </c>
      <c r="AB3" s="14">
        <v>0.33</v>
      </c>
      <c r="AC3" s="14">
        <v>0.43</v>
      </c>
      <c r="AE3" t="s">
        <v>148</v>
      </c>
      <c r="AF3" s="26">
        <f t="shared" ref="AF3:AK3" si="3">SUM(S3:S7,S9:S12)</f>
        <v>96802</v>
      </c>
      <c r="AG3" s="26">
        <f t="shared" si="3"/>
        <v>805781.29999999993</v>
      </c>
      <c r="AH3" s="26">
        <f t="shared" si="3"/>
        <v>754948</v>
      </c>
      <c r="AI3" s="1">
        <f t="shared" si="3"/>
        <v>1806274.2</v>
      </c>
      <c r="AJ3" s="1">
        <f t="shared" si="3"/>
        <v>15638105.299999999</v>
      </c>
      <c r="AK3" s="1">
        <f t="shared" si="3"/>
        <v>33147297.699999999</v>
      </c>
      <c r="AL3" s="27">
        <f>AG3/1000/AF3*100</f>
        <v>0.8324014999690087</v>
      </c>
      <c r="AM3" s="27">
        <f>AI3/$AH3</f>
        <v>2.3925809459724379</v>
      </c>
      <c r="AN3" s="27">
        <f>AJ3/$AH3</f>
        <v>20.714148921515122</v>
      </c>
      <c r="AO3" s="27">
        <f>AK3/$AH3</f>
        <v>43.906729602568653</v>
      </c>
    </row>
    <row r="4" spans="1:41">
      <c r="A4" s="14" t="s">
        <v>171</v>
      </c>
      <c r="B4" s="14" t="s">
        <v>287</v>
      </c>
      <c r="C4" s="17">
        <v>10232</v>
      </c>
      <c r="D4" s="17">
        <v>95130</v>
      </c>
      <c r="E4" s="14">
        <v>2.2999999999999998</v>
      </c>
      <c r="F4" s="14">
        <v>42.3</v>
      </c>
      <c r="G4" s="14">
        <v>23.2</v>
      </c>
      <c r="H4" s="14">
        <v>0.98</v>
      </c>
      <c r="I4" s="14">
        <f t="shared" ref="I4:I11" si="4">E4*D4</f>
        <v>218798.99999999997</v>
      </c>
      <c r="J4" s="14">
        <v>0.84799999999999998</v>
      </c>
      <c r="K4" s="12"/>
      <c r="L4" s="12">
        <f t="shared" ref="L4:L43" si="5">H4*C4</f>
        <v>10027.36</v>
      </c>
      <c r="M4" t="s">
        <v>149</v>
      </c>
      <c r="N4">
        <f>I35/D35</f>
        <v>8.5</v>
      </c>
      <c r="P4" s="12"/>
      <c r="Q4" s="14" t="s">
        <v>171</v>
      </c>
      <c r="R4" s="14" t="s">
        <v>287</v>
      </c>
      <c r="S4" s="17">
        <v>10232</v>
      </c>
      <c r="T4" s="17">
        <f t="shared" ref="T4:T38" si="6">S4*AB4/100*1000</f>
        <v>100273.60000000001</v>
      </c>
      <c r="U4" s="17">
        <v>95130</v>
      </c>
      <c r="V4" s="14">
        <f t="shared" si="0"/>
        <v>218798.99999999997</v>
      </c>
      <c r="W4" s="14">
        <f t="shared" si="1"/>
        <v>2207016</v>
      </c>
      <c r="X4" s="14">
        <f t="shared" si="2"/>
        <v>4023998.9999999995</v>
      </c>
      <c r="Y4" s="14">
        <v>2.2999999999999998</v>
      </c>
      <c r="Z4" s="14">
        <v>42.3</v>
      </c>
      <c r="AA4" s="14">
        <v>23.2</v>
      </c>
      <c r="AB4" s="14">
        <v>0.98</v>
      </c>
      <c r="AC4" s="14">
        <v>0.84799999999999998</v>
      </c>
      <c r="AE4" t="s">
        <v>149</v>
      </c>
      <c r="AF4" s="26">
        <f>S14</f>
        <v>16932</v>
      </c>
      <c r="AG4" s="26">
        <f>T14</f>
        <v>103285.2</v>
      </c>
      <c r="AH4" s="26">
        <f>U14</f>
        <v>77656</v>
      </c>
      <c r="AI4" s="1">
        <f t="shared" ref="AI4:AK4" si="7">V14</f>
        <v>660076</v>
      </c>
      <c r="AJ4" s="1">
        <f t="shared" si="7"/>
        <v>4309908</v>
      </c>
      <c r="AK4" s="1">
        <f t="shared" si="7"/>
        <v>7330726.4000000004</v>
      </c>
      <c r="AL4" s="27"/>
      <c r="AM4" s="27"/>
      <c r="AN4" s="27"/>
      <c r="AO4" s="27"/>
    </row>
    <row r="5" spans="1:41">
      <c r="A5" s="14" t="s">
        <v>172</v>
      </c>
      <c r="B5" s="14" t="s">
        <v>287</v>
      </c>
      <c r="C5" s="14">
        <v>1530</v>
      </c>
      <c r="D5" s="17">
        <v>19446</v>
      </c>
      <c r="E5" s="14">
        <v>1.7</v>
      </c>
      <c r="F5" s="14">
        <v>33</v>
      </c>
      <c r="G5" s="14">
        <v>10.1</v>
      </c>
      <c r="H5" s="14">
        <v>1.85</v>
      </c>
      <c r="I5" s="14">
        <f t="shared" si="4"/>
        <v>33058.199999999997</v>
      </c>
      <c r="J5" s="14">
        <v>0.35899999999999999</v>
      </c>
      <c r="K5" s="12"/>
      <c r="L5" s="12">
        <f t="shared" si="5"/>
        <v>2830.5</v>
      </c>
      <c r="M5" t="s">
        <v>150</v>
      </c>
      <c r="N5">
        <f>SUM(I31,I37)/SUM(D37,D31)</f>
        <v>0.78689818468823991</v>
      </c>
      <c r="P5" s="12"/>
      <c r="Q5" s="14" t="s">
        <v>172</v>
      </c>
      <c r="R5" s="14" t="s">
        <v>287</v>
      </c>
      <c r="S5" s="14">
        <v>1530</v>
      </c>
      <c r="T5" s="17">
        <f t="shared" si="6"/>
        <v>28305</v>
      </c>
      <c r="U5" s="17">
        <v>19446</v>
      </c>
      <c r="V5" s="14">
        <f t="shared" si="0"/>
        <v>33058.199999999997</v>
      </c>
      <c r="W5" s="14">
        <f t="shared" si="1"/>
        <v>196404.6</v>
      </c>
      <c r="X5" s="14">
        <f t="shared" si="2"/>
        <v>641718</v>
      </c>
      <c r="Y5" s="14">
        <v>1.7</v>
      </c>
      <c r="Z5" s="14">
        <v>33</v>
      </c>
      <c r="AA5" s="14">
        <v>10.1</v>
      </c>
      <c r="AB5" s="14">
        <v>1.85</v>
      </c>
      <c r="AC5" s="14">
        <v>0.35899999999999999</v>
      </c>
      <c r="AE5" t="s">
        <v>150</v>
      </c>
      <c r="AF5" s="26">
        <f t="shared" ref="AF5:AK5" si="8">SUM(S16:S17)</f>
        <v>2341</v>
      </c>
      <c r="AG5" s="26">
        <f t="shared" si="8"/>
        <v>51391.8</v>
      </c>
      <c r="AH5" s="26">
        <f t="shared" si="8"/>
        <v>46879</v>
      </c>
      <c r="AI5" s="1">
        <f t="shared" si="8"/>
        <v>36889</v>
      </c>
      <c r="AJ5" s="1">
        <f t="shared" si="8"/>
        <v>450619.30000000005</v>
      </c>
      <c r="AK5" s="1">
        <f t="shared" si="8"/>
        <v>6152141.6999999993</v>
      </c>
      <c r="AL5" s="27"/>
      <c r="AM5" s="27"/>
      <c r="AN5" s="27"/>
      <c r="AO5" s="27"/>
    </row>
    <row r="6" spans="1:41">
      <c r="A6" s="14" t="s">
        <v>173</v>
      </c>
      <c r="B6" s="14" t="s">
        <v>288</v>
      </c>
      <c r="C6" s="14">
        <v>5787</v>
      </c>
      <c r="D6" s="17">
        <v>222261</v>
      </c>
      <c r="E6" s="14">
        <v>2.1</v>
      </c>
      <c r="F6" s="14">
        <v>19.5</v>
      </c>
      <c r="G6" s="14">
        <v>21.2</v>
      </c>
      <c r="H6" s="14">
        <v>3.21</v>
      </c>
      <c r="I6" s="14">
        <f t="shared" si="4"/>
        <v>466748.10000000003</v>
      </c>
      <c r="J6" s="14">
        <v>1</v>
      </c>
      <c r="K6" s="12"/>
      <c r="L6" s="12">
        <f t="shared" si="5"/>
        <v>18576.27</v>
      </c>
      <c r="M6" t="s">
        <v>151</v>
      </c>
      <c r="N6">
        <f>SUM(I15:I16,I43)/SUM(D43,D15:D16)</f>
        <v>2.8131735896574206</v>
      </c>
      <c r="P6" s="12"/>
      <c r="Q6" s="14" t="s">
        <v>173</v>
      </c>
      <c r="R6" s="14" t="s">
        <v>288</v>
      </c>
      <c r="S6" s="14">
        <v>5787</v>
      </c>
      <c r="T6" s="17">
        <f t="shared" si="6"/>
        <v>185762.69999999998</v>
      </c>
      <c r="U6" s="17">
        <v>222261</v>
      </c>
      <c r="V6" s="14">
        <f t="shared" si="0"/>
        <v>466748.10000000003</v>
      </c>
      <c r="W6" s="14">
        <f t="shared" si="1"/>
        <v>4711933.2</v>
      </c>
      <c r="X6" s="14">
        <f t="shared" si="2"/>
        <v>4334089.5</v>
      </c>
      <c r="Y6" s="14">
        <v>2.1</v>
      </c>
      <c r="Z6" s="14">
        <v>19.5</v>
      </c>
      <c r="AA6" s="14">
        <v>21.2</v>
      </c>
      <c r="AB6" s="14">
        <v>3.21</v>
      </c>
      <c r="AC6" s="14">
        <v>1</v>
      </c>
      <c r="AE6" t="s">
        <v>151</v>
      </c>
      <c r="AF6" s="26">
        <f t="shared" ref="AF6:AK6" si="9">SUM(S19:S21)</f>
        <v>100009</v>
      </c>
      <c r="AG6" s="26">
        <f t="shared" si="9"/>
        <v>533452.10000000009</v>
      </c>
      <c r="AH6" s="26">
        <f t="shared" si="9"/>
        <v>493958</v>
      </c>
      <c r="AI6" s="1">
        <f t="shared" si="9"/>
        <v>1389589.6</v>
      </c>
      <c r="AJ6" s="1">
        <f t="shared" si="9"/>
        <v>17026313.899999999</v>
      </c>
      <c r="AK6" s="1">
        <f t="shared" si="9"/>
        <v>31363961.700000003</v>
      </c>
      <c r="AL6" s="27">
        <f>AG6/1000/AF6*100</f>
        <v>0.53340409363157326</v>
      </c>
      <c r="AM6" s="27">
        <f>AI6/$AH6</f>
        <v>2.8131735896574206</v>
      </c>
      <c r="AN6" s="27">
        <f>AJ6/$AH6</f>
        <v>34.469153045400617</v>
      </c>
      <c r="AO6" s="27">
        <f>AK6/$AH6</f>
        <v>63.495199389421778</v>
      </c>
    </row>
    <row r="7" spans="1:41">
      <c r="A7" s="14" t="s">
        <v>174</v>
      </c>
      <c r="B7" s="14" t="s">
        <v>287</v>
      </c>
      <c r="C7" s="14">
        <v>5290</v>
      </c>
      <c r="D7" s="17">
        <v>40678</v>
      </c>
      <c r="E7" s="14">
        <v>4.0999999999999996</v>
      </c>
      <c r="F7" s="14">
        <v>74</v>
      </c>
      <c r="G7" s="14">
        <v>19.399999999999999</v>
      </c>
      <c r="H7" s="14">
        <v>0.78</v>
      </c>
      <c r="I7" s="14">
        <f t="shared" si="4"/>
        <v>166779.79999999999</v>
      </c>
      <c r="J7" s="14">
        <v>0.85699999999999998</v>
      </c>
      <c r="K7" s="12"/>
      <c r="L7" s="12">
        <f t="shared" si="5"/>
        <v>4126.2</v>
      </c>
      <c r="M7" t="s">
        <v>152</v>
      </c>
      <c r="P7" s="12"/>
      <c r="Q7" s="14" t="s">
        <v>174</v>
      </c>
      <c r="R7" s="14" t="s">
        <v>287</v>
      </c>
      <c r="S7" s="14">
        <v>5290</v>
      </c>
      <c r="T7" s="17">
        <f t="shared" si="6"/>
        <v>41262</v>
      </c>
      <c r="U7" s="17">
        <v>40678</v>
      </c>
      <c r="V7" s="14">
        <f t="shared" si="0"/>
        <v>166779.79999999999</v>
      </c>
      <c r="W7" s="14">
        <f t="shared" si="1"/>
        <v>789153.2</v>
      </c>
      <c r="X7" s="14">
        <f t="shared" si="2"/>
        <v>3010172</v>
      </c>
      <c r="Y7" s="14">
        <v>4.0999999999999996</v>
      </c>
      <c r="Z7" s="14">
        <v>74</v>
      </c>
      <c r="AA7" s="14">
        <v>19.399999999999999</v>
      </c>
      <c r="AB7" s="14">
        <v>0.78</v>
      </c>
      <c r="AC7" s="14">
        <v>0.85699999999999998</v>
      </c>
      <c r="AE7" t="s">
        <v>152</v>
      </c>
      <c r="AF7">
        <f>0</f>
        <v>0</v>
      </c>
      <c r="AG7">
        <f>0</f>
        <v>0</v>
      </c>
      <c r="AH7">
        <f>0</f>
        <v>0</v>
      </c>
      <c r="AI7" s="1">
        <f>0</f>
        <v>0</v>
      </c>
      <c r="AJ7" s="1">
        <f>0</f>
        <v>0</v>
      </c>
      <c r="AK7" s="1">
        <f>0</f>
        <v>0</v>
      </c>
      <c r="AL7" s="27"/>
      <c r="AM7" s="27"/>
      <c r="AN7" s="27"/>
      <c r="AO7" s="27"/>
    </row>
    <row r="8" spans="1:41">
      <c r="A8" s="14" t="s">
        <v>175</v>
      </c>
      <c r="B8" s="14" t="s">
        <v>289</v>
      </c>
      <c r="C8" s="14">
        <v>7841</v>
      </c>
      <c r="D8" s="17">
        <v>136827</v>
      </c>
      <c r="E8" s="14">
        <v>5</v>
      </c>
      <c r="F8" s="14">
        <v>46.6</v>
      </c>
      <c r="G8" s="14">
        <v>27.2</v>
      </c>
      <c r="H8" s="14">
        <v>2.46</v>
      </c>
      <c r="I8" s="14">
        <f t="shared" si="4"/>
        <v>684135</v>
      </c>
      <c r="J8" s="14">
        <v>0.95299999999999996</v>
      </c>
      <c r="K8" s="12"/>
      <c r="L8" s="12">
        <f t="shared" si="5"/>
        <v>19288.86</v>
      </c>
      <c r="M8" t="s">
        <v>153</v>
      </c>
      <c r="N8">
        <f>K18</f>
        <v>2.1445886505509675</v>
      </c>
      <c r="O8">
        <f>SUM(L18:L29)/SUM(C18:C29)</f>
        <v>0.93089131431753602</v>
      </c>
      <c r="P8" s="12"/>
      <c r="Q8" s="14" t="s">
        <v>175</v>
      </c>
      <c r="R8" s="14" t="s">
        <v>289</v>
      </c>
      <c r="S8" s="14">
        <v>7841</v>
      </c>
      <c r="T8" s="17">
        <f t="shared" si="6"/>
        <v>192888.6</v>
      </c>
      <c r="U8" s="17">
        <v>136827</v>
      </c>
      <c r="V8" s="14">
        <f t="shared" si="0"/>
        <v>684135</v>
      </c>
      <c r="W8" s="14">
        <f t="shared" si="1"/>
        <v>3721694.4</v>
      </c>
      <c r="X8" s="14">
        <f t="shared" si="2"/>
        <v>6376138.2000000002</v>
      </c>
      <c r="Y8" s="14">
        <v>5</v>
      </c>
      <c r="Z8" s="14">
        <v>46.6</v>
      </c>
      <c r="AA8" s="14">
        <v>27.2</v>
      </c>
      <c r="AB8" s="14">
        <v>2.46</v>
      </c>
      <c r="AC8" s="14">
        <v>0.95299999999999996</v>
      </c>
      <c r="AE8" t="s">
        <v>153</v>
      </c>
      <c r="AF8" s="26">
        <f t="shared" ref="AF8:AK8" si="10">SUM(S25:S31,S33:S34,S36,S38)</f>
        <v>457629</v>
      </c>
      <c r="AG8" s="26">
        <f t="shared" si="10"/>
        <v>4476546.5999999987</v>
      </c>
      <c r="AH8" s="26">
        <f t="shared" si="10"/>
        <v>3979668</v>
      </c>
      <c r="AI8" s="1">
        <f t="shared" si="10"/>
        <v>7781444.1000000006</v>
      </c>
      <c r="AJ8" s="1">
        <f t="shared" si="10"/>
        <v>70427793.899999991</v>
      </c>
      <c r="AK8" s="1">
        <f t="shared" si="10"/>
        <v>293675697.60000002</v>
      </c>
      <c r="AL8" s="27">
        <f>AG8/1000/AF8*100</f>
        <v>0.97820430960450477</v>
      </c>
      <c r="AM8" s="27">
        <f>AI8/$AH8</f>
        <v>1.9552998139543301</v>
      </c>
      <c r="AN8" s="27">
        <f>AJ8/$AH8</f>
        <v>17.696901826986572</v>
      </c>
      <c r="AO8" s="27">
        <f>AK8/$AH8</f>
        <v>73.794019400613323</v>
      </c>
    </row>
    <row r="9" spans="1:41">
      <c r="A9" s="14" t="s">
        <v>176</v>
      </c>
      <c r="B9" s="14" t="s">
        <v>287</v>
      </c>
      <c r="C9" s="14">
        <v>8038</v>
      </c>
      <c r="D9" s="17">
        <v>104241</v>
      </c>
      <c r="E9" s="14">
        <v>2.2000000000000002</v>
      </c>
      <c r="F9" s="14">
        <v>39.799999999999997</v>
      </c>
      <c r="G9" s="14">
        <v>17.7</v>
      </c>
      <c r="H9" s="14">
        <v>1.54</v>
      </c>
      <c r="I9" s="14">
        <f t="shared" si="4"/>
        <v>229330.2</v>
      </c>
      <c r="J9" s="14">
        <v>0.80900000000000005</v>
      </c>
      <c r="K9" s="12"/>
      <c r="L9" s="12">
        <f t="shared" si="5"/>
        <v>12378.52</v>
      </c>
      <c r="M9" t="s">
        <v>205</v>
      </c>
      <c r="N9">
        <f>SUM(I3:I43)/(SUM(D3:D43)-D39-D13)</f>
        <v>2.3694177831316412</v>
      </c>
      <c r="O9">
        <f>SUM(L3:L43)/SUM(C3:C43)</f>
        <v>0.86920063550781335</v>
      </c>
      <c r="P9" s="12"/>
      <c r="Q9" s="14" t="s">
        <v>176</v>
      </c>
      <c r="R9" s="14" t="s">
        <v>287</v>
      </c>
      <c r="S9" s="14">
        <v>8038</v>
      </c>
      <c r="T9" s="17">
        <f t="shared" si="6"/>
        <v>123785.2</v>
      </c>
      <c r="U9" s="17">
        <v>104241</v>
      </c>
      <c r="V9" s="14">
        <f t="shared" si="0"/>
        <v>229330.2</v>
      </c>
      <c r="W9" s="14">
        <f t="shared" si="1"/>
        <v>1845065.7</v>
      </c>
      <c r="X9" s="14">
        <f t="shared" si="2"/>
        <v>4148791.8</v>
      </c>
      <c r="Y9" s="14">
        <v>2.2000000000000002</v>
      </c>
      <c r="Z9" s="14">
        <v>39.799999999999997</v>
      </c>
      <c r="AA9" s="14">
        <v>17.7</v>
      </c>
      <c r="AB9" s="14">
        <v>1.54</v>
      </c>
      <c r="AC9" s="14">
        <v>0.80900000000000005</v>
      </c>
      <c r="AL9" s="27"/>
      <c r="AM9" s="27"/>
      <c r="AN9" s="27"/>
      <c r="AO9" s="27"/>
    </row>
    <row r="10" spans="1:41">
      <c r="A10" s="14" t="s">
        <v>177</v>
      </c>
      <c r="B10" s="14" t="s">
        <v>287</v>
      </c>
      <c r="C10" s="14">
        <v>760</v>
      </c>
      <c r="D10" s="14">
        <v>1985</v>
      </c>
      <c r="E10" s="14">
        <v>1.2</v>
      </c>
      <c r="F10" s="14">
        <v>1046.9000000000001</v>
      </c>
      <c r="G10" s="14">
        <v>18.8</v>
      </c>
      <c r="H10" s="14">
        <v>0.36</v>
      </c>
      <c r="I10" s="14">
        <f t="shared" si="4"/>
        <v>2382</v>
      </c>
      <c r="J10" s="14">
        <v>0.105</v>
      </c>
      <c r="K10" s="12"/>
      <c r="L10" s="12">
        <f t="shared" si="5"/>
        <v>273.59999999999997</v>
      </c>
      <c r="P10" s="12"/>
      <c r="Q10" s="14" t="s">
        <v>177</v>
      </c>
      <c r="R10" s="14" t="s">
        <v>287</v>
      </c>
      <c r="S10" s="14">
        <v>760</v>
      </c>
      <c r="T10" s="17">
        <f t="shared" si="6"/>
        <v>2735.9999999999995</v>
      </c>
      <c r="U10" s="14">
        <v>1985</v>
      </c>
      <c r="V10" s="14">
        <f t="shared" si="0"/>
        <v>2382</v>
      </c>
      <c r="W10" s="14">
        <f t="shared" si="1"/>
        <v>37318</v>
      </c>
      <c r="X10" s="14">
        <f t="shared" si="2"/>
        <v>2078096.5000000002</v>
      </c>
      <c r="Y10" s="14">
        <v>1.2</v>
      </c>
      <c r="Z10" s="14">
        <v>1046.9000000000001</v>
      </c>
      <c r="AA10" s="14">
        <v>18.8</v>
      </c>
      <c r="AB10" s="14">
        <v>0.36</v>
      </c>
      <c r="AC10" s="14">
        <v>0.105</v>
      </c>
      <c r="AE10" t="s">
        <v>303</v>
      </c>
      <c r="AF10" t="s">
        <v>308</v>
      </c>
      <c r="AG10" t="s">
        <v>311</v>
      </c>
      <c r="AH10" t="s">
        <v>304</v>
      </c>
      <c r="AI10" t="s">
        <v>202</v>
      </c>
      <c r="AJ10" t="s">
        <v>298</v>
      </c>
      <c r="AK10" t="s">
        <v>299</v>
      </c>
      <c r="AL10" s="27" t="s">
        <v>309</v>
      </c>
      <c r="AM10" t="s">
        <v>306</v>
      </c>
      <c r="AN10" t="s">
        <v>295</v>
      </c>
      <c r="AO10" t="s">
        <v>307</v>
      </c>
    </row>
    <row r="11" spans="1:41">
      <c r="A11" s="14" t="s">
        <v>178</v>
      </c>
      <c r="B11" s="14" t="s">
        <v>287</v>
      </c>
      <c r="C11" s="17">
        <v>17903</v>
      </c>
      <c r="D11" s="17">
        <v>30519</v>
      </c>
      <c r="E11" s="14">
        <v>4.7</v>
      </c>
      <c r="F11" s="14">
        <v>161.1</v>
      </c>
      <c r="G11" s="14">
        <v>40.6</v>
      </c>
      <c r="H11" s="14">
        <v>0.24</v>
      </c>
      <c r="I11" s="14">
        <f t="shared" si="4"/>
        <v>143439.30000000002</v>
      </c>
      <c r="J11" s="14">
        <v>0.29399999999999998</v>
      </c>
      <c r="K11" s="12"/>
      <c r="L11" s="12">
        <f t="shared" si="5"/>
        <v>4296.72</v>
      </c>
      <c r="P11" s="13"/>
      <c r="Q11" s="14" t="s">
        <v>178</v>
      </c>
      <c r="R11" s="14" t="s">
        <v>287</v>
      </c>
      <c r="S11" s="17">
        <v>17903</v>
      </c>
      <c r="T11" s="17">
        <f t="shared" si="6"/>
        <v>42967.200000000004</v>
      </c>
      <c r="U11" s="17">
        <v>30519</v>
      </c>
      <c r="V11" s="14">
        <f t="shared" si="0"/>
        <v>143439.30000000002</v>
      </c>
      <c r="W11" s="14">
        <f t="shared" si="1"/>
        <v>1239071.4000000001</v>
      </c>
      <c r="X11" s="14">
        <f t="shared" si="2"/>
        <v>4916610.8999999994</v>
      </c>
      <c r="Y11" s="14">
        <v>4.7</v>
      </c>
      <c r="Z11" s="14">
        <v>161.1</v>
      </c>
      <c r="AA11" s="14">
        <v>40.6</v>
      </c>
      <c r="AB11" s="14">
        <v>0.24</v>
      </c>
      <c r="AC11" s="14">
        <v>0.29399999999999998</v>
      </c>
      <c r="AE11" t="s">
        <v>148</v>
      </c>
      <c r="AF11" s="26">
        <f t="shared" ref="AF11:AK11" si="11">SUM(S3:S12)-AF3</f>
        <v>7841</v>
      </c>
      <c r="AG11" s="26">
        <f t="shared" si="11"/>
        <v>192888.59999999998</v>
      </c>
      <c r="AH11" s="26">
        <f t="shared" si="11"/>
        <v>136827</v>
      </c>
      <c r="AI11" s="26">
        <f t="shared" si="11"/>
        <v>684134.99999999977</v>
      </c>
      <c r="AJ11" s="26">
        <f t="shared" si="11"/>
        <v>3721694.4000000004</v>
      </c>
      <c r="AK11" s="26">
        <f t="shared" si="11"/>
        <v>6376138.1999999993</v>
      </c>
      <c r="AL11" s="27"/>
      <c r="AM11" s="27"/>
      <c r="AN11" s="27"/>
      <c r="AO11" s="27"/>
    </row>
    <row r="12" spans="1:41">
      <c r="A12" s="13" t="s">
        <v>158</v>
      </c>
      <c r="B12" s="13"/>
      <c r="C12" s="13"/>
      <c r="D12" s="13"/>
      <c r="E12" s="13"/>
      <c r="F12" s="13"/>
      <c r="G12" s="13"/>
      <c r="H12" s="13"/>
      <c r="I12" s="14"/>
      <c r="J12" s="13"/>
      <c r="K12" s="13"/>
      <c r="L12" s="12">
        <f t="shared" si="5"/>
        <v>0</v>
      </c>
      <c r="P12" s="12"/>
      <c r="Q12" s="14" t="s">
        <v>199</v>
      </c>
      <c r="R12" s="14" t="s">
        <v>287</v>
      </c>
      <c r="S12" s="17">
        <v>24945</v>
      </c>
      <c r="T12" s="17">
        <f t="shared" si="6"/>
        <v>207043.5</v>
      </c>
      <c r="U12" s="17">
        <v>176460</v>
      </c>
      <c r="V12" s="14">
        <f t="shared" si="0"/>
        <v>211752</v>
      </c>
      <c r="W12" s="14">
        <f t="shared" si="1"/>
        <v>2788068</v>
      </c>
      <c r="X12" s="14">
        <f t="shared" si="2"/>
        <v>6846647.9999999991</v>
      </c>
      <c r="Y12" s="14">
        <v>1.2</v>
      </c>
      <c r="Z12" s="14">
        <v>38.799999999999997</v>
      </c>
      <c r="AA12" s="14">
        <v>15.8</v>
      </c>
      <c r="AB12" s="14">
        <v>0.83</v>
      </c>
      <c r="AC12" s="14">
        <v>0.69599999999999995</v>
      </c>
      <c r="AE12" t="s">
        <v>149</v>
      </c>
      <c r="AH12">
        <v>0</v>
      </c>
      <c r="AI12">
        <v>0</v>
      </c>
      <c r="AJ12">
        <v>0</v>
      </c>
      <c r="AK12">
        <v>0</v>
      </c>
      <c r="AL12" s="27"/>
      <c r="AM12" s="27"/>
      <c r="AN12" s="27"/>
      <c r="AO12" s="27"/>
    </row>
    <row r="13" spans="1:41">
      <c r="A13" s="14" t="s">
        <v>179</v>
      </c>
      <c r="B13" s="14" t="s">
        <v>290</v>
      </c>
      <c r="C13" s="17">
        <v>36127</v>
      </c>
      <c r="D13" s="17">
        <v>174078</v>
      </c>
      <c r="E13" s="15"/>
      <c r="F13" s="14">
        <v>91.3</v>
      </c>
      <c r="G13" s="14">
        <v>37.299999999999997</v>
      </c>
      <c r="H13" s="14">
        <v>0.55000000000000004</v>
      </c>
      <c r="I13" s="14"/>
      <c r="J13" s="14">
        <v>0.68</v>
      </c>
      <c r="K13" s="12"/>
      <c r="L13" s="12">
        <f t="shared" si="5"/>
        <v>19869.850000000002</v>
      </c>
      <c r="P13" s="13"/>
      <c r="Q13" s="25" t="s">
        <v>149</v>
      </c>
      <c r="R13" s="12"/>
      <c r="S13" s="13"/>
      <c r="T13" s="17"/>
      <c r="W13" s="14"/>
      <c r="X13" s="14"/>
      <c r="AE13" t="s">
        <v>150</v>
      </c>
      <c r="AF13" s="26"/>
      <c r="AG13" s="26"/>
      <c r="AH13" s="26">
        <f>SUM(U16:U17)-AH5</f>
        <v>0</v>
      </c>
      <c r="AI13" s="26">
        <v>0</v>
      </c>
      <c r="AJ13" s="26">
        <v>0</v>
      </c>
      <c r="AK13" s="26">
        <v>0</v>
      </c>
      <c r="AL13" s="27"/>
      <c r="AM13" s="27"/>
      <c r="AN13" s="27"/>
      <c r="AO13" s="27"/>
    </row>
    <row r="14" spans="1:41">
      <c r="A14" s="13" t="s">
        <v>159</v>
      </c>
      <c r="B14" s="13"/>
      <c r="C14" s="13"/>
      <c r="D14" s="13"/>
      <c r="E14" s="13"/>
      <c r="F14" s="13"/>
      <c r="G14" s="13"/>
      <c r="H14" s="13"/>
      <c r="I14" s="14"/>
      <c r="K14" s="13"/>
      <c r="L14" s="12">
        <f t="shared" si="5"/>
        <v>0</v>
      </c>
      <c r="P14" s="12"/>
      <c r="Q14" s="14" t="s">
        <v>196</v>
      </c>
      <c r="R14" s="14" t="s">
        <v>291</v>
      </c>
      <c r="S14" s="17">
        <v>16932</v>
      </c>
      <c r="T14" s="17">
        <f t="shared" si="6"/>
        <v>103285.2</v>
      </c>
      <c r="U14" s="17">
        <v>77656</v>
      </c>
      <c r="V14" s="14">
        <f>Y14*U14</f>
        <v>660076</v>
      </c>
      <c r="W14" s="14">
        <f>AA14*U14</f>
        <v>4309908</v>
      </c>
      <c r="X14" s="14">
        <f>Z14*U14</f>
        <v>7330726.4000000004</v>
      </c>
      <c r="Y14" s="14">
        <v>8.5</v>
      </c>
      <c r="Z14" s="14">
        <v>94.4</v>
      </c>
      <c r="AA14" s="14">
        <v>55.5</v>
      </c>
      <c r="AB14" s="14">
        <v>0.61</v>
      </c>
      <c r="AC14" s="14">
        <v>0.70799999999999996</v>
      </c>
      <c r="AE14" t="s">
        <v>151</v>
      </c>
      <c r="AH14">
        <v>0</v>
      </c>
      <c r="AI14">
        <v>0</v>
      </c>
      <c r="AJ14">
        <v>0</v>
      </c>
      <c r="AK14">
        <v>0</v>
      </c>
      <c r="AL14" s="27"/>
      <c r="AM14" s="27"/>
      <c r="AN14" s="27"/>
      <c r="AO14" s="27"/>
    </row>
    <row r="15" spans="1:41">
      <c r="A15" s="14" t="s">
        <v>180</v>
      </c>
      <c r="B15" s="14" t="s">
        <v>287</v>
      </c>
      <c r="C15" s="17">
        <v>48882</v>
      </c>
      <c r="D15" s="17">
        <v>164827</v>
      </c>
      <c r="E15" s="14">
        <v>0.9</v>
      </c>
      <c r="F15" s="14">
        <v>135.4</v>
      </c>
      <c r="G15" s="14">
        <v>23.7</v>
      </c>
      <c r="H15" s="14">
        <v>0.4</v>
      </c>
      <c r="I15" s="14">
        <f>E15*D15</f>
        <v>148344.30000000002</v>
      </c>
      <c r="J15" s="14">
        <v>0.82299999999999995</v>
      </c>
      <c r="K15" s="12">
        <f>SUM(I15:I16)/SUM(D15:D16)</f>
        <v>1.3836981209993806</v>
      </c>
      <c r="L15" s="12">
        <f t="shared" si="5"/>
        <v>19552.8</v>
      </c>
      <c r="P15" s="12"/>
      <c r="Q15" s="25" t="s">
        <v>150</v>
      </c>
      <c r="R15" s="12"/>
      <c r="S15" s="12"/>
      <c r="T15" s="17"/>
      <c r="W15" s="14"/>
      <c r="X15" s="14"/>
      <c r="AE15" t="s">
        <v>152</v>
      </c>
      <c r="AF15" s="26">
        <f>S23</f>
        <v>3646</v>
      </c>
      <c r="AG15" s="26">
        <f>T23</f>
        <v>72555.400000000009</v>
      </c>
      <c r="AH15" s="26">
        <f>U23</f>
        <v>53370</v>
      </c>
      <c r="AI15" s="26">
        <f t="shared" ref="AI15:AK15" si="12">V23</f>
        <v>149436</v>
      </c>
      <c r="AJ15" s="26">
        <f t="shared" si="12"/>
        <v>1408968</v>
      </c>
      <c r="AK15" s="26">
        <f t="shared" si="12"/>
        <v>1814580</v>
      </c>
      <c r="AL15" s="27"/>
      <c r="AM15" s="27"/>
      <c r="AN15" s="27"/>
      <c r="AO15" s="27"/>
    </row>
    <row r="16" spans="1:41">
      <c r="A16" s="14" t="s">
        <v>181</v>
      </c>
      <c r="B16" s="14" t="s">
        <v>291</v>
      </c>
      <c r="C16" s="14">
        <v>2451</v>
      </c>
      <c r="D16" s="17">
        <v>87009</v>
      </c>
      <c r="E16" s="14">
        <v>2.2999999999999998</v>
      </c>
      <c r="F16" s="14">
        <v>76.7</v>
      </c>
      <c r="G16" s="14">
        <v>20</v>
      </c>
      <c r="H16" s="14">
        <v>2.0699999999999998</v>
      </c>
      <c r="I16" s="14">
        <f>E16*D16</f>
        <v>200120.69999999998</v>
      </c>
      <c r="J16" s="14">
        <v>0.56200000000000006</v>
      </c>
      <c r="K16" s="12"/>
      <c r="L16" s="12">
        <f t="shared" si="5"/>
        <v>5073.57</v>
      </c>
      <c r="P16" s="13"/>
      <c r="Q16" s="14" t="s">
        <v>194</v>
      </c>
      <c r="R16" s="14" t="s">
        <v>287</v>
      </c>
      <c r="S16" s="14">
        <v>1374</v>
      </c>
      <c r="T16" s="17">
        <f t="shared" si="6"/>
        <v>14839.2</v>
      </c>
      <c r="U16" s="17">
        <v>16650</v>
      </c>
      <c r="V16" s="14">
        <v>6660</v>
      </c>
      <c r="W16" s="14">
        <f>AA16*U16</f>
        <v>248085</v>
      </c>
      <c r="X16" s="14">
        <f>Z16*U16</f>
        <v>3513150</v>
      </c>
      <c r="Y16" s="14">
        <v>0.4</v>
      </c>
      <c r="Z16" s="14">
        <v>211</v>
      </c>
      <c r="AA16" s="14">
        <v>14.9</v>
      </c>
      <c r="AB16" s="14">
        <v>1.08</v>
      </c>
      <c r="AC16" s="14">
        <v>0.51800000000000002</v>
      </c>
      <c r="AE16" t="s">
        <v>153</v>
      </c>
      <c r="AF16" s="26">
        <f t="shared" ref="AF16:AK16" si="13">SUM(S32,S35,S37)</f>
        <v>73878</v>
      </c>
      <c r="AG16" s="26">
        <f t="shared" si="13"/>
        <v>362009.80000000005</v>
      </c>
      <c r="AH16" s="26">
        <f t="shared" si="13"/>
        <v>212030</v>
      </c>
      <c r="AI16" s="26">
        <f t="shared" si="13"/>
        <v>472013.9</v>
      </c>
      <c r="AJ16" s="26">
        <f t="shared" si="13"/>
        <v>7552625.7000000002</v>
      </c>
      <c r="AK16" s="26">
        <f t="shared" si="13"/>
        <v>9686677.3000000007</v>
      </c>
      <c r="AL16" s="27">
        <f>AG16/1000/AF16*100</f>
        <v>0.49001028723029866</v>
      </c>
      <c r="AM16" s="27">
        <f>AI16/$AH16</f>
        <v>2.2261656369381693</v>
      </c>
      <c r="AN16" s="27">
        <f>AJ16/$AH16</f>
        <v>35.620552280337691</v>
      </c>
      <c r="AO16" s="27">
        <f>AK16/$AH16</f>
        <v>45.685409140216009</v>
      </c>
    </row>
    <row r="17" spans="1:41">
      <c r="A17" s="13" t="s">
        <v>160</v>
      </c>
      <c r="B17" s="13"/>
      <c r="C17" s="13"/>
      <c r="D17" s="13"/>
      <c r="E17" s="13"/>
      <c r="F17" s="13"/>
      <c r="G17" s="13"/>
      <c r="H17" s="13"/>
      <c r="I17" s="14"/>
      <c r="K17" s="13"/>
      <c r="L17" s="12">
        <f t="shared" si="5"/>
        <v>0</v>
      </c>
      <c r="P17" s="12"/>
      <c r="Q17" s="14" t="s">
        <v>197</v>
      </c>
      <c r="R17" s="14" t="s">
        <v>287</v>
      </c>
      <c r="S17" s="14">
        <v>967</v>
      </c>
      <c r="T17" s="17">
        <f t="shared" si="6"/>
        <v>36552.6</v>
      </c>
      <c r="U17" s="17">
        <v>30229</v>
      </c>
      <c r="V17" s="14">
        <v>30229</v>
      </c>
      <c r="W17" s="14">
        <f>AA17*U17</f>
        <v>202534.30000000002</v>
      </c>
      <c r="X17" s="14">
        <f>Z17*U17</f>
        <v>2638991.6999999997</v>
      </c>
      <c r="Y17" s="14">
        <v>1</v>
      </c>
      <c r="Z17" s="14">
        <v>87.3</v>
      </c>
      <c r="AA17" s="14">
        <v>6.7</v>
      </c>
      <c r="AB17" s="14">
        <v>3.78</v>
      </c>
      <c r="AC17" s="14">
        <v>0.65700000000000003</v>
      </c>
    </row>
    <row r="18" spans="1:41">
      <c r="A18" s="14" t="s">
        <v>182</v>
      </c>
      <c r="B18" s="14" t="s">
        <v>287</v>
      </c>
      <c r="C18" s="17">
        <v>23446</v>
      </c>
      <c r="D18" s="17">
        <v>226932</v>
      </c>
      <c r="E18" s="14">
        <v>1</v>
      </c>
      <c r="F18" s="14">
        <v>99.4</v>
      </c>
      <c r="G18" s="14">
        <v>11.8</v>
      </c>
      <c r="H18" s="14">
        <v>1.05</v>
      </c>
      <c r="I18" s="14">
        <f>E18*D18</f>
        <v>226932</v>
      </c>
      <c r="J18" s="14">
        <v>0.91300000000000003</v>
      </c>
      <c r="K18" s="12">
        <f>SUM(I18:I23,I25:I29)/SUM(D18:D23,D25:D29)</f>
        <v>2.1445886505509675</v>
      </c>
      <c r="L18" s="12">
        <f t="shared" si="5"/>
        <v>24618.3</v>
      </c>
      <c r="P18" s="12"/>
      <c r="Q18" s="25" t="s">
        <v>151</v>
      </c>
      <c r="R18" s="13"/>
      <c r="S18" s="12"/>
      <c r="T18" s="17"/>
      <c r="W18" s="14"/>
      <c r="X18" s="14"/>
      <c r="AE18" t="s">
        <v>310</v>
      </c>
      <c r="AF18" t="s">
        <v>308</v>
      </c>
      <c r="AG18" t="s">
        <v>311</v>
      </c>
      <c r="AH18" t="s">
        <v>304</v>
      </c>
      <c r="AI18" t="s">
        <v>202</v>
      </c>
      <c r="AJ18" t="s">
        <v>298</v>
      </c>
      <c r="AK18" t="s">
        <v>299</v>
      </c>
      <c r="AL18" s="27" t="s">
        <v>309</v>
      </c>
      <c r="AM18" t="s">
        <v>306</v>
      </c>
      <c r="AN18" t="s">
        <v>295</v>
      </c>
      <c r="AO18" t="s">
        <v>307</v>
      </c>
    </row>
    <row r="19" spans="1:41">
      <c r="A19" s="14" t="s">
        <v>183</v>
      </c>
      <c r="B19" s="14" t="s">
        <v>292</v>
      </c>
      <c r="C19" s="17">
        <v>126120</v>
      </c>
      <c r="D19" s="17">
        <v>888618</v>
      </c>
      <c r="E19" s="14">
        <v>3.1</v>
      </c>
      <c r="F19" s="14">
        <v>53.3</v>
      </c>
      <c r="G19" s="14">
        <v>17.100000000000001</v>
      </c>
      <c r="H19" s="14">
        <v>0.83</v>
      </c>
      <c r="I19" s="14">
        <f t="shared" ref="I19:I43" si="14">E19*D19</f>
        <v>2754715.8000000003</v>
      </c>
      <c r="J19" s="14">
        <v>0.84699999999999998</v>
      </c>
      <c r="K19" s="12"/>
      <c r="L19" s="12">
        <f t="shared" si="5"/>
        <v>104679.59999999999</v>
      </c>
      <c r="P19" s="12"/>
      <c r="Q19" s="14" t="s">
        <v>180</v>
      </c>
      <c r="R19" s="14" t="s">
        <v>287</v>
      </c>
      <c r="S19" s="17">
        <v>48882</v>
      </c>
      <c r="T19" s="17">
        <f t="shared" si="6"/>
        <v>195528</v>
      </c>
      <c r="U19" s="17">
        <v>164827</v>
      </c>
      <c r="V19" s="14">
        <v>148344.30000000002</v>
      </c>
      <c r="W19" s="14">
        <f>AA19*U19</f>
        <v>3906399.9</v>
      </c>
      <c r="X19" s="14">
        <f>Z19*U19</f>
        <v>22317575.800000001</v>
      </c>
      <c r="Y19" s="14">
        <v>0.9</v>
      </c>
      <c r="Z19" s="14">
        <v>135.4</v>
      </c>
      <c r="AA19" s="14">
        <v>23.7</v>
      </c>
      <c r="AB19" s="14">
        <v>0.4</v>
      </c>
      <c r="AC19" s="14">
        <v>0.82299999999999995</v>
      </c>
      <c r="AE19" t="s">
        <v>148</v>
      </c>
      <c r="AF19" s="26">
        <f>SUM(S3:S12)</f>
        <v>104643</v>
      </c>
      <c r="AG19" s="26">
        <f>SUM(T3:T12)</f>
        <v>998669.89999999991</v>
      </c>
      <c r="AH19" s="26">
        <f t="shared" ref="AH19:AK19" si="15">SUM(U3:U12)</f>
        <v>891775</v>
      </c>
      <c r="AI19" s="1">
        <f t="shared" si="15"/>
        <v>2490409.1999999997</v>
      </c>
      <c r="AJ19" s="1">
        <f t="shared" si="15"/>
        <v>19359799.699999999</v>
      </c>
      <c r="AK19" s="1">
        <f t="shared" si="15"/>
        <v>39523435.899999999</v>
      </c>
      <c r="AL19" s="27">
        <f>AG19/1000/AF19*100</f>
        <v>0.95435901111397792</v>
      </c>
      <c r="AM19" s="27">
        <f>AI19/$AH19</f>
        <v>2.7926429873006082</v>
      </c>
      <c r="AN19" s="27">
        <f>AJ19/$AH19</f>
        <v>21.709287320232121</v>
      </c>
      <c r="AO19" s="27">
        <f>AK19/$AH19</f>
        <v>44.319964004373297</v>
      </c>
    </row>
    <row r="20" spans="1:41">
      <c r="A20" s="14" t="s">
        <v>184</v>
      </c>
      <c r="B20" s="14" t="s">
        <v>290</v>
      </c>
      <c r="C20" s="17">
        <v>44422</v>
      </c>
      <c r="D20" s="17">
        <v>479263</v>
      </c>
      <c r="E20" s="14">
        <v>2.5</v>
      </c>
      <c r="F20" s="14">
        <v>31.9</v>
      </c>
      <c r="G20" s="14">
        <v>15</v>
      </c>
      <c r="H20" s="14">
        <v>1.1200000000000001</v>
      </c>
      <c r="I20" s="14">
        <f t="shared" si="14"/>
        <v>1198157.5</v>
      </c>
      <c r="J20" s="14">
        <v>0.95</v>
      </c>
      <c r="K20" s="12"/>
      <c r="L20" s="12">
        <f t="shared" si="5"/>
        <v>49752.640000000007</v>
      </c>
      <c r="P20" s="12"/>
      <c r="Q20" s="14" t="s">
        <v>181</v>
      </c>
      <c r="R20" s="14" t="s">
        <v>291</v>
      </c>
      <c r="S20" s="14">
        <v>2451</v>
      </c>
      <c r="T20" s="17">
        <f t="shared" si="6"/>
        <v>50735.7</v>
      </c>
      <c r="U20" s="17">
        <v>87009</v>
      </c>
      <c r="V20" s="14">
        <v>200120.69999999998</v>
      </c>
      <c r="W20" s="14">
        <f>AA20*U20</f>
        <v>1740180</v>
      </c>
      <c r="X20" s="14">
        <f>Z20*U20</f>
        <v>6673590.2999999998</v>
      </c>
      <c r="Y20" s="14">
        <v>2.2999999999999998</v>
      </c>
      <c r="Z20" s="14">
        <v>76.7</v>
      </c>
      <c r="AA20" s="14">
        <v>20</v>
      </c>
      <c r="AB20" s="14">
        <v>2.0699999999999998</v>
      </c>
      <c r="AC20" s="14">
        <v>0.56200000000000006</v>
      </c>
      <c r="AE20" t="s">
        <v>149</v>
      </c>
      <c r="AF20" s="26">
        <f>SUM(S14)</f>
        <v>16932</v>
      </c>
      <c r="AG20" s="26">
        <f>SUM(T14)</f>
        <v>103285.2</v>
      </c>
      <c r="AH20" s="26">
        <f t="shared" ref="AH20:AK20" si="16">SUM(U14)</f>
        <v>77656</v>
      </c>
      <c r="AI20" s="1">
        <f t="shared" si="16"/>
        <v>660076</v>
      </c>
      <c r="AJ20" s="1">
        <f t="shared" si="16"/>
        <v>4309908</v>
      </c>
      <c r="AK20" s="1">
        <f t="shared" si="16"/>
        <v>7330726.4000000004</v>
      </c>
      <c r="AL20" s="27"/>
      <c r="AM20" s="27"/>
      <c r="AN20" s="27"/>
      <c r="AO20" s="27"/>
    </row>
    <row r="21" spans="1:41">
      <c r="A21" s="14" t="s">
        <v>185</v>
      </c>
      <c r="B21" s="14" t="s">
        <v>290</v>
      </c>
      <c r="C21" s="14">
        <v>7995</v>
      </c>
      <c r="D21" s="17">
        <v>62626</v>
      </c>
      <c r="E21" s="14">
        <v>2</v>
      </c>
      <c r="F21" s="14">
        <v>48.2</v>
      </c>
      <c r="G21" s="14">
        <v>27.9</v>
      </c>
      <c r="H21" s="14">
        <v>1</v>
      </c>
      <c r="I21" s="14">
        <f t="shared" si="14"/>
        <v>125252</v>
      </c>
      <c r="J21" s="14">
        <v>1</v>
      </c>
      <c r="K21" s="12"/>
      <c r="L21" s="12">
        <f t="shared" si="5"/>
        <v>7995</v>
      </c>
      <c r="P21" s="12"/>
      <c r="Q21" s="14" t="s">
        <v>200</v>
      </c>
      <c r="R21" s="14" t="s">
        <v>291</v>
      </c>
      <c r="S21" s="17">
        <v>48676</v>
      </c>
      <c r="T21" s="17">
        <f t="shared" si="6"/>
        <v>287188.40000000002</v>
      </c>
      <c r="U21" s="17">
        <v>242122</v>
      </c>
      <c r="V21" s="14">
        <v>1041124.6</v>
      </c>
      <c r="W21" s="14">
        <f>AA21*U21</f>
        <v>11379734</v>
      </c>
      <c r="X21" s="14">
        <f>Z21*U21</f>
        <v>2372795.6</v>
      </c>
      <c r="Y21" s="14">
        <v>4.3</v>
      </c>
      <c r="Z21" s="14">
        <v>9.8000000000000007</v>
      </c>
      <c r="AA21" s="14">
        <v>47</v>
      </c>
      <c r="AB21" s="14">
        <v>0.59</v>
      </c>
      <c r="AC21" s="14">
        <v>0.57999999999999996</v>
      </c>
      <c r="AE21" t="s">
        <v>150</v>
      </c>
      <c r="AF21" s="26">
        <f>SUM(S16:S17)</f>
        <v>2341</v>
      </c>
      <c r="AG21" s="26">
        <f>SUM(T16:T17)</f>
        <v>51391.8</v>
      </c>
      <c r="AH21" s="26">
        <f t="shared" ref="AH21:AK21" si="17">SUM(U16:U17)</f>
        <v>46879</v>
      </c>
      <c r="AI21" s="1">
        <f t="shared" si="17"/>
        <v>36889</v>
      </c>
      <c r="AJ21" s="1">
        <f t="shared" si="17"/>
        <v>450619.30000000005</v>
      </c>
      <c r="AK21" s="1">
        <f t="shared" si="17"/>
        <v>6152141.6999999993</v>
      </c>
      <c r="AL21" s="27"/>
      <c r="AM21" s="27"/>
      <c r="AN21" s="27"/>
      <c r="AO21" s="27"/>
    </row>
    <row r="22" spans="1:41">
      <c r="A22" s="14" t="s">
        <v>186</v>
      </c>
      <c r="B22" s="14" t="s">
        <v>288</v>
      </c>
      <c r="C22" s="17">
        <v>44053</v>
      </c>
      <c r="D22" s="17">
        <v>409692</v>
      </c>
      <c r="E22" s="14">
        <v>1.4</v>
      </c>
      <c r="F22" s="14">
        <v>139.69999999999999</v>
      </c>
      <c r="G22" s="14">
        <v>19.3</v>
      </c>
      <c r="H22" s="14">
        <v>1</v>
      </c>
      <c r="I22" s="14">
        <f t="shared" si="14"/>
        <v>573568.79999999993</v>
      </c>
      <c r="J22" s="14">
        <v>0.92400000000000004</v>
      </c>
      <c r="K22" s="12"/>
      <c r="L22" s="12">
        <f t="shared" si="5"/>
        <v>44053</v>
      </c>
      <c r="P22" s="12"/>
      <c r="Q22" s="25" t="s">
        <v>152</v>
      </c>
      <c r="R22" s="12"/>
      <c r="S22" s="12"/>
      <c r="T22" s="17"/>
      <c r="W22" s="14"/>
      <c r="X22" s="14"/>
      <c r="AE22" t="s">
        <v>151</v>
      </c>
      <c r="AF22" s="26">
        <f>SUM(S19:S21)</f>
        <v>100009</v>
      </c>
      <c r="AG22" s="26">
        <f>SUM(T19:T21)</f>
        <v>533452.10000000009</v>
      </c>
      <c r="AH22" s="26">
        <f t="shared" ref="AH22:AK22" si="18">SUM(U19:U21)</f>
        <v>493958</v>
      </c>
      <c r="AI22" s="1">
        <f t="shared" si="18"/>
        <v>1389589.6</v>
      </c>
      <c r="AJ22" s="1">
        <f t="shared" si="18"/>
        <v>17026313.899999999</v>
      </c>
      <c r="AK22" s="1">
        <f t="shared" si="18"/>
        <v>31363961.700000003</v>
      </c>
      <c r="AL22" s="27">
        <f t="shared" ref="AL22:AL24" si="19">AG22/1000/AF22*100</f>
        <v>0.53340409363157326</v>
      </c>
      <c r="AM22" s="27">
        <f>AI22/$AH22</f>
        <v>2.8131735896574206</v>
      </c>
      <c r="AN22" s="27">
        <f>AJ22/$AH22</f>
        <v>34.469153045400617</v>
      </c>
      <c r="AO22" s="27">
        <f>AK22/$AH22</f>
        <v>63.495199389421778</v>
      </c>
    </row>
    <row r="23" spans="1:41">
      <c r="A23" s="14" t="s">
        <v>187</v>
      </c>
      <c r="B23" s="14" t="s">
        <v>290</v>
      </c>
      <c r="C23" s="17">
        <v>116425</v>
      </c>
      <c r="D23" s="17">
        <v>1242644</v>
      </c>
      <c r="E23" s="14">
        <v>1.7</v>
      </c>
      <c r="F23" s="14">
        <v>52.5</v>
      </c>
      <c r="G23" s="14">
        <v>11.9</v>
      </c>
      <c r="H23" s="14">
        <v>1.25</v>
      </c>
      <c r="I23" s="14">
        <f t="shared" si="14"/>
        <v>2112494.7999999998</v>
      </c>
      <c r="J23" s="14">
        <v>0.97599999999999998</v>
      </c>
      <c r="K23" s="12"/>
      <c r="L23" s="12">
        <f t="shared" si="5"/>
        <v>145531.25</v>
      </c>
      <c r="P23" s="12"/>
      <c r="Q23" s="14" t="s">
        <v>195</v>
      </c>
      <c r="R23" s="14" t="s">
        <v>294</v>
      </c>
      <c r="S23" s="14">
        <v>3646</v>
      </c>
      <c r="T23" s="17">
        <f t="shared" si="6"/>
        <v>72555.400000000009</v>
      </c>
      <c r="U23" s="17">
        <v>53370</v>
      </c>
      <c r="V23" s="14">
        <f>Y23*U23</f>
        <v>149436</v>
      </c>
      <c r="W23" s="14">
        <f>AA23*U23</f>
        <v>1408968</v>
      </c>
      <c r="X23" s="14">
        <f>Z23*U23</f>
        <v>1814580</v>
      </c>
      <c r="Y23" s="14">
        <v>2.8</v>
      </c>
      <c r="Z23" s="14">
        <v>34</v>
      </c>
      <c r="AA23" s="14">
        <v>26.4</v>
      </c>
      <c r="AB23" s="14">
        <v>1.99</v>
      </c>
      <c r="AC23" s="14">
        <v>0.79</v>
      </c>
      <c r="AE23" t="s">
        <v>152</v>
      </c>
      <c r="AF23">
        <f>SUM(S23)</f>
        <v>3646</v>
      </c>
      <c r="AG23">
        <f>SUM(T23)</f>
        <v>72555.400000000009</v>
      </c>
      <c r="AH23">
        <f t="shared" ref="AH23:AK23" si="20">SUM(U23)</f>
        <v>53370</v>
      </c>
      <c r="AI23" s="1">
        <f t="shared" si="20"/>
        <v>149436</v>
      </c>
      <c r="AJ23" s="1">
        <f t="shared" si="20"/>
        <v>1408968</v>
      </c>
      <c r="AK23" s="1">
        <f t="shared" si="20"/>
        <v>1814580</v>
      </c>
      <c r="AL23" s="27"/>
      <c r="AM23" s="27"/>
      <c r="AN23" s="27"/>
      <c r="AO23" s="27"/>
    </row>
    <row r="24" spans="1:41">
      <c r="A24" s="14" t="s">
        <v>188</v>
      </c>
      <c r="B24" s="14" t="s">
        <v>293</v>
      </c>
      <c r="C24" s="17">
        <v>41834</v>
      </c>
      <c r="D24" s="17">
        <v>65937</v>
      </c>
      <c r="E24" s="15"/>
      <c r="F24" s="14">
        <v>75.5</v>
      </c>
      <c r="G24" s="14">
        <v>26.9</v>
      </c>
      <c r="H24" s="14">
        <v>0.31</v>
      </c>
      <c r="I24" s="14"/>
      <c r="J24" s="14">
        <v>1</v>
      </c>
      <c r="K24" s="12"/>
      <c r="L24" s="12">
        <f t="shared" si="5"/>
        <v>12968.539999999999</v>
      </c>
      <c r="P24" s="12"/>
      <c r="Q24" s="25" t="s">
        <v>153</v>
      </c>
      <c r="R24" s="12"/>
      <c r="S24" s="12"/>
      <c r="T24" s="17"/>
      <c r="W24" s="14"/>
      <c r="X24" s="14"/>
      <c r="AE24" t="s">
        <v>153</v>
      </c>
      <c r="AF24" s="26">
        <f>SUM(S25:S38)</f>
        <v>531507</v>
      </c>
      <c r="AG24" s="26">
        <f>SUM(T25:T38)</f>
        <v>4838556.3999999985</v>
      </c>
      <c r="AH24" s="26">
        <f t="shared" ref="AH24:AK24" si="21">SUM(U25:U38)</f>
        <v>4191698</v>
      </c>
      <c r="AI24" s="1">
        <f t="shared" si="21"/>
        <v>8253458.0000000009</v>
      </c>
      <c r="AJ24" s="1">
        <f t="shared" si="21"/>
        <v>77980419.599999994</v>
      </c>
      <c r="AK24" s="1">
        <f t="shared" si="21"/>
        <v>303362374.89999998</v>
      </c>
      <c r="AL24" s="27">
        <f t="shared" si="19"/>
        <v>0.91034669345841146</v>
      </c>
      <c r="AM24" s="27">
        <f>AI24/$AH24</f>
        <v>1.9690011064728425</v>
      </c>
      <c r="AN24" s="27">
        <f>AJ24/$AH24</f>
        <v>18.6035395679746</v>
      </c>
      <c r="AO24" s="27">
        <f>AK24/$AH24</f>
        <v>72.372192581622045</v>
      </c>
    </row>
    <row r="25" spans="1:41">
      <c r="A25" s="14" t="s">
        <v>189</v>
      </c>
      <c r="B25" s="14" t="s">
        <v>290</v>
      </c>
      <c r="C25" s="17">
        <v>20469</v>
      </c>
      <c r="D25" s="17">
        <v>228300</v>
      </c>
      <c r="E25" s="14">
        <v>1.1000000000000001</v>
      </c>
      <c r="F25" s="14">
        <v>80.7</v>
      </c>
      <c r="G25" s="14">
        <v>16.899999999999999</v>
      </c>
      <c r="H25" s="14">
        <v>1.06</v>
      </c>
      <c r="I25" s="14">
        <f t="shared" si="14"/>
        <v>251130.00000000003</v>
      </c>
      <c r="J25" s="14">
        <v>0.90700000000000003</v>
      </c>
      <c r="K25" s="12"/>
      <c r="L25" s="12">
        <f t="shared" si="5"/>
        <v>21697.14</v>
      </c>
      <c r="P25" s="12"/>
      <c r="Q25" s="14" t="s">
        <v>179</v>
      </c>
      <c r="R25" s="14" t="s">
        <v>290</v>
      </c>
      <c r="S25" s="17">
        <v>36127</v>
      </c>
      <c r="T25" s="17">
        <f t="shared" si="6"/>
        <v>198698.50000000003</v>
      </c>
      <c r="U25" s="17">
        <v>174078</v>
      </c>
      <c r="V25" s="14"/>
      <c r="W25" s="14">
        <f t="shared" ref="W25:W38" si="22">AA25*U25</f>
        <v>6493109.3999999994</v>
      </c>
      <c r="X25" s="14">
        <f t="shared" ref="X25:X38" si="23">Z25*U25</f>
        <v>15893321.4</v>
      </c>
      <c r="Y25" s="15"/>
      <c r="Z25" s="14">
        <v>91.3</v>
      </c>
      <c r="AA25" s="14">
        <v>37.299999999999997</v>
      </c>
      <c r="AB25" s="14">
        <v>0.55000000000000004</v>
      </c>
      <c r="AC25" s="14">
        <v>0.68</v>
      </c>
    </row>
    <row r="26" spans="1:41" ht="15.6">
      <c r="A26" s="14" t="s">
        <v>190</v>
      </c>
      <c r="B26" s="14" t="s">
        <v>290</v>
      </c>
      <c r="C26" s="17">
        <v>14924</v>
      </c>
      <c r="D26" s="17">
        <v>89957</v>
      </c>
      <c r="E26" s="14">
        <v>3.1</v>
      </c>
      <c r="F26" s="14">
        <v>226.5</v>
      </c>
      <c r="G26" s="14">
        <v>47.2</v>
      </c>
      <c r="H26" s="14">
        <v>0.69</v>
      </c>
      <c r="I26" s="14">
        <f t="shared" si="14"/>
        <v>278866.7</v>
      </c>
      <c r="J26" s="14">
        <v>1</v>
      </c>
      <c r="K26" s="12"/>
      <c r="L26" s="12">
        <f t="shared" si="5"/>
        <v>10297.56</v>
      </c>
      <c r="P26" s="12"/>
      <c r="Q26" s="14" t="s">
        <v>182</v>
      </c>
      <c r="R26" s="14" t="s">
        <v>287</v>
      </c>
      <c r="S26" s="17">
        <v>23446</v>
      </c>
      <c r="T26" s="17">
        <f t="shared" si="6"/>
        <v>246183</v>
      </c>
      <c r="U26" s="17">
        <v>226932</v>
      </c>
      <c r="V26" s="14">
        <v>226932</v>
      </c>
      <c r="W26" s="14">
        <f t="shared" si="22"/>
        <v>2677797.6</v>
      </c>
      <c r="X26" s="14">
        <f t="shared" si="23"/>
        <v>22557040.800000001</v>
      </c>
      <c r="Y26" s="14">
        <v>1</v>
      </c>
      <c r="Z26" s="14">
        <v>99.4</v>
      </c>
      <c r="AA26" s="14">
        <v>11.8</v>
      </c>
      <c r="AB26" s="14">
        <v>1.05</v>
      </c>
      <c r="AC26" s="14">
        <v>0.91300000000000003</v>
      </c>
    </row>
    <row r="27" spans="1:41">
      <c r="A27" s="14" t="s">
        <v>191</v>
      </c>
      <c r="B27" s="14" t="s">
        <v>294</v>
      </c>
      <c r="C27" s="17">
        <v>14418</v>
      </c>
      <c r="D27" s="17">
        <v>61093</v>
      </c>
      <c r="E27" s="14">
        <v>2.2999999999999998</v>
      </c>
      <c r="F27" s="14">
        <v>46.6</v>
      </c>
      <c r="G27" s="14">
        <v>22.8</v>
      </c>
      <c r="H27" s="14">
        <v>0.56000000000000005</v>
      </c>
      <c r="I27" s="14">
        <f t="shared" si="14"/>
        <v>140513.9</v>
      </c>
      <c r="J27" s="14">
        <v>1</v>
      </c>
      <c r="K27" s="12"/>
      <c r="L27" s="12">
        <f t="shared" si="5"/>
        <v>8074.0800000000008</v>
      </c>
      <c r="P27" s="12"/>
      <c r="Q27" s="14" t="s">
        <v>183</v>
      </c>
      <c r="R27" s="14" t="s">
        <v>292</v>
      </c>
      <c r="S27" s="17">
        <v>126120</v>
      </c>
      <c r="T27" s="17">
        <f t="shared" si="6"/>
        <v>1046795.9999999998</v>
      </c>
      <c r="U27" s="17">
        <v>888618</v>
      </c>
      <c r="V27" s="14">
        <v>2754715.8000000003</v>
      </c>
      <c r="W27" s="14">
        <f t="shared" si="22"/>
        <v>15195367.800000001</v>
      </c>
      <c r="X27" s="14">
        <f t="shared" si="23"/>
        <v>47363339.399999999</v>
      </c>
      <c r="Y27" s="14">
        <v>3.1</v>
      </c>
      <c r="Z27" s="14">
        <v>53.3</v>
      </c>
      <c r="AA27" s="14">
        <v>17.100000000000001</v>
      </c>
      <c r="AB27" s="14">
        <v>0.83</v>
      </c>
      <c r="AC27" s="14">
        <v>0.84699999999999998</v>
      </c>
    </row>
    <row r="28" spans="1:41">
      <c r="A28" s="14" t="s">
        <v>192</v>
      </c>
      <c r="B28" s="14" t="s">
        <v>292</v>
      </c>
      <c r="C28" s="17">
        <v>16704</v>
      </c>
      <c r="D28" s="17">
        <v>74379</v>
      </c>
      <c r="E28" s="14">
        <v>3.5</v>
      </c>
      <c r="F28" s="14">
        <v>321.3</v>
      </c>
      <c r="G28" s="14">
        <v>41.5</v>
      </c>
      <c r="H28" s="14">
        <v>0.59</v>
      </c>
      <c r="I28" s="14">
        <f t="shared" si="14"/>
        <v>260326.5</v>
      </c>
      <c r="J28" s="14">
        <v>0.89200000000000002</v>
      </c>
      <c r="K28" s="12"/>
      <c r="L28" s="12">
        <f t="shared" si="5"/>
        <v>9855.3599999999988</v>
      </c>
      <c r="P28" s="12"/>
      <c r="Q28" s="14" t="s">
        <v>184</v>
      </c>
      <c r="R28" s="14" t="s">
        <v>290</v>
      </c>
      <c r="S28" s="17">
        <v>44422</v>
      </c>
      <c r="T28" s="17">
        <f t="shared" si="6"/>
        <v>497526.40000000008</v>
      </c>
      <c r="U28" s="17">
        <v>479263</v>
      </c>
      <c r="V28" s="14">
        <v>1198157.5</v>
      </c>
      <c r="W28" s="14">
        <f t="shared" si="22"/>
        <v>7188945</v>
      </c>
      <c r="X28" s="14">
        <f t="shared" si="23"/>
        <v>15288489.699999999</v>
      </c>
      <c r="Y28" s="14">
        <v>2.5</v>
      </c>
      <c r="Z28" s="14">
        <v>31.9</v>
      </c>
      <c r="AA28" s="14">
        <v>15</v>
      </c>
      <c r="AB28" s="14">
        <v>1.1200000000000001</v>
      </c>
      <c r="AC28" s="14">
        <v>0.95</v>
      </c>
    </row>
    <row r="29" spans="1:41" ht="15.6">
      <c r="A29" s="14" t="s">
        <v>193</v>
      </c>
      <c r="B29" s="14" t="s">
        <v>294</v>
      </c>
      <c r="C29" s="17">
        <v>17626</v>
      </c>
      <c r="D29" s="17">
        <v>85000</v>
      </c>
      <c r="E29" s="14">
        <v>3.9</v>
      </c>
      <c r="F29" s="14">
        <v>21.9</v>
      </c>
      <c r="G29" s="14">
        <v>51.6</v>
      </c>
      <c r="H29" s="14">
        <v>0.86</v>
      </c>
      <c r="I29" s="14">
        <f t="shared" si="14"/>
        <v>331500</v>
      </c>
      <c r="J29" s="14">
        <v>0.94299999999999995</v>
      </c>
      <c r="K29" s="12"/>
      <c r="L29" s="12">
        <f t="shared" si="5"/>
        <v>15158.36</v>
      </c>
      <c r="P29" s="13"/>
      <c r="Q29" s="14" t="s">
        <v>185</v>
      </c>
      <c r="R29" s="14" t="s">
        <v>290</v>
      </c>
      <c r="S29" s="14">
        <v>7995</v>
      </c>
      <c r="T29" s="17">
        <f t="shared" si="6"/>
        <v>79950</v>
      </c>
      <c r="U29" s="17">
        <v>62626</v>
      </c>
      <c r="V29" s="14">
        <v>125252</v>
      </c>
      <c r="W29" s="14">
        <f t="shared" si="22"/>
        <v>1747265.4</v>
      </c>
      <c r="X29" s="14">
        <f t="shared" si="23"/>
        <v>3018573.2</v>
      </c>
      <c r="Y29" s="14">
        <v>2</v>
      </c>
      <c r="Z29" s="14">
        <v>48.2</v>
      </c>
      <c r="AA29" s="14">
        <v>27.9</v>
      </c>
      <c r="AB29" s="14">
        <v>1</v>
      </c>
      <c r="AC29" s="14">
        <v>1</v>
      </c>
    </row>
    <row r="30" spans="1:41">
      <c r="A30" s="13" t="s">
        <v>161</v>
      </c>
      <c r="B30" s="13"/>
      <c r="C30" s="13"/>
      <c r="D30" s="13"/>
      <c r="E30" s="13"/>
      <c r="F30" s="13"/>
      <c r="G30" s="13"/>
      <c r="H30" s="13"/>
      <c r="I30" s="14"/>
      <c r="J30" s="13"/>
      <c r="K30" s="13"/>
      <c r="L30" s="12">
        <f t="shared" si="5"/>
        <v>0</v>
      </c>
      <c r="P30" s="12"/>
      <c r="Q30" s="14" t="s">
        <v>186</v>
      </c>
      <c r="R30" s="14" t="s">
        <v>288</v>
      </c>
      <c r="S30" s="17">
        <v>44053</v>
      </c>
      <c r="T30" s="17">
        <f t="shared" si="6"/>
        <v>440530</v>
      </c>
      <c r="U30" s="17">
        <v>409692</v>
      </c>
      <c r="V30" s="14">
        <v>573568.79999999993</v>
      </c>
      <c r="W30" s="14">
        <f t="shared" si="22"/>
        <v>7907055.6000000006</v>
      </c>
      <c r="X30" s="14">
        <f t="shared" si="23"/>
        <v>57233972.399999999</v>
      </c>
      <c r="Y30" s="14">
        <v>1.4</v>
      </c>
      <c r="Z30" s="14">
        <v>139.69999999999999</v>
      </c>
      <c r="AA30" s="14">
        <v>19.3</v>
      </c>
      <c r="AB30" s="14">
        <v>1</v>
      </c>
      <c r="AC30" s="14">
        <v>0.92400000000000004</v>
      </c>
    </row>
    <row r="31" spans="1:41">
      <c r="A31" s="14" t="s">
        <v>194</v>
      </c>
      <c r="B31" s="14" t="s">
        <v>287</v>
      </c>
      <c r="C31" s="14">
        <v>1374</v>
      </c>
      <c r="D31" s="17">
        <v>16650</v>
      </c>
      <c r="E31" s="14">
        <v>0.4</v>
      </c>
      <c r="F31" s="14">
        <v>211</v>
      </c>
      <c r="G31" s="14">
        <v>14.9</v>
      </c>
      <c r="H31" s="14">
        <v>1.08</v>
      </c>
      <c r="I31" s="14">
        <f t="shared" si="14"/>
        <v>6660</v>
      </c>
      <c r="J31" s="14">
        <v>0.51800000000000002</v>
      </c>
      <c r="K31" s="12">
        <f>E31</f>
        <v>0.4</v>
      </c>
      <c r="L31" s="12">
        <f t="shared" si="5"/>
        <v>1483.92</v>
      </c>
      <c r="P31" s="13"/>
      <c r="Q31" s="14" t="s">
        <v>187</v>
      </c>
      <c r="R31" s="14" t="s">
        <v>290</v>
      </c>
      <c r="S31" s="17">
        <v>116425</v>
      </c>
      <c r="T31" s="17">
        <f t="shared" si="6"/>
        <v>1455312.5</v>
      </c>
      <c r="U31" s="17">
        <v>1242644</v>
      </c>
      <c r="V31" s="14">
        <v>2112494.7999999998</v>
      </c>
      <c r="W31" s="14">
        <f t="shared" si="22"/>
        <v>14787463.6</v>
      </c>
      <c r="X31" s="14">
        <f t="shared" si="23"/>
        <v>65238810</v>
      </c>
      <c r="Y31" s="14">
        <v>1.7</v>
      </c>
      <c r="Z31" s="14">
        <v>52.5</v>
      </c>
      <c r="AA31" s="14">
        <v>11.9</v>
      </c>
      <c r="AB31" s="14">
        <v>1.25</v>
      </c>
      <c r="AC31" s="14">
        <v>0.97599999999999998</v>
      </c>
    </row>
    <row r="32" spans="1:41">
      <c r="A32" s="13" t="s">
        <v>162</v>
      </c>
      <c r="B32" s="13"/>
      <c r="C32" s="13"/>
      <c r="D32" s="13"/>
      <c r="E32" s="13"/>
      <c r="F32" s="13"/>
      <c r="G32" s="13"/>
      <c r="H32" s="13"/>
      <c r="I32" s="14"/>
      <c r="J32" s="13"/>
      <c r="K32" s="13"/>
      <c r="L32" s="12">
        <f t="shared" si="5"/>
        <v>0</v>
      </c>
      <c r="P32" s="12"/>
      <c r="Q32" s="14" t="s">
        <v>188</v>
      </c>
      <c r="R32" s="14" t="s">
        <v>293</v>
      </c>
      <c r="S32" s="17">
        <v>41834</v>
      </c>
      <c r="T32" s="17">
        <f t="shared" si="6"/>
        <v>129685.4</v>
      </c>
      <c r="U32" s="17">
        <v>65937</v>
      </c>
      <c r="V32" s="14"/>
      <c r="W32" s="14">
        <f t="shared" si="22"/>
        <v>1773705.2999999998</v>
      </c>
      <c r="X32" s="14">
        <f t="shared" si="23"/>
        <v>4978243.5</v>
      </c>
      <c r="Y32" s="15"/>
      <c r="Z32" s="14">
        <v>75.5</v>
      </c>
      <c r="AA32" s="14">
        <v>26.9</v>
      </c>
      <c r="AB32" s="14">
        <v>0.31</v>
      </c>
      <c r="AC32" s="14">
        <v>1</v>
      </c>
    </row>
    <row r="33" spans="1:29">
      <c r="A33" s="14" t="s">
        <v>195</v>
      </c>
      <c r="B33" s="14" t="s">
        <v>294</v>
      </c>
      <c r="C33" s="14">
        <v>3646</v>
      </c>
      <c r="D33" s="17">
        <v>53370</v>
      </c>
      <c r="E33" s="14">
        <v>2.8</v>
      </c>
      <c r="F33" s="14">
        <v>34</v>
      </c>
      <c r="G33" s="14">
        <v>26.4</v>
      </c>
      <c r="H33" s="14">
        <v>1.99</v>
      </c>
      <c r="I33" s="14">
        <f t="shared" si="14"/>
        <v>149436</v>
      </c>
      <c r="J33" s="14">
        <v>0.79</v>
      </c>
      <c r="K33" s="12">
        <f>E33</f>
        <v>2.8</v>
      </c>
      <c r="L33" s="12">
        <f t="shared" si="5"/>
        <v>7255.54</v>
      </c>
      <c r="P33" s="13"/>
      <c r="Q33" s="14" t="s">
        <v>189</v>
      </c>
      <c r="R33" s="14" t="s">
        <v>290</v>
      </c>
      <c r="S33" s="17">
        <v>20469</v>
      </c>
      <c r="T33" s="17">
        <f t="shared" si="6"/>
        <v>216971.4</v>
      </c>
      <c r="U33" s="17">
        <v>228300</v>
      </c>
      <c r="V33" s="14">
        <v>251130.00000000003</v>
      </c>
      <c r="W33" s="14">
        <f t="shared" si="22"/>
        <v>3858269.9999999995</v>
      </c>
      <c r="X33" s="14">
        <f t="shared" si="23"/>
        <v>18423810</v>
      </c>
      <c r="Y33" s="14">
        <v>1.1000000000000001</v>
      </c>
      <c r="Z33" s="14">
        <v>80.7</v>
      </c>
      <c r="AA33" s="14">
        <v>16.899999999999999</v>
      </c>
      <c r="AB33" s="14">
        <v>1.06</v>
      </c>
      <c r="AC33" s="14">
        <v>0.90700000000000003</v>
      </c>
    </row>
    <row r="34" spans="1:29" ht="15.6">
      <c r="A34" s="13" t="s">
        <v>163</v>
      </c>
      <c r="B34" s="13"/>
      <c r="C34" s="13"/>
      <c r="D34" s="13"/>
      <c r="E34" s="13"/>
      <c r="F34" s="13"/>
      <c r="G34" s="13"/>
      <c r="H34" s="13"/>
      <c r="I34" s="14"/>
      <c r="J34" s="13"/>
      <c r="K34" s="13"/>
      <c r="L34" s="12">
        <f t="shared" si="5"/>
        <v>0</v>
      </c>
      <c r="P34" s="12"/>
      <c r="Q34" s="14" t="s">
        <v>190</v>
      </c>
      <c r="R34" s="14" t="s">
        <v>290</v>
      </c>
      <c r="S34" s="17">
        <v>14924</v>
      </c>
      <c r="T34" s="17">
        <f t="shared" si="6"/>
        <v>102975.6</v>
      </c>
      <c r="U34" s="17">
        <v>89957</v>
      </c>
      <c r="V34" s="14">
        <v>278866.7</v>
      </c>
      <c r="W34" s="14">
        <f t="shared" si="22"/>
        <v>4245970.4000000004</v>
      </c>
      <c r="X34" s="14">
        <f t="shared" si="23"/>
        <v>20375260.5</v>
      </c>
      <c r="Y34" s="14">
        <v>3.1</v>
      </c>
      <c r="Z34" s="14">
        <v>226.5</v>
      </c>
      <c r="AA34" s="14">
        <v>47.2</v>
      </c>
      <c r="AB34" s="14">
        <v>0.69</v>
      </c>
      <c r="AC34" s="14">
        <v>1</v>
      </c>
    </row>
    <row r="35" spans="1:29">
      <c r="A35" s="14" t="s">
        <v>196</v>
      </c>
      <c r="B35" s="14" t="s">
        <v>291</v>
      </c>
      <c r="C35" s="17">
        <v>16932</v>
      </c>
      <c r="D35" s="17">
        <v>77656</v>
      </c>
      <c r="E35" s="14">
        <v>8.5</v>
      </c>
      <c r="F35" s="14">
        <v>94.4</v>
      </c>
      <c r="G35" s="14">
        <v>55.5</v>
      </c>
      <c r="H35" s="14">
        <v>0.61</v>
      </c>
      <c r="I35" s="14">
        <f t="shared" si="14"/>
        <v>660076</v>
      </c>
      <c r="J35" s="14">
        <v>0.70799999999999996</v>
      </c>
      <c r="K35" s="12">
        <f>E35</f>
        <v>8.5</v>
      </c>
      <c r="L35" s="12">
        <f t="shared" si="5"/>
        <v>10328.52</v>
      </c>
      <c r="P35" s="13"/>
      <c r="Q35" s="14" t="s">
        <v>191</v>
      </c>
      <c r="R35" s="14" t="s">
        <v>294</v>
      </c>
      <c r="S35" s="17">
        <v>14418</v>
      </c>
      <c r="T35" s="17">
        <f t="shared" si="6"/>
        <v>80740.800000000003</v>
      </c>
      <c r="U35" s="17">
        <v>61093</v>
      </c>
      <c r="V35" s="14">
        <v>140513.9</v>
      </c>
      <c r="W35" s="14">
        <f t="shared" si="22"/>
        <v>1392920.4000000001</v>
      </c>
      <c r="X35" s="14">
        <f t="shared" si="23"/>
        <v>2846933.8000000003</v>
      </c>
      <c r="Y35" s="14">
        <v>2.2999999999999998</v>
      </c>
      <c r="Z35" s="14">
        <v>46.6</v>
      </c>
      <c r="AA35" s="14">
        <v>22.8</v>
      </c>
      <c r="AB35" s="14">
        <v>0.56000000000000005</v>
      </c>
      <c r="AC35" s="14">
        <v>1</v>
      </c>
    </row>
    <row r="36" spans="1:29">
      <c r="A36" s="13" t="s">
        <v>164</v>
      </c>
      <c r="B36" s="13"/>
      <c r="C36" s="13"/>
      <c r="D36" s="13"/>
      <c r="E36" s="13"/>
      <c r="F36" s="13"/>
      <c r="G36" s="13"/>
      <c r="H36" s="13"/>
      <c r="I36" s="14"/>
      <c r="J36" s="13"/>
      <c r="K36" s="13"/>
      <c r="L36" s="12">
        <f t="shared" si="5"/>
        <v>0</v>
      </c>
      <c r="P36" s="12"/>
      <c r="Q36" s="14" t="s">
        <v>192</v>
      </c>
      <c r="R36" s="14" t="s">
        <v>292</v>
      </c>
      <c r="S36" s="17">
        <v>16704</v>
      </c>
      <c r="T36" s="17">
        <f t="shared" si="6"/>
        <v>98553.599999999991</v>
      </c>
      <c r="U36" s="17">
        <v>74379</v>
      </c>
      <c r="V36" s="14">
        <v>260326.5</v>
      </c>
      <c r="W36" s="14">
        <f t="shared" si="22"/>
        <v>3086728.5</v>
      </c>
      <c r="X36" s="14">
        <f t="shared" si="23"/>
        <v>23897972.699999999</v>
      </c>
      <c r="Y36" s="14">
        <v>3.5</v>
      </c>
      <c r="Z36" s="14">
        <v>321.3</v>
      </c>
      <c r="AA36" s="14">
        <v>41.5</v>
      </c>
      <c r="AB36" s="14">
        <v>0.59</v>
      </c>
      <c r="AC36" s="14">
        <v>0.89200000000000002</v>
      </c>
    </row>
    <row r="37" spans="1:29" ht="15.6">
      <c r="A37" s="14" t="s">
        <v>197</v>
      </c>
      <c r="B37" s="14" t="s">
        <v>287</v>
      </c>
      <c r="C37" s="14">
        <v>967</v>
      </c>
      <c r="D37" s="17">
        <v>30229</v>
      </c>
      <c r="E37" s="14">
        <v>1</v>
      </c>
      <c r="F37" s="14">
        <v>87.3</v>
      </c>
      <c r="G37" s="14">
        <v>6.7</v>
      </c>
      <c r="H37" s="14">
        <v>3.78</v>
      </c>
      <c r="I37" s="14">
        <f t="shared" si="14"/>
        <v>30229</v>
      </c>
      <c r="J37" s="14">
        <v>0.65700000000000003</v>
      </c>
      <c r="K37" s="12">
        <f>E37</f>
        <v>1</v>
      </c>
      <c r="L37" s="12">
        <f t="shared" si="5"/>
        <v>3655.2599999999998</v>
      </c>
      <c r="P37" s="13"/>
      <c r="Q37" s="14" t="s">
        <v>193</v>
      </c>
      <c r="R37" s="14" t="s">
        <v>294</v>
      </c>
      <c r="S37" s="17">
        <v>17626</v>
      </c>
      <c r="T37" s="17">
        <f t="shared" si="6"/>
        <v>151583.6</v>
      </c>
      <c r="U37" s="17">
        <v>85000</v>
      </c>
      <c r="V37" s="14">
        <v>331500</v>
      </c>
      <c r="W37" s="14">
        <f t="shared" si="22"/>
        <v>4386000</v>
      </c>
      <c r="X37" s="14">
        <f t="shared" si="23"/>
        <v>1861499.9999999998</v>
      </c>
      <c r="Y37" s="14">
        <v>3.9</v>
      </c>
      <c r="Z37" s="14">
        <v>21.9</v>
      </c>
      <c r="AA37" s="14">
        <v>51.6</v>
      </c>
      <c r="AB37" s="14">
        <v>0.86</v>
      </c>
      <c r="AC37" s="14">
        <v>0.94299999999999995</v>
      </c>
    </row>
    <row r="38" spans="1:29">
      <c r="A38" s="13" t="s">
        <v>165</v>
      </c>
      <c r="B38" s="13"/>
      <c r="C38" s="13"/>
      <c r="D38" s="13"/>
      <c r="E38" s="13"/>
      <c r="F38" s="13"/>
      <c r="G38" s="13"/>
      <c r="H38" s="13"/>
      <c r="I38" s="14"/>
      <c r="J38" s="13"/>
      <c r="K38" s="13"/>
      <c r="L38" s="12">
        <f t="shared" si="5"/>
        <v>0</v>
      </c>
      <c r="P38" s="12"/>
      <c r="Q38" s="14" t="s">
        <v>198</v>
      </c>
      <c r="R38" s="14" t="s">
        <v>290</v>
      </c>
      <c r="S38" s="14">
        <v>6944</v>
      </c>
      <c r="T38" s="17">
        <f t="shared" si="6"/>
        <v>93049.600000000006</v>
      </c>
      <c r="U38" s="17">
        <v>103179</v>
      </c>
      <c r="V38" s="14"/>
      <c r="W38" s="14">
        <f t="shared" si="22"/>
        <v>3239820.5999999996</v>
      </c>
      <c r="X38" s="14">
        <f t="shared" si="23"/>
        <v>4385107.5</v>
      </c>
      <c r="Y38" s="15"/>
      <c r="Z38" s="14">
        <v>42.5</v>
      </c>
      <c r="AA38" s="14">
        <v>31.4</v>
      </c>
      <c r="AB38" s="14">
        <v>1.34</v>
      </c>
      <c r="AC38" s="14">
        <v>0.95699999999999996</v>
      </c>
    </row>
    <row r="39" spans="1:29">
      <c r="A39" s="14" t="s">
        <v>198</v>
      </c>
      <c r="B39" s="14" t="s">
        <v>290</v>
      </c>
      <c r="C39" s="14">
        <v>6944</v>
      </c>
      <c r="D39" s="17">
        <v>103179</v>
      </c>
      <c r="E39" s="15"/>
      <c r="F39" s="14">
        <v>42.5</v>
      </c>
      <c r="G39" s="14">
        <v>31.4</v>
      </c>
      <c r="H39" s="14">
        <v>1.34</v>
      </c>
      <c r="I39" s="14"/>
      <c r="J39" s="14">
        <v>0.95699999999999996</v>
      </c>
      <c r="K39" s="12"/>
      <c r="L39" s="12">
        <f t="shared" si="5"/>
        <v>9304.9600000000009</v>
      </c>
      <c r="P39" s="13"/>
      <c r="R39" s="12"/>
      <c r="S39" s="13"/>
      <c r="T39" s="13"/>
    </row>
    <row r="40" spans="1:29">
      <c r="A40" s="13" t="s">
        <v>166</v>
      </c>
      <c r="B40" s="13"/>
      <c r="C40" s="13"/>
      <c r="D40" s="13"/>
      <c r="E40" s="13"/>
      <c r="F40" s="13"/>
      <c r="G40" s="13"/>
      <c r="H40" s="13"/>
      <c r="I40" s="14"/>
      <c r="J40" s="13"/>
      <c r="K40" s="13"/>
      <c r="L40" s="12">
        <f t="shared" si="5"/>
        <v>0</v>
      </c>
      <c r="P40" s="12"/>
      <c r="Q40" t="s">
        <v>300</v>
      </c>
      <c r="R40" s="13"/>
      <c r="S40" s="12"/>
      <c r="T40" s="12"/>
    </row>
    <row r="41" spans="1:29">
      <c r="A41" s="14" t="s">
        <v>199</v>
      </c>
      <c r="B41" s="14" t="s">
        <v>287</v>
      </c>
      <c r="C41" s="17">
        <v>24945</v>
      </c>
      <c r="D41" s="17">
        <v>176460</v>
      </c>
      <c r="E41" s="14">
        <v>1.2</v>
      </c>
      <c r="F41" s="14">
        <v>38.799999999999997</v>
      </c>
      <c r="G41" s="14">
        <v>15.8</v>
      </c>
      <c r="H41" s="14">
        <v>0.83</v>
      </c>
      <c r="I41" s="14">
        <f t="shared" si="14"/>
        <v>211752</v>
      </c>
      <c r="J41" s="14">
        <v>0.69599999999999995</v>
      </c>
      <c r="K41" s="12">
        <f>E41</f>
        <v>1.2</v>
      </c>
      <c r="L41" s="12">
        <f t="shared" si="5"/>
        <v>20704.349999999999</v>
      </c>
      <c r="P41" s="13"/>
      <c r="R41" s="12"/>
      <c r="S41" s="13"/>
      <c r="T41" s="13"/>
    </row>
    <row r="42" spans="1:29">
      <c r="A42" s="13" t="s">
        <v>167</v>
      </c>
      <c r="B42" s="13"/>
      <c r="C42" s="13"/>
      <c r="D42" s="13"/>
      <c r="E42" s="13"/>
      <c r="F42" s="13"/>
      <c r="G42" s="13"/>
      <c r="H42" s="13"/>
      <c r="I42" s="14"/>
      <c r="J42" s="13"/>
      <c r="K42" s="13"/>
      <c r="L42" s="12">
        <f t="shared" si="5"/>
        <v>0</v>
      </c>
      <c r="P42" s="12"/>
      <c r="R42" s="13"/>
      <c r="S42" s="12"/>
      <c r="T42" s="12"/>
    </row>
    <row r="43" spans="1:29">
      <c r="A43" s="14" t="s">
        <v>200</v>
      </c>
      <c r="B43" s="14" t="s">
        <v>291</v>
      </c>
      <c r="C43" s="17">
        <v>48676</v>
      </c>
      <c r="D43" s="17">
        <v>242122</v>
      </c>
      <c r="E43" s="14">
        <v>4.3</v>
      </c>
      <c r="F43" s="14">
        <v>9.8000000000000007</v>
      </c>
      <c r="G43" s="14">
        <v>47</v>
      </c>
      <c r="H43" s="14">
        <v>0.59</v>
      </c>
      <c r="I43" s="14">
        <f t="shared" si="14"/>
        <v>1041124.6</v>
      </c>
      <c r="J43" s="14">
        <v>0.57999999999999996</v>
      </c>
      <c r="K43" s="12">
        <f>E43</f>
        <v>4.3</v>
      </c>
      <c r="L43" s="12">
        <f t="shared" si="5"/>
        <v>28718.84</v>
      </c>
      <c r="O43" s="18"/>
      <c r="P43" s="18"/>
      <c r="R43" s="12"/>
    </row>
    <row r="44" spans="1:29">
      <c r="R44" s="13"/>
    </row>
    <row r="45" spans="1:29">
      <c r="O45" s="18"/>
      <c r="P45" s="18"/>
      <c r="R45" s="12"/>
    </row>
    <row r="46" spans="1:29">
      <c r="R46" s="13"/>
    </row>
    <row r="47" spans="1:29">
      <c r="R47"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A6132-4572-48BB-9F13-0B947434AA8F}">
  <dimension ref="A1:BQ141"/>
  <sheetViews>
    <sheetView workbookViewId="0">
      <selection activeCell="P2" sqref="P2"/>
    </sheetView>
  </sheetViews>
  <sheetFormatPr defaultRowHeight="14.4"/>
  <cols>
    <col min="1" max="1" width="12.21875" customWidth="1"/>
    <col min="3" max="3" width="11" bestFit="1" customWidth="1"/>
    <col min="4" max="4" width="11" customWidth="1"/>
    <col min="7" max="7" width="12" bestFit="1" customWidth="1"/>
    <col min="15" max="15" width="9.5546875" customWidth="1"/>
    <col min="30" max="30" width="12" bestFit="1" customWidth="1"/>
  </cols>
  <sheetData>
    <row r="1" spans="1:69">
      <c r="A1" t="s">
        <v>283</v>
      </c>
      <c r="B1" s="9" t="s">
        <v>154</v>
      </c>
      <c r="C1" s="2" t="s">
        <v>239</v>
      </c>
      <c r="D1" s="2" t="s">
        <v>240</v>
      </c>
      <c r="E1" s="2" t="s">
        <v>241</v>
      </c>
      <c r="F1" s="2" t="s">
        <v>242</v>
      </c>
      <c r="G1" s="2" t="s">
        <v>243</v>
      </c>
      <c r="H1" s="2" t="s">
        <v>244</v>
      </c>
      <c r="I1" s="2" t="s">
        <v>245</v>
      </c>
      <c r="J1" s="2" t="s">
        <v>246</v>
      </c>
      <c r="K1" s="2" t="s">
        <v>247</v>
      </c>
      <c r="L1" s="2" t="s">
        <v>248</v>
      </c>
      <c r="N1" s="10"/>
      <c r="P1" t="s">
        <v>249</v>
      </c>
      <c r="Q1" s="2" t="s">
        <v>68</v>
      </c>
      <c r="R1" s="2" t="s">
        <v>155</v>
      </c>
      <c r="S1" s="2" t="s">
        <v>72</v>
      </c>
      <c r="T1" s="2" t="s">
        <v>74</v>
      </c>
      <c r="U1" s="2" t="s">
        <v>76</v>
      </c>
      <c r="V1" s="2" t="s">
        <v>78</v>
      </c>
      <c r="W1" s="2" t="s">
        <v>80</v>
      </c>
      <c r="X1" s="2" t="s">
        <v>81</v>
      </c>
      <c r="Y1" s="2" t="s">
        <v>83</v>
      </c>
      <c r="Z1" s="2" t="s">
        <v>85</v>
      </c>
      <c r="AB1" t="s">
        <v>315</v>
      </c>
      <c r="AS1" s="29" t="s">
        <v>361</v>
      </c>
      <c r="AT1" s="29"/>
      <c r="AU1" s="29"/>
      <c r="AV1" s="29"/>
      <c r="AW1" s="29"/>
      <c r="AX1" s="29"/>
      <c r="AY1" s="29"/>
      <c r="AZ1" s="29"/>
      <c r="BA1" s="29"/>
      <c r="BF1" t="s">
        <v>318</v>
      </c>
    </row>
    <row r="2" spans="1:69">
      <c r="A2" t="s">
        <v>148</v>
      </c>
      <c r="B2">
        <v>5</v>
      </c>
      <c r="C2" s="1">
        <v>1.0991223E-7</v>
      </c>
      <c r="D2">
        <v>1.6019422999999999</v>
      </c>
      <c r="E2">
        <v>0.73385465999999999</v>
      </c>
      <c r="F2">
        <v>3.3865095999999997E-2</v>
      </c>
      <c r="G2">
        <v>0.48732085000000003</v>
      </c>
      <c r="H2" s="1">
        <v>4.0365346000000004E-6</v>
      </c>
      <c r="I2">
        <v>1.0634667999999999E-4</v>
      </c>
      <c r="J2">
        <v>2.5828637000000002E-2</v>
      </c>
      <c r="K2">
        <v>2630.681</v>
      </c>
      <c r="L2">
        <v>1.7351171999999999</v>
      </c>
      <c r="P2" s="7" t="s">
        <v>131</v>
      </c>
      <c r="Q2" s="8">
        <v>5.6167681000000001E-7</v>
      </c>
      <c r="R2" s="7">
        <v>7.0474715999999997</v>
      </c>
      <c r="S2" s="7">
        <v>2.8232841999999998</v>
      </c>
      <c r="T2" s="7">
        <v>0.12608338999999999</v>
      </c>
      <c r="U2" s="7">
        <v>2.0771283999999999</v>
      </c>
      <c r="V2" s="8">
        <v>1.7079508E-5</v>
      </c>
      <c r="W2" s="7">
        <v>4.5150171999999998E-4</v>
      </c>
      <c r="X2" s="7">
        <v>1.7678953000000001E-2</v>
      </c>
      <c r="Y2" s="7">
        <v>11192.856</v>
      </c>
      <c r="Z2" s="7">
        <v>7.0654152000000003</v>
      </c>
      <c r="AB2" t="s">
        <v>283</v>
      </c>
      <c r="AC2" s="9" t="s">
        <v>154</v>
      </c>
      <c r="AD2" s="2" t="s">
        <v>239</v>
      </c>
      <c r="AE2" s="2" t="s">
        <v>240</v>
      </c>
      <c r="AF2" s="2" t="s">
        <v>241</v>
      </c>
      <c r="AG2" s="2" t="s">
        <v>242</v>
      </c>
      <c r="AH2" s="2" t="s">
        <v>243</v>
      </c>
      <c r="AI2" s="2" t="s">
        <v>244</v>
      </c>
      <c r="AJ2" s="2" t="s">
        <v>245</v>
      </c>
      <c r="AK2" s="2" t="s">
        <v>246</v>
      </c>
      <c r="AL2" s="2" t="s">
        <v>247</v>
      </c>
      <c r="AM2" s="2" t="s">
        <v>248</v>
      </c>
      <c r="AS2" s="2" t="s">
        <v>239</v>
      </c>
      <c r="AT2" s="2" t="s">
        <v>240</v>
      </c>
      <c r="AU2" s="2" t="s">
        <v>241</v>
      </c>
      <c r="AV2" s="2" t="s">
        <v>242</v>
      </c>
      <c r="AW2" s="2" t="s">
        <v>243</v>
      </c>
      <c r="AX2" s="2" t="s">
        <v>244</v>
      </c>
      <c r="AY2" s="2" t="s">
        <v>245</v>
      </c>
      <c r="AZ2" s="2" t="s">
        <v>246</v>
      </c>
      <c r="BA2" s="2" t="s">
        <v>247</v>
      </c>
      <c r="BB2" s="2" t="s">
        <v>248</v>
      </c>
      <c r="BC2" s="10" t="s">
        <v>219</v>
      </c>
      <c r="BF2" t="s">
        <v>283</v>
      </c>
      <c r="BG2" s="9" t="s">
        <v>154</v>
      </c>
      <c r="BH2" s="2" t="s">
        <v>239</v>
      </c>
      <c r="BI2" s="2" t="s">
        <v>240</v>
      </c>
      <c r="BJ2" s="2" t="s">
        <v>241</v>
      </c>
      <c r="BK2" s="2" t="s">
        <v>242</v>
      </c>
      <c r="BL2" s="2" t="s">
        <v>243</v>
      </c>
      <c r="BM2" s="2" t="s">
        <v>244</v>
      </c>
      <c r="BN2" s="2" t="s">
        <v>245</v>
      </c>
      <c r="BO2" s="2" t="s">
        <v>246</v>
      </c>
      <c r="BP2" s="2" t="s">
        <v>247</v>
      </c>
      <c r="BQ2" s="2" t="s">
        <v>248</v>
      </c>
    </row>
    <row r="3" spans="1:69">
      <c r="A3" t="s">
        <v>149</v>
      </c>
      <c r="B3">
        <v>10</v>
      </c>
      <c r="C3" s="1">
        <v>2.1615070999999999E-7</v>
      </c>
      <c r="D3">
        <v>3.3945205000000001</v>
      </c>
      <c r="E3">
        <v>1.1037444999999999</v>
      </c>
      <c r="F3">
        <v>5.2757143999999999E-2</v>
      </c>
      <c r="G3">
        <v>1.1037528999999999</v>
      </c>
      <c r="H3" s="1">
        <v>8.9424885999999997E-6</v>
      </c>
      <c r="I3">
        <v>2.4017082999999999E-4</v>
      </c>
      <c r="J3">
        <v>4.0764775000000003E-2</v>
      </c>
      <c r="K3">
        <v>5946.5540000000001</v>
      </c>
      <c r="L3">
        <v>3.4518580000000001</v>
      </c>
      <c r="AB3" t="s">
        <v>148</v>
      </c>
      <c r="AC3">
        <v>0</v>
      </c>
      <c r="AD3" s="1">
        <f>Q$2*C2/C$9/AD$12</f>
        <v>3.532916531787064E-7</v>
      </c>
      <c r="AE3" s="1">
        <f t="shared" ref="AE3:AM9" si="0">R$2*D2/D$9/AE$12</f>
        <v>4.5091761345475092</v>
      </c>
      <c r="AF3" s="1">
        <f t="shared" si="0"/>
        <v>1.8617593819199878</v>
      </c>
      <c r="AG3" s="1">
        <f t="shared" si="0"/>
        <v>8.2778418810987783E-2</v>
      </c>
      <c r="AH3" s="1">
        <f t="shared" si="0"/>
        <v>0.86476597555496415</v>
      </c>
      <c r="AI3" s="1">
        <f t="shared" si="0"/>
        <v>7.285095905481134E-6</v>
      </c>
      <c r="AJ3" s="1">
        <f t="shared" si="0"/>
        <v>1.8767105233431422E-4</v>
      </c>
      <c r="AK3" s="1">
        <f t="shared" si="0"/>
        <v>1.1328175214324013E-2</v>
      </c>
      <c r="AL3" s="1">
        <f t="shared" si="0"/>
        <v>4648.0639002085636</v>
      </c>
      <c r="AM3" s="1">
        <f t="shared" si="0"/>
        <v>4.6805517791213846</v>
      </c>
      <c r="AS3">
        <f t="shared" ref="AS3:BB9" si="1">C2/$D2</f>
        <v>6.8611853248397271E-8</v>
      </c>
      <c r="AT3">
        <f t="shared" si="1"/>
        <v>1</v>
      </c>
      <c r="AU3">
        <f t="shared" si="1"/>
        <v>0.45810305402385593</v>
      </c>
      <c r="AV3">
        <f t="shared" si="1"/>
        <v>2.1140022334137754E-2</v>
      </c>
      <c r="AW3">
        <f t="shared" si="1"/>
        <v>0.30420624388281653</v>
      </c>
      <c r="AX3">
        <f t="shared" si="1"/>
        <v>2.5197752753017387E-6</v>
      </c>
      <c r="AY3">
        <f t="shared" si="1"/>
        <v>6.6386086440192011E-5</v>
      </c>
      <c r="AZ3">
        <f t="shared" si="1"/>
        <v>1.6123325415653238E-2</v>
      </c>
      <c r="BA3">
        <f t="shared" si="1"/>
        <v>1642.1821185444696</v>
      </c>
      <c r="BB3">
        <f t="shared" si="1"/>
        <v>1.0831333937558176</v>
      </c>
      <c r="BC3">
        <v>116</v>
      </c>
      <c r="BF3" t="s">
        <v>148</v>
      </c>
      <c r="BG3">
        <v>0</v>
      </c>
      <c r="BH3" s="1">
        <f t="shared" ref="BH3:BQ9" si="2">AD3/$AE3</f>
        <v>7.8349490602490922E-8</v>
      </c>
      <c r="BI3" s="1">
        <f t="shared" si="2"/>
        <v>1</v>
      </c>
      <c r="BJ3" s="1">
        <f t="shared" si="2"/>
        <v>0.41288238169627706</v>
      </c>
      <c r="BK3" s="1">
        <f t="shared" si="2"/>
        <v>1.8357770098349574E-2</v>
      </c>
      <c r="BL3" s="1">
        <f t="shared" si="2"/>
        <v>0.19177915205606455</v>
      </c>
      <c r="BM3" s="1">
        <f t="shared" si="2"/>
        <v>1.6156157329197312E-6</v>
      </c>
      <c r="BN3" s="1">
        <f t="shared" si="2"/>
        <v>4.1619809635834242E-5</v>
      </c>
      <c r="BO3" s="1">
        <f t="shared" si="2"/>
        <v>2.5122494389899857E-3</v>
      </c>
      <c r="BP3" s="1">
        <f t="shared" si="2"/>
        <v>1030.8011400568171</v>
      </c>
      <c r="BQ3" s="1">
        <f t="shared" si="2"/>
        <v>1.0380059770255732</v>
      </c>
    </row>
    <row r="4" spans="1:69">
      <c r="A4" t="s">
        <v>150</v>
      </c>
      <c r="B4">
        <v>13</v>
      </c>
      <c r="C4" s="1">
        <v>8.9344054000000006E-8</v>
      </c>
      <c r="D4">
        <v>1.1153175</v>
      </c>
      <c r="E4">
        <v>0.52842235000000004</v>
      </c>
      <c r="F4">
        <v>2.4258965E-2</v>
      </c>
      <c r="G4">
        <v>0.22541884000000001</v>
      </c>
      <c r="H4" s="1">
        <v>1.9513202999999998E-6</v>
      </c>
      <c r="I4" s="1">
        <v>4.9016515000000002E-5</v>
      </c>
      <c r="J4">
        <v>1.9093741000000001E-2</v>
      </c>
      <c r="K4">
        <v>1210.6794</v>
      </c>
      <c r="L4">
        <v>1.1917495</v>
      </c>
      <c r="N4" t="s">
        <v>221</v>
      </c>
      <c r="AB4" t="s">
        <v>149</v>
      </c>
      <c r="AC4">
        <v>24.333753000000002</v>
      </c>
      <c r="AD4" s="1">
        <f t="shared" ref="AD4:AD9" si="3">Q$2*C3/C$9/AD$12</f>
        <v>6.947747459190952E-7</v>
      </c>
      <c r="AE4" s="1">
        <f t="shared" si="0"/>
        <v>9.5549576453735448</v>
      </c>
      <c r="AF4" s="1">
        <f t="shared" si="0"/>
        <v>2.8001548400845286</v>
      </c>
      <c r="AG4" s="1">
        <f t="shared" si="0"/>
        <v>0.12895734774540701</v>
      </c>
      <c r="AH4" s="1">
        <f t="shared" si="0"/>
        <v>1.9586437833310861</v>
      </c>
      <c r="AI4" s="1">
        <f t="shared" si="0"/>
        <v>1.613931095367589E-5</v>
      </c>
      <c r="AJ4" s="1">
        <f t="shared" si="0"/>
        <v>4.2383187144258454E-4</v>
      </c>
      <c r="AK4" s="1">
        <f t="shared" si="0"/>
        <v>1.7879012112505012E-2</v>
      </c>
      <c r="AL4" s="1">
        <f t="shared" si="0"/>
        <v>10506.771052073907</v>
      </c>
      <c r="AM4" s="1">
        <f t="shared" si="0"/>
        <v>9.3115324447100072</v>
      </c>
      <c r="AS4">
        <f t="shared" si="1"/>
        <v>6.3676360181062388E-8</v>
      </c>
      <c r="AT4">
        <f t="shared" si="1"/>
        <v>1</v>
      </c>
      <c r="AU4">
        <f t="shared" si="1"/>
        <v>0.32515476044407449</v>
      </c>
      <c r="AV4">
        <f t="shared" si="1"/>
        <v>1.5541854585942256E-2</v>
      </c>
      <c r="AW4">
        <f t="shared" si="1"/>
        <v>0.32515723502038063</v>
      </c>
      <c r="AX4">
        <f t="shared" si="1"/>
        <v>2.6343893342226094E-6</v>
      </c>
      <c r="AY4">
        <f t="shared" si="1"/>
        <v>7.0752505398037808E-5</v>
      </c>
      <c r="AZ4">
        <f t="shared" si="1"/>
        <v>1.2008993611910726E-2</v>
      </c>
      <c r="BA4">
        <f t="shared" si="1"/>
        <v>1751.8097180441243</v>
      </c>
      <c r="BB4">
        <f t="shared" si="1"/>
        <v>1.0168911927325228</v>
      </c>
      <c r="BC4">
        <v>131</v>
      </c>
      <c r="BF4" t="s">
        <v>149</v>
      </c>
      <c r="BG4">
        <v>24.333753000000002</v>
      </c>
      <c r="BH4" s="1">
        <f t="shared" si="2"/>
        <v>7.2713534869042677E-8</v>
      </c>
      <c r="BI4" s="1">
        <f t="shared" si="2"/>
        <v>1</v>
      </c>
      <c r="BJ4" s="1">
        <f t="shared" si="2"/>
        <v>0.29305779722010045</v>
      </c>
      <c r="BK4" s="1">
        <f t="shared" si="2"/>
        <v>1.3496380887449293E-2</v>
      </c>
      <c r="BL4" s="1">
        <f t="shared" si="2"/>
        <v>0.2049871758750757</v>
      </c>
      <c r="BM4" s="1">
        <f t="shared" si="2"/>
        <v>1.6891033485104406E-6</v>
      </c>
      <c r="BN4" s="1">
        <f t="shared" si="2"/>
        <v>4.4357273697367093E-5</v>
      </c>
      <c r="BO4" s="1">
        <f t="shared" si="2"/>
        <v>1.8711764903700987E-3</v>
      </c>
      <c r="BP4" s="1">
        <f t="shared" si="2"/>
        <v>1099.6146128561047</v>
      </c>
      <c r="BQ4" s="1">
        <f t="shared" si="2"/>
        <v>0.97452367559353836</v>
      </c>
    </row>
    <row r="5" spans="1:69">
      <c r="A5" t="s">
        <v>151</v>
      </c>
      <c r="B5">
        <v>13</v>
      </c>
      <c r="C5" s="1">
        <v>2.4250378000000001E-7</v>
      </c>
      <c r="D5">
        <v>3.1104099000000001</v>
      </c>
      <c r="E5">
        <v>1.6368948999999999</v>
      </c>
      <c r="F5">
        <v>7.4567040000000001E-2</v>
      </c>
      <c r="G5">
        <v>1.6913050999999999</v>
      </c>
      <c r="H5" s="1">
        <v>1.3710325999999999E-5</v>
      </c>
      <c r="I5">
        <v>3.7050408000000002E-4</v>
      </c>
      <c r="J5">
        <v>5.8309855000000001E-2</v>
      </c>
      <c r="K5">
        <v>9177.2567999999992</v>
      </c>
      <c r="L5">
        <v>3.4321440999999999</v>
      </c>
      <c r="AB5" t="s">
        <v>150</v>
      </c>
      <c r="AC5">
        <v>1.1445909999999999</v>
      </c>
      <c r="AD5" s="1">
        <f t="shared" si="3"/>
        <v>2.8717922054122291E-7</v>
      </c>
      <c r="AE5" s="1">
        <f t="shared" si="0"/>
        <v>3.1394158537690102</v>
      </c>
      <c r="AF5" s="1">
        <f t="shared" si="0"/>
        <v>1.340585978875855</v>
      </c>
      <c r="AG5" s="1">
        <f t="shared" si="0"/>
        <v>5.9297595515190468E-2</v>
      </c>
      <c r="AH5" s="1">
        <f t="shared" si="0"/>
        <v>0.40001272894658285</v>
      </c>
      <c r="AI5" s="1">
        <f t="shared" si="0"/>
        <v>3.5217226994195011E-6</v>
      </c>
      <c r="AJ5" s="1">
        <f t="shared" si="0"/>
        <v>8.6499935416984322E-5</v>
      </c>
      <c r="AK5" s="1">
        <f t="shared" si="0"/>
        <v>8.3743189214716286E-3</v>
      </c>
      <c r="AL5" s="1">
        <f t="shared" si="0"/>
        <v>2139.1096882769757</v>
      </c>
      <c r="AM5" s="1">
        <f t="shared" si="0"/>
        <v>3.2147945063837886</v>
      </c>
      <c r="AS5">
        <f t="shared" si="1"/>
        <v>8.0106385849769244E-8</v>
      </c>
      <c r="AT5">
        <f t="shared" si="1"/>
        <v>1</v>
      </c>
      <c r="AU5">
        <f t="shared" si="1"/>
        <v>0.47378647784151157</v>
      </c>
      <c r="AV5">
        <f t="shared" si="1"/>
        <v>2.1750725690218256E-2</v>
      </c>
      <c r="AW5">
        <f t="shared" si="1"/>
        <v>0.20211181121070906</v>
      </c>
      <c r="AX5">
        <f t="shared" si="1"/>
        <v>1.7495648548507486E-6</v>
      </c>
      <c r="AY5">
        <f t="shared" si="1"/>
        <v>4.3948485520939107E-5</v>
      </c>
      <c r="AZ5">
        <f t="shared" si="1"/>
        <v>1.7119556538833115E-2</v>
      </c>
      <c r="BA5">
        <f t="shared" si="1"/>
        <v>1085.5020207250402</v>
      </c>
      <c r="BB5">
        <f t="shared" si="1"/>
        <v>1.0685293649566154</v>
      </c>
      <c r="BC5">
        <v>118</v>
      </c>
      <c r="BF5" t="s">
        <v>150</v>
      </c>
      <c r="BG5">
        <v>1.1445909999999999</v>
      </c>
      <c r="BH5" s="1">
        <f t="shared" si="2"/>
        <v>9.1475368004035306E-8</v>
      </c>
      <c r="BI5" s="1">
        <f t="shared" si="2"/>
        <v>1</v>
      </c>
      <c r="BJ5" s="1">
        <f t="shared" si="2"/>
        <v>0.42701764956255195</v>
      </c>
      <c r="BK5" s="1">
        <f t="shared" si="2"/>
        <v>1.8888098384290515E-2</v>
      </c>
      <c r="BL5" s="1">
        <f t="shared" si="2"/>
        <v>0.12741629257759832</v>
      </c>
      <c r="BM5" s="1">
        <f t="shared" si="2"/>
        <v>1.1217764270354671E-6</v>
      </c>
      <c r="BN5" s="1">
        <f t="shared" si="2"/>
        <v>2.7552875899870751E-5</v>
      </c>
      <c r="BO5" s="1">
        <f t="shared" si="2"/>
        <v>2.6674767891669659E-3</v>
      </c>
      <c r="BP5" s="1">
        <f t="shared" si="2"/>
        <v>681.37188187696711</v>
      </c>
      <c r="BQ5" s="1">
        <f t="shared" si="2"/>
        <v>1.0240104070712017</v>
      </c>
    </row>
    <row r="6" spans="1:69">
      <c r="A6" t="s">
        <v>285</v>
      </c>
      <c r="B6" s="28">
        <f>(1689.9+162)/(16304+4235)*100</f>
        <v>9.0165051852573157</v>
      </c>
      <c r="C6" s="1">
        <v>3.5730565999999999E-7</v>
      </c>
      <c r="D6">
        <v>5.4423143999999999</v>
      </c>
      <c r="E6">
        <v>2.4322666000000002</v>
      </c>
      <c r="F6">
        <v>0.11243419</v>
      </c>
      <c r="G6">
        <v>1.8852409000000001</v>
      </c>
      <c r="H6" s="1">
        <v>1.5419769E-5</v>
      </c>
      <c r="I6">
        <v>4.1161575999999999E-4</v>
      </c>
      <c r="J6">
        <v>8.6565594999999995E-2</v>
      </c>
      <c r="K6">
        <v>10179.895</v>
      </c>
      <c r="L6">
        <v>4.8453359000000003</v>
      </c>
      <c r="AB6" t="s">
        <v>151</v>
      </c>
      <c r="AC6">
        <v>22.648911999999999</v>
      </c>
      <c r="AD6" s="1">
        <f t="shared" si="3"/>
        <v>7.7948160398788487E-7</v>
      </c>
      <c r="AE6" s="1">
        <f t="shared" si="0"/>
        <v>8.7552379943649079</v>
      </c>
      <c r="AF6" s="1">
        <f t="shared" si="0"/>
        <v>4.1527356892330429</v>
      </c>
      <c r="AG6" s="1">
        <f t="shared" si="0"/>
        <v>0.18226854182299321</v>
      </c>
      <c r="AH6" s="1">
        <f t="shared" si="0"/>
        <v>3.0012734008047999</v>
      </c>
      <c r="AI6" s="1">
        <f t="shared" si="0"/>
        <v>2.4744254590413156E-5</v>
      </c>
      <c r="AJ6" s="1">
        <f t="shared" si="0"/>
        <v>6.5383226432416078E-4</v>
      </c>
      <c r="AK6" s="1">
        <f t="shared" si="0"/>
        <v>2.5574104206963266E-2</v>
      </c>
      <c r="AL6" s="1">
        <f t="shared" si="0"/>
        <v>16214.993773484339</v>
      </c>
      <c r="AM6" s="1">
        <f t="shared" si="0"/>
        <v>9.2583533685539869</v>
      </c>
      <c r="AS6">
        <f t="shared" si="1"/>
        <v>7.7965216095794966E-8</v>
      </c>
      <c r="AT6">
        <f t="shared" si="1"/>
        <v>1</v>
      </c>
      <c r="AU6">
        <f t="shared" si="1"/>
        <v>0.52626340341830824</v>
      </c>
      <c r="AV6">
        <f t="shared" si="1"/>
        <v>2.3973380485961031E-2</v>
      </c>
      <c r="AW6">
        <f t="shared" si="1"/>
        <v>0.54375633899570597</v>
      </c>
      <c r="AX6">
        <f t="shared" si="1"/>
        <v>4.4078839898239776E-6</v>
      </c>
      <c r="AY6">
        <f t="shared" si="1"/>
        <v>1.1911744493868799E-4</v>
      </c>
      <c r="AZ6">
        <f t="shared" si="1"/>
        <v>1.8746678693377358E-2</v>
      </c>
      <c r="BA6">
        <f t="shared" si="1"/>
        <v>2950.4975533932034</v>
      </c>
      <c r="BB6">
        <f t="shared" si="1"/>
        <v>1.1034378780751695</v>
      </c>
      <c r="BC6">
        <v>90</v>
      </c>
      <c r="BF6" t="s">
        <v>151</v>
      </c>
      <c r="BG6">
        <v>22.648911999999999</v>
      </c>
      <c r="BH6" s="1">
        <f t="shared" si="2"/>
        <v>8.9030315850874521E-8</v>
      </c>
      <c r="BI6" s="1">
        <f t="shared" si="2"/>
        <v>1</v>
      </c>
      <c r="BJ6" s="1">
        <f t="shared" si="2"/>
        <v>0.47431442662162338</v>
      </c>
      <c r="BK6" s="1">
        <f t="shared" si="2"/>
        <v>2.0818228121303593E-2</v>
      </c>
      <c r="BL6" s="1">
        <f t="shared" si="2"/>
        <v>0.34279746624095142</v>
      </c>
      <c r="BM6" s="1">
        <f t="shared" si="2"/>
        <v>2.8262229543433522E-6</v>
      </c>
      <c r="BN6" s="1">
        <f t="shared" si="2"/>
        <v>7.4678982426860775E-5</v>
      </c>
      <c r="BO6" s="1">
        <f t="shared" si="2"/>
        <v>2.921006170640182E-3</v>
      </c>
      <c r="BP6" s="1">
        <f t="shared" si="2"/>
        <v>1852.0334665854564</v>
      </c>
      <c r="BQ6" s="1">
        <f t="shared" si="2"/>
        <v>1.0574645000527567</v>
      </c>
    </row>
    <row r="7" spans="1:69">
      <c r="A7" t="s">
        <v>152</v>
      </c>
      <c r="B7" s="28">
        <f>17-B6</f>
        <v>7.9834948147426843</v>
      </c>
      <c r="C7" s="1">
        <v>3.5730565999999999E-7</v>
      </c>
      <c r="D7">
        <v>5.4423143999999999</v>
      </c>
      <c r="E7">
        <v>2.4322666000000002</v>
      </c>
      <c r="F7">
        <v>0.11243419</v>
      </c>
      <c r="G7">
        <v>1.8852409000000001</v>
      </c>
      <c r="H7" s="1">
        <v>1.5419769E-5</v>
      </c>
      <c r="I7">
        <v>4.1161575999999999E-4</v>
      </c>
      <c r="J7">
        <v>8.6565594999999995E-2</v>
      </c>
      <c r="K7">
        <v>10179.895</v>
      </c>
      <c r="L7">
        <v>4.8453359000000003</v>
      </c>
      <c r="AB7" t="s">
        <v>285</v>
      </c>
      <c r="AC7">
        <v>0</v>
      </c>
      <c r="AD7" s="1">
        <f t="shared" si="3"/>
        <v>1.1484900935183353E-6</v>
      </c>
      <c r="AE7" s="1">
        <f t="shared" si="0"/>
        <v>15.319124920531937</v>
      </c>
      <c r="AF7" s="1">
        <f t="shared" si="0"/>
        <v>6.1705612959937204</v>
      </c>
      <c r="AG7" s="1">
        <f t="shared" si="0"/>
        <v>0.27482941340234729</v>
      </c>
      <c r="AH7" s="1">
        <f t="shared" si="0"/>
        <v>3.3454184979867336</v>
      </c>
      <c r="AI7" s="1">
        <f t="shared" si="0"/>
        <v>2.7829439639973587E-5</v>
      </c>
      <c r="AJ7" s="1">
        <f t="shared" si="0"/>
        <v>7.263824581697192E-4</v>
      </c>
      <c r="AK7" s="1">
        <f t="shared" si="0"/>
        <v>3.7966781897635971E-2</v>
      </c>
      <c r="AL7" s="1">
        <f t="shared" si="0"/>
        <v>17986.522294954673</v>
      </c>
      <c r="AM7" s="1">
        <f t="shared" si="0"/>
        <v>13.070497812589098</v>
      </c>
      <c r="AS7" s="1">
        <f t="shared" si="1"/>
        <v>6.5653255901570114E-8</v>
      </c>
      <c r="AT7" s="22">
        <f t="shared" si="1"/>
        <v>1</v>
      </c>
      <c r="AU7" s="1">
        <f t="shared" si="1"/>
        <v>0.44691769369296275</v>
      </c>
      <c r="AV7" s="1">
        <f t="shared" si="1"/>
        <v>2.0659260332332143E-2</v>
      </c>
      <c r="AW7" s="1">
        <f t="shared" si="1"/>
        <v>0.34640426139291036</v>
      </c>
      <c r="AX7" s="1">
        <f t="shared" si="1"/>
        <v>2.8333109531489027E-6</v>
      </c>
      <c r="AY7" s="1">
        <f t="shared" si="1"/>
        <v>7.5632484591481888E-5</v>
      </c>
      <c r="AZ7" s="1">
        <f t="shared" si="1"/>
        <v>1.5906026120063921E-2</v>
      </c>
      <c r="BA7" s="1">
        <f t="shared" si="1"/>
        <v>1870.5084366312981</v>
      </c>
      <c r="BB7" s="1">
        <f t="shared" si="1"/>
        <v>0.89030797265222317</v>
      </c>
      <c r="BC7">
        <v>183</v>
      </c>
      <c r="BF7" t="s">
        <v>285</v>
      </c>
      <c r="BG7">
        <v>0</v>
      </c>
      <c r="BH7" s="1">
        <f t="shared" si="2"/>
        <v>7.4970998635766422E-8</v>
      </c>
      <c r="BI7" s="1">
        <f t="shared" si="2"/>
        <v>1</v>
      </c>
      <c r="BJ7" s="1">
        <f t="shared" si="2"/>
        <v>0.40280116051037823</v>
      </c>
      <c r="BK7" s="1">
        <f t="shared" si="2"/>
        <v>1.7940281499630475E-2</v>
      </c>
      <c r="BL7" s="1">
        <f t="shared" si="2"/>
        <v>0.21838182763970621</v>
      </c>
      <c r="BM7" s="1">
        <f t="shared" si="2"/>
        <v>1.8166468244327916E-6</v>
      </c>
      <c r="BN7" s="1">
        <f t="shared" si="2"/>
        <v>4.7416707020657713E-5</v>
      </c>
      <c r="BO7" s="1">
        <f t="shared" si="2"/>
        <v>2.4783910369938823E-3</v>
      </c>
      <c r="BP7" s="1">
        <f t="shared" si="2"/>
        <v>1174.12204602155</v>
      </c>
      <c r="BQ7" s="1">
        <f t="shared" si="2"/>
        <v>0.85321438922865322</v>
      </c>
    </row>
    <row r="8" spans="1:69">
      <c r="A8" t="s">
        <v>153</v>
      </c>
      <c r="B8">
        <v>42</v>
      </c>
      <c r="C8" s="1">
        <v>1.1665916999999999E-7</v>
      </c>
      <c r="D8">
        <v>1.6802566000000001</v>
      </c>
      <c r="E8">
        <v>0.82819158000000004</v>
      </c>
      <c r="F8">
        <v>3.8217385999999999E-2</v>
      </c>
      <c r="G8">
        <v>0.95285871</v>
      </c>
      <c r="H8" s="1">
        <v>7.6662388999999996E-6</v>
      </c>
      <c r="I8">
        <v>2.0845883000000001E-4</v>
      </c>
      <c r="J8">
        <v>3.0133531000000002E-2</v>
      </c>
      <c r="K8">
        <v>5160.4787999999999</v>
      </c>
      <c r="L8">
        <v>1.7648925</v>
      </c>
      <c r="AB8" t="s">
        <v>152</v>
      </c>
      <c r="AC8">
        <v>2.3618679999999999</v>
      </c>
      <c r="AD8" s="1">
        <f t="shared" si="3"/>
        <v>1.1484900935183353E-6</v>
      </c>
      <c r="AE8" s="1">
        <f t="shared" si="0"/>
        <v>15.319124920531937</v>
      </c>
      <c r="AF8" s="1">
        <f t="shared" si="0"/>
        <v>6.1705612959937204</v>
      </c>
      <c r="AG8" s="1">
        <f t="shared" si="0"/>
        <v>0.27482941340234729</v>
      </c>
      <c r="AH8" s="1">
        <f t="shared" si="0"/>
        <v>3.3454184979867336</v>
      </c>
      <c r="AI8" s="1">
        <f t="shared" si="0"/>
        <v>2.7829439639973587E-5</v>
      </c>
      <c r="AJ8" s="1">
        <f t="shared" si="0"/>
        <v>7.263824581697192E-4</v>
      </c>
      <c r="AK8" s="1">
        <f t="shared" si="0"/>
        <v>3.7966781897635971E-2</v>
      </c>
      <c r="AL8" s="1">
        <f t="shared" si="0"/>
        <v>17986.522294954673</v>
      </c>
      <c r="AM8" s="1">
        <f t="shared" si="0"/>
        <v>13.070497812589098</v>
      </c>
      <c r="AS8">
        <f t="shared" si="1"/>
        <v>6.5653255901570114E-8</v>
      </c>
      <c r="AT8">
        <f t="shared" si="1"/>
        <v>1</v>
      </c>
      <c r="AU8">
        <f t="shared" si="1"/>
        <v>0.44691769369296275</v>
      </c>
      <c r="AV8">
        <f t="shared" si="1"/>
        <v>2.0659260332332143E-2</v>
      </c>
      <c r="AW8">
        <f t="shared" si="1"/>
        <v>0.34640426139291036</v>
      </c>
      <c r="AX8">
        <f t="shared" si="1"/>
        <v>2.8333109531489027E-6</v>
      </c>
      <c r="AY8">
        <f t="shared" si="1"/>
        <v>7.5632484591481888E-5</v>
      </c>
      <c r="AZ8">
        <f t="shared" si="1"/>
        <v>1.5906026120063921E-2</v>
      </c>
      <c r="BA8">
        <f t="shared" si="1"/>
        <v>1870.5084366312981</v>
      </c>
      <c r="BB8">
        <f t="shared" si="1"/>
        <v>0.89030797265222317</v>
      </c>
      <c r="BC8">
        <v>183</v>
      </c>
      <c r="BF8" t="s">
        <v>152</v>
      </c>
      <c r="BG8">
        <v>2.3618679999999999</v>
      </c>
      <c r="BH8" s="1">
        <f t="shared" si="2"/>
        <v>7.4970998635766422E-8</v>
      </c>
      <c r="BI8" s="1">
        <f t="shared" si="2"/>
        <v>1</v>
      </c>
      <c r="BJ8" s="1">
        <f t="shared" si="2"/>
        <v>0.40280116051037823</v>
      </c>
      <c r="BK8" s="1">
        <f t="shared" si="2"/>
        <v>1.7940281499630475E-2</v>
      </c>
      <c r="BL8" s="1">
        <f t="shared" si="2"/>
        <v>0.21838182763970621</v>
      </c>
      <c r="BM8" s="1">
        <f t="shared" si="2"/>
        <v>1.8166468244327916E-6</v>
      </c>
      <c r="BN8" s="1">
        <f t="shared" si="2"/>
        <v>4.7416707020657713E-5</v>
      </c>
      <c r="BO8" s="1">
        <f t="shared" si="2"/>
        <v>2.4783910369938823E-3</v>
      </c>
      <c r="BP8" s="1">
        <f t="shared" si="2"/>
        <v>1174.12204602155</v>
      </c>
      <c r="BQ8" s="1">
        <f t="shared" si="2"/>
        <v>0.85321438922865322</v>
      </c>
    </row>
    <row r="9" spans="1:69">
      <c r="C9">
        <f>(C8*$B$8+C7*$B$7+$B$6*C6+C5*$B$5+C4*$B$4+C3*$B$3+C2*$B$2)/100</f>
        <v>1.7998971452000002E-7</v>
      </c>
      <c r="D9">
        <f t="shared" ref="D9:L9" si="4">(D8*$B$8+D7*$B$7+$B$6*D6+D5*$B$5+D4*$B$4+D3*$B$3+D2*$B$2)/100</f>
        <v>2.5997949469999999</v>
      </c>
      <c r="E9">
        <f t="shared" si="4"/>
        <v>1.1898842111000001</v>
      </c>
      <c r="F9">
        <f t="shared" si="4"/>
        <v>5.4981464270000002E-2</v>
      </c>
      <c r="G9">
        <f t="shared" si="4"/>
        <v>1.1046070558999999</v>
      </c>
      <c r="H9">
        <f t="shared" si="4"/>
        <v>8.9732706769999995E-6</v>
      </c>
      <c r="I9">
        <f t="shared" si="4"/>
        <v>2.4139948215000002E-4</v>
      </c>
      <c r="J9">
        <f t="shared" si="4"/>
        <v>4.2802611000000004E-2</v>
      </c>
      <c r="K9">
        <f t="shared" si="4"/>
        <v>5974.6044020000008</v>
      </c>
      <c r="L9">
        <f t="shared" si="4"/>
        <v>2.598009781</v>
      </c>
      <c r="AB9" t="s">
        <v>153</v>
      </c>
      <c r="AC9">
        <v>49.510877000000001</v>
      </c>
      <c r="AD9" s="1">
        <f t="shared" si="3"/>
        <v>3.749783898275538E-7</v>
      </c>
      <c r="AE9" s="1">
        <f t="shared" si="0"/>
        <v>4.7296166413958494</v>
      </c>
      <c r="AF9" s="1">
        <f t="shared" si="0"/>
        <v>2.1010883055401437</v>
      </c>
      <c r="AG9" s="1">
        <f t="shared" si="0"/>
        <v>9.3416973752833352E-2</v>
      </c>
      <c r="AH9" s="1">
        <f t="shared" si="0"/>
        <v>1.690877359175571</v>
      </c>
      <c r="AI9" s="1">
        <f t="shared" si="0"/>
        <v>1.3835948692432908E-5</v>
      </c>
      <c r="AJ9" s="1">
        <f t="shared" si="0"/>
        <v>3.6786938712595358E-4</v>
      </c>
      <c r="AK9" s="1">
        <f t="shared" si="0"/>
        <v>1.3216257559168309E-2</v>
      </c>
      <c r="AL9" s="1">
        <f t="shared" si="0"/>
        <v>9117.8805860807934</v>
      </c>
      <c r="AM9" s="1">
        <f t="shared" si="0"/>
        <v>4.7608719058476225</v>
      </c>
      <c r="AS9">
        <f t="shared" si="1"/>
        <v>6.9429377631964066E-8</v>
      </c>
      <c r="AT9">
        <f t="shared" si="1"/>
        <v>1</v>
      </c>
      <c r="AU9">
        <f t="shared" si="1"/>
        <v>0.49289589459133798</v>
      </c>
      <c r="AV9">
        <f t="shared" si="1"/>
        <v>2.2744970024221298E-2</v>
      </c>
      <c r="AW9">
        <f t="shared" si="1"/>
        <v>0.5670911871436779</v>
      </c>
      <c r="AX9">
        <f t="shared" si="1"/>
        <v>4.5625405667205827E-6</v>
      </c>
      <c r="AY9">
        <f t="shared" si="1"/>
        <v>1.240636876534215E-4</v>
      </c>
      <c r="AZ9">
        <f t="shared" si="1"/>
        <v>1.7933886407587984E-2</v>
      </c>
      <c r="BA9">
        <f t="shared" si="1"/>
        <v>3071.2444753973887</v>
      </c>
      <c r="BB9">
        <f t="shared" si="1"/>
        <v>1.0503708183619096</v>
      </c>
      <c r="BC9">
        <v>114</v>
      </c>
      <c r="BF9" t="s">
        <v>153</v>
      </c>
      <c r="BG9">
        <v>49.510877000000001</v>
      </c>
      <c r="BH9" s="1">
        <f t="shared" si="2"/>
        <v>7.9283040943649637E-8</v>
      </c>
      <c r="BI9" s="1">
        <f t="shared" si="2"/>
        <v>1</v>
      </c>
      <c r="BJ9" s="1">
        <f t="shared" si="2"/>
        <v>0.44424072072785387</v>
      </c>
      <c r="BK9" s="1">
        <f t="shared" si="2"/>
        <v>1.9751489567928965E-2</v>
      </c>
      <c r="BL9" s="1">
        <f t="shared" si="2"/>
        <v>0.35750833257313286</v>
      </c>
      <c r="BM9" s="1">
        <f t="shared" si="2"/>
        <v>2.9253848126577782E-6</v>
      </c>
      <c r="BN9" s="1">
        <f t="shared" si="2"/>
        <v>7.7779958719314822E-5</v>
      </c>
      <c r="BO9" s="1">
        <f t="shared" si="2"/>
        <v>2.7943612688380178E-3</v>
      </c>
      <c r="BP9" s="1">
        <f t="shared" si="2"/>
        <v>1927.8265613066344</v>
      </c>
      <c r="BQ9" s="1">
        <f t="shared" si="2"/>
        <v>1.0066084139205305</v>
      </c>
    </row>
    <row r="10" spans="1:69">
      <c r="C10" s="1"/>
      <c r="D10" s="1"/>
      <c r="AD10" s="1">
        <f t="shared" ref="AD10:AM10" si="5">(AD9*$AC$9+AD8*$AC$8+AD6*$AC$6+AD5*$AC$5+AD4*$AC$4+AD3*$AC$3)/100</f>
        <v>5.6167681000000011E-7</v>
      </c>
      <c r="AE10" s="1">
        <f t="shared" si="5"/>
        <v>7.0474715999999997</v>
      </c>
      <c r="AF10" s="1">
        <f t="shared" si="5"/>
        <v>2.8232842000000007</v>
      </c>
      <c r="AG10" s="1">
        <f t="shared" si="5"/>
        <v>0.12608338999999996</v>
      </c>
      <c r="AH10" s="1">
        <f t="shared" si="5"/>
        <v>2.0771283999999994</v>
      </c>
      <c r="AI10" s="1">
        <f t="shared" si="5"/>
        <v>1.7079508E-5</v>
      </c>
      <c r="AJ10" s="1">
        <f t="shared" si="5"/>
        <v>4.5150171999999993E-4</v>
      </c>
      <c r="AK10" s="1">
        <f t="shared" si="5"/>
        <v>1.7678953000000001E-2</v>
      </c>
      <c r="AL10" s="1">
        <f t="shared" si="5"/>
        <v>11192.856000000002</v>
      </c>
      <c r="AM10" s="1">
        <f t="shared" si="5"/>
        <v>7.0654152000000003</v>
      </c>
      <c r="BC10">
        <v>158</v>
      </c>
    </row>
    <row r="11" spans="1:69">
      <c r="B11" s="32" t="s">
        <v>339</v>
      </c>
      <c r="C11" s="32"/>
      <c r="D11" s="32"/>
      <c r="E11" s="32"/>
      <c r="F11" s="32"/>
      <c r="G11" s="32"/>
      <c r="H11" s="32"/>
      <c r="I11" s="25" t="s">
        <v>340</v>
      </c>
      <c r="M11" s="25" t="s">
        <v>350</v>
      </c>
      <c r="AD11" s="27">
        <f t="shared" ref="AD11:AM11" si="6">AD10/Q2</f>
        <v>1.0000000000000002</v>
      </c>
      <c r="AE11" s="27">
        <f t="shared" si="6"/>
        <v>1</v>
      </c>
      <c r="AF11" s="27">
        <f t="shared" si="6"/>
        <v>1.0000000000000002</v>
      </c>
      <c r="AG11" s="27">
        <f t="shared" si="6"/>
        <v>0.99999999999999978</v>
      </c>
      <c r="AH11" s="27">
        <f t="shared" si="6"/>
        <v>0.99999999999999978</v>
      </c>
      <c r="AI11" s="27">
        <f t="shared" si="6"/>
        <v>1</v>
      </c>
      <c r="AJ11" s="27">
        <f t="shared" si="6"/>
        <v>0.99999999999999989</v>
      </c>
      <c r="AK11" s="27">
        <f t="shared" si="6"/>
        <v>1</v>
      </c>
      <c r="AL11" s="27">
        <f t="shared" si="6"/>
        <v>1.0000000000000002</v>
      </c>
      <c r="AM11" s="27">
        <f t="shared" si="6"/>
        <v>1</v>
      </c>
      <c r="AS11" t="s">
        <v>362</v>
      </c>
      <c r="BG11" t="s">
        <v>363</v>
      </c>
    </row>
    <row r="12" spans="1:69" ht="16.2" thickBot="1">
      <c r="A12" t="s">
        <v>206</v>
      </c>
      <c r="B12" s="11" t="s">
        <v>204</v>
      </c>
      <c r="C12" t="s">
        <v>316</v>
      </c>
      <c r="D12" t="s">
        <v>317</v>
      </c>
      <c r="E12" t="s">
        <v>250</v>
      </c>
      <c r="F12" t="s">
        <v>251</v>
      </c>
      <c r="G12" t="s">
        <v>319</v>
      </c>
      <c r="H12" t="s">
        <v>320</v>
      </c>
      <c r="I12" t="s">
        <v>343</v>
      </c>
      <c r="J12" t="s">
        <v>344</v>
      </c>
      <c r="K12" t="s">
        <v>319</v>
      </c>
      <c r="L12" t="s">
        <v>320</v>
      </c>
      <c r="M12" t="s">
        <v>343</v>
      </c>
      <c r="N12" t="s">
        <v>344</v>
      </c>
      <c r="O12" t="s">
        <v>319</v>
      </c>
      <c r="P12" t="s">
        <v>320</v>
      </c>
      <c r="AD12">
        <v>0.97084846369580613</v>
      </c>
      <c r="AE12">
        <v>0.96303907448299697</v>
      </c>
      <c r="AF12">
        <v>0.93526870185470423</v>
      </c>
      <c r="AG12">
        <v>0.93815967119288757</v>
      </c>
      <c r="AH12">
        <v>1.0596731490185771</v>
      </c>
      <c r="AI12">
        <v>1.0546248338871238</v>
      </c>
      <c r="AJ12">
        <v>1.0598629780051458</v>
      </c>
      <c r="AK12">
        <v>0.94173304528815127</v>
      </c>
      <c r="AL12">
        <v>1.0602977994770615</v>
      </c>
      <c r="AM12">
        <v>1.0081581548304086</v>
      </c>
      <c r="AS12" t="s">
        <v>322</v>
      </c>
      <c r="AT12" t="s">
        <v>323</v>
      </c>
      <c r="AU12" t="s">
        <v>324</v>
      </c>
      <c r="AV12" t="s">
        <v>325</v>
      </c>
      <c r="AW12" t="s">
        <v>326</v>
      </c>
      <c r="AX12" t="s">
        <v>327</v>
      </c>
      <c r="AY12" t="s">
        <v>328</v>
      </c>
      <c r="BG12" t="s">
        <v>322</v>
      </c>
      <c r="BH12" t="s">
        <v>323</v>
      </c>
      <c r="BI12" t="s">
        <v>324</v>
      </c>
      <c r="BJ12" t="s">
        <v>325</v>
      </c>
      <c r="BK12" t="s">
        <v>326</v>
      </c>
      <c r="BL12" t="s">
        <v>327</v>
      </c>
      <c r="BM12" t="s">
        <v>328</v>
      </c>
    </row>
    <row r="13" spans="1:69">
      <c r="A13" t="s">
        <v>148</v>
      </c>
      <c r="B13">
        <v>3.3246695908947568</v>
      </c>
      <c r="C13">
        <v>0.62034199999999995</v>
      </c>
      <c r="D13">
        <v>0.62034199999999995</v>
      </c>
      <c r="E13">
        <f>(1.5777*C13^(-0.626))</f>
        <v>2.1273419448170627</v>
      </c>
      <c r="F13">
        <f>2.0621*D13^(-1.208)</f>
        <v>3.6712270927970265</v>
      </c>
      <c r="G13">
        <f t="shared" ref="G13:G19" si="7">D2/E13</f>
        <v>0.75302529708629251</v>
      </c>
      <c r="H13" s="22">
        <f t="shared" ref="H13:H20" si="8">AE3/F13</f>
        <v>1.2282476732083789</v>
      </c>
      <c r="I13">
        <f>15.697*C13^(-0.573)</f>
        <v>20.636640031352705</v>
      </c>
      <c r="J13">
        <f>36.529*D13^(-0.351)</f>
        <v>43.194080873917265</v>
      </c>
      <c r="K13">
        <f>C81/I13</f>
        <v>1.2229297483339268</v>
      </c>
      <c r="L13">
        <f>C92/J13</f>
        <v>1.7465181282918185</v>
      </c>
      <c r="M13">
        <f>73.378*C13^(-0.094)/1000</f>
        <v>7.6746492964083923E-2</v>
      </c>
      <c r="N13">
        <f>41.232*D13^(-0.34)/1000</f>
        <v>4.8499783283478773E-2</v>
      </c>
      <c r="O13">
        <f>C111/M13</f>
        <v>0.84298318400394723</v>
      </c>
      <c r="P13">
        <f>C121/N13</f>
        <v>0.36083741819596254</v>
      </c>
      <c r="AR13" t="s">
        <v>148</v>
      </c>
      <c r="AS13">
        <f t="shared" ref="AS13:AY19" si="9">C81/$C81</f>
        <v>1</v>
      </c>
      <c r="AT13">
        <f t="shared" si="9"/>
        <v>0.69388082122232375</v>
      </c>
      <c r="AU13">
        <f t="shared" si="9"/>
        <v>7.7805419555709919E-4</v>
      </c>
      <c r="AV13">
        <f t="shared" si="9"/>
        <v>1.3338515770454529E-3</v>
      </c>
      <c r="AW13">
        <f t="shared" si="9"/>
        <v>7.2008380815892878E-2</v>
      </c>
      <c r="AX13">
        <f t="shared" si="9"/>
        <v>2.6516124773305522E-2</v>
      </c>
      <c r="AY13">
        <f t="shared" si="9"/>
        <v>0.20548276012503944</v>
      </c>
      <c r="BF13" t="s">
        <v>148</v>
      </c>
      <c r="BG13">
        <f>C91/$C91</f>
        <v>1</v>
      </c>
      <c r="BH13">
        <f>D92/$C92</f>
        <v>0.66280542094385275</v>
      </c>
      <c r="BI13">
        <f t="shared" ref="BI13:BM19" si="10">E92/$C92</f>
        <v>8.6629974476825776E-4</v>
      </c>
      <c r="BJ13">
        <f t="shared" si="10"/>
        <v>1.4297253910659129E-3</v>
      </c>
      <c r="BK13">
        <f t="shared" si="10"/>
        <v>7.628474602605001E-2</v>
      </c>
      <c r="BL13">
        <f t="shared" si="10"/>
        <v>1.0967472071827643E-3</v>
      </c>
      <c r="BM13">
        <f t="shared" si="10"/>
        <v>0.25751706068708036</v>
      </c>
    </row>
    <row r="14" spans="1:69">
      <c r="A14" t="s">
        <v>149</v>
      </c>
      <c r="B14">
        <v>8.5</v>
      </c>
      <c r="C14">
        <v>0.58992800000000001</v>
      </c>
      <c r="D14">
        <v>1.181694</v>
      </c>
      <c r="E14">
        <f t="shared" ref="E14:E19" si="11">(1.5777*C14^(-0.626))</f>
        <v>2.1953524095912837</v>
      </c>
      <c r="F14">
        <f t="shared" ref="F14:F19" si="12">2.0621*D14^(-1.208)</f>
        <v>1.6854801628796783</v>
      </c>
      <c r="G14">
        <f t="shared" si="7"/>
        <v>1.5462303387691498</v>
      </c>
      <c r="H14" s="22">
        <f t="shared" si="8"/>
        <v>5.6689825580911606</v>
      </c>
      <c r="I14">
        <f t="shared" ref="I14:I19" si="13">15.697*C14^(-0.573)</f>
        <v>21.239721881506547</v>
      </c>
      <c r="J14">
        <f t="shared" ref="J14:J20" si="14">36.529*D14^(-0.351)</f>
        <v>34.44994379257804</v>
      </c>
      <c r="K14">
        <f t="shared" ref="K14:K19" si="15">C82/I14</f>
        <v>2.3691952409138932</v>
      </c>
      <c r="L14">
        <f t="shared" ref="L14:L19" si="16">C93/J14</f>
        <v>4.2767087935008332</v>
      </c>
      <c r="M14">
        <f t="shared" ref="M14:M19" si="17">73.378*C14^(-0.094)/1000</f>
        <v>7.7110010715982932E-2</v>
      </c>
      <c r="N14">
        <f t="shared" ref="N14:N19" si="18">41.232*D14^(-0.34)/1000</f>
        <v>3.8956747536059384E-2</v>
      </c>
      <c r="O14">
        <f t="shared" ref="O14:O18" si="19">C112/M14</f>
        <v>0.87129680538449361</v>
      </c>
      <c r="P14">
        <f t="shared" ref="P14:P19" si="20">C122/N14</f>
        <v>0.46651768175546809</v>
      </c>
      <c r="AR14" t="s">
        <v>149</v>
      </c>
      <c r="AS14">
        <f t="shared" si="9"/>
        <v>1</v>
      </c>
      <c r="AT14">
        <f t="shared" si="9"/>
        <v>0.77415647225789097</v>
      </c>
      <c r="AU14">
        <f t="shared" si="9"/>
        <v>8.7175690379103402E-2</v>
      </c>
      <c r="AV14">
        <f t="shared" si="9"/>
        <v>9.7107168753719124E-4</v>
      </c>
      <c r="AW14">
        <f t="shared" si="9"/>
        <v>6.9876398440668411E-2</v>
      </c>
      <c r="AX14">
        <f t="shared" si="9"/>
        <v>1.4142815149636789E-2</v>
      </c>
      <c r="AY14">
        <f t="shared" si="9"/>
        <v>5.3677558543693292E-2</v>
      </c>
      <c r="BF14" t="s">
        <v>149</v>
      </c>
      <c r="BG14">
        <f t="shared" ref="BG14:BG19" si="21">C92/$C92</f>
        <v>1</v>
      </c>
      <c r="BH14">
        <f t="shared" ref="BH14:BH19" si="22">D93/$C93</f>
        <v>0.75498484427429458</v>
      </c>
      <c r="BI14">
        <f t="shared" si="10"/>
        <v>9.9097351950744303E-2</v>
      </c>
      <c r="BJ14">
        <f t="shared" si="10"/>
        <v>1.0626854445414337E-3</v>
      </c>
      <c r="BK14">
        <f t="shared" si="10"/>
        <v>7.5577668182720451E-2</v>
      </c>
      <c r="BL14">
        <f t="shared" si="10"/>
        <v>5.9722869341208827E-4</v>
      </c>
      <c r="BM14">
        <f t="shared" si="10"/>
        <v>6.8680221454286983E-2</v>
      </c>
    </row>
    <row r="15" spans="1:69">
      <c r="A15" t="s">
        <v>150</v>
      </c>
      <c r="B15">
        <v>0.64784280222127288</v>
      </c>
      <c r="C15">
        <v>1.0063249999999999</v>
      </c>
      <c r="D15">
        <v>4.97</v>
      </c>
      <c r="E15">
        <f t="shared" si="11"/>
        <v>1.5714851214785686</v>
      </c>
      <c r="F15">
        <f t="shared" si="12"/>
        <v>0.29724270485642884</v>
      </c>
      <c r="G15">
        <f t="shared" si="7"/>
        <v>0.70972195966489804</v>
      </c>
      <c r="H15" s="22">
        <f t="shared" si="8"/>
        <v>10.561792779020024</v>
      </c>
      <c r="I15">
        <f t="shared" si="13"/>
        <v>15.640392016598502</v>
      </c>
      <c r="J15">
        <f t="shared" si="14"/>
        <v>20.807346090733844</v>
      </c>
      <c r="K15">
        <f t="shared" si="15"/>
        <v>1.2405939684509186</v>
      </c>
      <c r="L15">
        <f t="shared" si="16"/>
        <v>2.802162604070547</v>
      </c>
      <c r="M15">
        <f t="shared" si="17"/>
        <v>7.3334523386192341E-2</v>
      </c>
      <c r="N15">
        <f t="shared" si="18"/>
        <v>2.3904145798654446E-2</v>
      </c>
      <c r="O15">
        <f t="shared" si="19"/>
        <v>0.34356234739972136</v>
      </c>
      <c r="P15">
        <f t="shared" si="20"/>
        <v>0.28511149061397711</v>
      </c>
      <c r="AR15" t="s">
        <v>150</v>
      </c>
      <c r="AS15">
        <f t="shared" si="9"/>
        <v>1</v>
      </c>
      <c r="AT15">
        <f t="shared" si="9"/>
        <v>0.61522015550283615</v>
      </c>
      <c r="AU15">
        <f t="shared" si="9"/>
        <v>4.8720661806481512E-2</v>
      </c>
      <c r="AV15">
        <f t="shared" si="9"/>
        <v>1.3830300974428365E-3</v>
      </c>
      <c r="AW15">
        <f t="shared" si="9"/>
        <v>0.10473371747267074</v>
      </c>
      <c r="AX15">
        <f t="shared" si="9"/>
        <v>3.0751265656038411E-2</v>
      </c>
      <c r="AY15">
        <f t="shared" si="9"/>
        <v>0.19919115621941252</v>
      </c>
      <c r="BF15" t="s">
        <v>150</v>
      </c>
      <c r="BG15">
        <f t="shared" si="21"/>
        <v>1</v>
      </c>
      <c r="BH15">
        <f t="shared" si="22"/>
        <v>0.58459599459201372</v>
      </c>
      <c r="BI15">
        <f t="shared" si="10"/>
        <v>5.3962943234204482E-2</v>
      </c>
      <c r="BJ15">
        <f t="shared" si="10"/>
        <v>1.4746904476323288E-3</v>
      </c>
      <c r="BK15">
        <f t="shared" si="10"/>
        <v>0.11037362096251205</v>
      </c>
      <c r="BL15">
        <f t="shared" si="10"/>
        <v>1.2652711064223133E-3</v>
      </c>
      <c r="BM15">
        <f t="shared" si="10"/>
        <v>0.24832747965721508</v>
      </c>
    </row>
    <row r="16" spans="1:69">
      <c r="A16" t="s">
        <v>151</v>
      </c>
      <c r="B16">
        <v>2.5891459768620821</v>
      </c>
      <c r="C16">
        <v>0.40065699999999999</v>
      </c>
      <c r="D16">
        <v>0.25234499999999999</v>
      </c>
      <c r="E16">
        <f t="shared" si="11"/>
        <v>2.796975701740116</v>
      </c>
      <c r="F16">
        <f t="shared" si="12"/>
        <v>10.88178447077196</v>
      </c>
      <c r="G16">
        <f t="shared" si="7"/>
        <v>1.1120618237995001</v>
      </c>
      <c r="H16" s="22">
        <f t="shared" si="8"/>
        <v>0.80457741263679028</v>
      </c>
      <c r="I16">
        <f t="shared" si="13"/>
        <v>26.511108139362779</v>
      </c>
      <c r="J16">
        <f t="shared" si="14"/>
        <v>59.229442145660443</v>
      </c>
      <c r="K16">
        <f t="shared" si="15"/>
        <v>1.9260163977901263</v>
      </c>
      <c r="L16">
        <f t="shared" si="16"/>
        <v>2.5485236074570081</v>
      </c>
      <c r="M16">
        <f t="shared" si="17"/>
        <v>7.9965974354217859E-2</v>
      </c>
      <c r="N16">
        <f t="shared" si="18"/>
        <v>6.5850064070059999E-2</v>
      </c>
      <c r="O16">
        <f t="shared" si="19"/>
        <v>0.86179456395712728</v>
      </c>
      <c r="P16">
        <f t="shared" si="20"/>
        <v>0.28309141311835523</v>
      </c>
      <c r="AR16" t="s">
        <v>151</v>
      </c>
      <c r="AS16">
        <f t="shared" si="9"/>
        <v>1</v>
      </c>
      <c r="AT16">
        <f t="shared" si="9"/>
        <v>0.64464587913368976</v>
      </c>
      <c r="AU16">
        <f t="shared" si="9"/>
        <v>-3.7969291489568257E-3</v>
      </c>
      <c r="AV16">
        <f t="shared" si="9"/>
        <v>1.534229438382209E-3</v>
      </c>
      <c r="AW16">
        <f t="shared" si="9"/>
        <v>8.3769270569422211E-2</v>
      </c>
      <c r="AX16">
        <f t="shared" si="9"/>
        <v>4.6344795929576472E-2</v>
      </c>
      <c r="AY16">
        <f t="shared" si="9"/>
        <v>0.22750276929503044</v>
      </c>
      <c r="BF16" t="s">
        <v>151</v>
      </c>
      <c r="BG16">
        <f t="shared" si="21"/>
        <v>1</v>
      </c>
      <c r="BH16">
        <f t="shared" si="22"/>
        <v>0.62264538540902747</v>
      </c>
      <c r="BI16">
        <f t="shared" si="10"/>
        <v>-4.274735282706707E-3</v>
      </c>
      <c r="BJ16">
        <f t="shared" si="10"/>
        <v>1.6628528920115406E-3</v>
      </c>
      <c r="BK16">
        <f t="shared" si="10"/>
        <v>8.9734157165198752E-2</v>
      </c>
      <c r="BL16">
        <f t="shared" si="10"/>
        <v>1.9382770448121687E-3</v>
      </c>
      <c r="BM16">
        <f t="shared" si="10"/>
        <v>0.28829406277165676</v>
      </c>
    </row>
    <row r="17" spans="1:65">
      <c r="A17" t="s">
        <v>285</v>
      </c>
      <c r="C17">
        <v>0.53640900000000002</v>
      </c>
      <c r="D17">
        <v>2.5515279999999998</v>
      </c>
      <c r="E17">
        <f t="shared" si="11"/>
        <v>2.3300213179613491</v>
      </c>
      <c r="F17">
        <f t="shared" si="12"/>
        <v>0.6651121987604296</v>
      </c>
      <c r="G17">
        <f t="shared" si="7"/>
        <v>2.3357358827779953</v>
      </c>
      <c r="H17" s="22">
        <f t="shared" si="8"/>
        <v>23.03239205217136</v>
      </c>
      <c r="I17">
        <f t="shared" si="13"/>
        <v>22.429284423713046</v>
      </c>
      <c r="J17">
        <f t="shared" si="14"/>
        <v>26.293649203902717</v>
      </c>
      <c r="K17">
        <f t="shared" si="15"/>
        <v>3.6917672198430438</v>
      </c>
      <c r="L17">
        <f t="shared" si="16"/>
        <v>9.7125912723125865</v>
      </c>
      <c r="M17">
        <f t="shared" si="17"/>
        <v>7.7802444266404244E-2</v>
      </c>
      <c r="N17">
        <f t="shared" si="18"/>
        <v>2.9986258882303354E-2</v>
      </c>
      <c r="O17">
        <f t="shared" si="19"/>
        <v>1.8611264898592133</v>
      </c>
      <c r="P17">
        <f t="shared" si="20"/>
        <v>1.3062333272425548</v>
      </c>
      <c r="AR17" t="s">
        <v>285</v>
      </c>
      <c r="AS17">
        <f t="shared" si="9"/>
        <v>1</v>
      </c>
      <c r="AT17">
        <f t="shared" si="9"/>
        <v>0.69129270882675686</v>
      </c>
      <c r="AU17">
        <f t="shared" si="9"/>
        <v>4.833589736941335E-2</v>
      </c>
      <c r="AV17">
        <f t="shared" si="9"/>
        <v>1.225603368893058E-3</v>
      </c>
      <c r="AW17">
        <f t="shared" si="9"/>
        <v>7.3885970332942988E-2</v>
      </c>
      <c r="AX17">
        <f t="shared" si="9"/>
        <v>-4.8271091084254366E-3</v>
      </c>
      <c r="AY17">
        <f t="shared" si="9"/>
        <v>0.19008693536956447</v>
      </c>
      <c r="BF17" t="s">
        <v>285</v>
      </c>
      <c r="BG17">
        <f t="shared" si="21"/>
        <v>1</v>
      </c>
      <c r="BH17">
        <f t="shared" si="22"/>
        <v>0.64000553637922508</v>
      </c>
      <c r="BI17">
        <f t="shared" si="10"/>
        <v>5.216133642274786E-2</v>
      </c>
      <c r="BJ17">
        <f t="shared" si="10"/>
        <v>1.2732557792738686E-3</v>
      </c>
      <c r="BK17">
        <f t="shared" si="10"/>
        <v>7.5864260185597943E-2</v>
      </c>
      <c r="BL17">
        <f t="shared" si="10"/>
        <v>-1.9351034410384612E-4</v>
      </c>
      <c r="BM17">
        <f t="shared" si="10"/>
        <v>0.23088912157725905</v>
      </c>
    </row>
    <row r="18" spans="1:65">
      <c r="A18" t="s">
        <v>152</v>
      </c>
      <c r="C18">
        <v>0.63597899999999996</v>
      </c>
      <c r="D18">
        <v>2.5515279999999998</v>
      </c>
      <c r="E18">
        <f t="shared" si="11"/>
        <v>2.0944463878132136</v>
      </c>
      <c r="F18">
        <f t="shared" si="12"/>
        <v>0.6651121987604296</v>
      </c>
      <c r="G18">
        <f t="shared" si="7"/>
        <v>2.5984500876540721</v>
      </c>
      <c r="H18" s="22">
        <f t="shared" si="8"/>
        <v>23.03239205217136</v>
      </c>
      <c r="I18">
        <f t="shared" si="13"/>
        <v>20.344356050779631</v>
      </c>
      <c r="J18">
        <f t="shared" si="14"/>
        <v>26.293649203902717</v>
      </c>
      <c r="K18">
        <f t="shared" si="15"/>
        <v>4.0701065589552945</v>
      </c>
      <c r="L18">
        <f t="shared" si="16"/>
        <v>9.7125912723125865</v>
      </c>
      <c r="M18">
        <f t="shared" si="17"/>
        <v>7.6567109012030135E-2</v>
      </c>
      <c r="N18">
        <f t="shared" si="18"/>
        <v>2.9986258882303354E-2</v>
      </c>
      <c r="O18">
        <f t="shared" si="19"/>
        <v>1.8911539415344669</v>
      </c>
      <c r="P18">
        <f t="shared" si="20"/>
        <v>1.3062333272425548</v>
      </c>
      <c r="AR18" t="s">
        <v>152</v>
      </c>
      <c r="AS18">
        <f t="shared" si="9"/>
        <v>1</v>
      </c>
      <c r="AT18">
        <f t="shared" si="9"/>
        <v>0.69129270882675686</v>
      </c>
      <c r="AU18">
        <f t="shared" si="9"/>
        <v>4.833589736941335E-2</v>
      </c>
      <c r="AV18">
        <f t="shared" si="9"/>
        <v>1.225603368893058E-3</v>
      </c>
      <c r="AW18">
        <f t="shared" si="9"/>
        <v>7.3885970332942988E-2</v>
      </c>
      <c r="AX18">
        <f t="shared" si="9"/>
        <v>-4.8271091084254366E-3</v>
      </c>
      <c r="AY18">
        <f t="shared" si="9"/>
        <v>0.19008693536956447</v>
      </c>
      <c r="BF18" t="s">
        <v>152</v>
      </c>
      <c r="BG18">
        <f t="shared" si="21"/>
        <v>1</v>
      </c>
      <c r="BH18">
        <f t="shared" si="22"/>
        <v>0.64000553637922508</v>
      </c>
      <c r="BI18">
        <f t="shared" si="10"/>
        <v>5.216133642274786E-2</v>
      </c>
      <c r="BJ18">
        <f t="shared" si="10"/>
        <v>1.2732557792738686E-3</v>
      </c>
      <c r="BK18">
        <f t="shared" si="10"/>
        <v>7.5864260185597943E-2</v>
      </c>
      <c r="BL18">
        <f t="shared" si="10"/>
        <v>-1.9351034410384612E-4</v>
      </c>
      <c r="BM18">
        <f t="shared" si="10"/>
        <v>0.23088912157725905</v>
      </c>
    </row>
    <row r="19" spans="1:65">
      <c r="A19" t="s">
        <v>153</v>
      </c>
      <c r="B19">
        <v>2.306767099117335</v>
      </c>
      <c r="C19">
        <v>0.67131600000000002</v>
      </c>
      <c r="D19">
        <v>0.42524800000000001</v>
      </c>
      <c r="E19">
        <f t="shared" si="11"/>
        <v>2.0247346943239877</v>
      </c>
      <c r="F19">
        <f t="shared" si="12"/>
        <v>5.793084299862219</v>
      </c>
      <c r="G19">
        <f t="shared" si="7"/>
        <v>0.82986507057459158</v>
      </c>
      <c r="H19" s="22">
        <f t="shared" si="8"/>
        <v>0.81642461883531325</v>
      </c>
      <c r="I19">
        <f t="shared" si="13"/>
        <v>19.723659129545094</v>
      </c>
      <c r="J19">
        <f t="shared" si="14"/>
        <v>49.315602475589607</v>
      </c>
      <c r="K19">
        <f t="shared" si="15"/>
        <v>1.3251692714993106</v>
      </c>
      <c r="L19">
        <f t="shared" si="16"/>
        <v>1.6367998294110511</v>
      </c>
      <c r="M19">
        <f t="shared" si="17"/>
        <v>7.6178906187645432E-2</v>
      </c>
      <c r="N19">
        <f t="shared" si="18"/>
        <v>5.5143715656756978E-2</v>
      </c>
      <c r="O19">
        <f>C117/M19</f>
        <v>0.40281762413880179</v>
      </c>
      <c r="P19">
        <f t="shared" si="20"/>
        <v>0.15052931475304937</v>
      </c>
      <c r="AR19" t="s">
        <v>153</v>
      </c>
      <c r="AS19">
        <f t="shared" si="9"/>
        <v>1</v>
      </c>
      <c r="AT19">
        <f t="shared" si="9"/>
        <v>0.68074697556397323</v>
      </c>
      <c r="AU19">
        <f t="shared" si="9"/>
        <v>2.5091374599722608E-2</v>
      </c>
      <c r="AV19">
        <f t="shared" si="9"/>
        <v>1.3848864072480334E-3</v>
      </c>
      <c r="AW19">
        <f t="shared" si="9"/>
        <v>8.3260669941260329E-2</v>
      </c>
      <c r="AX19">
        <f t="shared" si="9"/>
        <v>-2.2226913707278444E-3</v>
      </c>
      <c r="AY19">
        <f t="shared" si="9"/>
        <v>0.21173878045866221</v>
      </c>
      <c r="BF19" t="s">
        <v>153</v>
      </c>
      <c r="BG19">
        <f t="shared" si="21"/>
        <v>1</v>
      </c>
      <c r="BH19">
        <f t="shared" si="22"/>
        <v>0.62939408323162438</v>
      </c>
      <c r="BI19">
        <f t="shared" si="10"/>
        <v>2.7040739178707328E-2</v>
      </c>
      <c r="BJ19">
        <f t="shared" si="10"/>
        <v>1.436795779278654E-3</v>
      </c>
      <c r="BK19">
        <f t="shared" si="10"/>
        <v>8.5374923527448784E-2</v>
      </c>
      <c r="BL19">
        <f t="shared" si="10"/>
        <v>-8.8983895475041271E-5</v>
      </c>
      <c r="BM19">
        <f t="shared" si="10"/>
        <v>0.25684244217841584</v>
      </c>
    </row>
    <row r="20" spans="1:65">
      <c r="A20" t="s">
        <v>205</v>
      </c>
      <c r="B20">
        <v>2.3616749530351293</v>
      </c>
      <c r="C20">
        <f>(C13*B2+C14*B3+C15*B4+C16*B5+C17*B6+C18*B7+C19*B8)/100</f>
        <v>0.65400897578703932</v>
      </c>
      <c r="D20">
        <f>(D13*BG3+BG4*D14+BG5*D15+BG6*D16+BG7*D17+BG8*D18+BG9*D19)/100</f>
        <v>0.67239780643022007</v>
      </c>
      <c r="E20">
        <f>(1.5777*C20^(-0.626))</f>
        <v>2.0581120900804879</v>
      </c>
      <c r="F20">
        <f>2.0621*D20^(-1.208)</f>
        <v>3.3307126491329324</v>
      </c>
      <c r="G20">
        <f>$D$9/E20</f>
        <v>1.2631940502804822</v>
      </c>
      <c r="H20" s="22">
        <f t="shared" si="8"/>
        <v>2.1159050156532215</v>
      </c>
      <c r="I20">
        <f>15.697*C20^(-0.573)</f>
        <v>20.021065809581</v>
      </c>
      <c r="J20">
        <f t="shared" si="14"/>
        <v>41.989524467153643</v>
      </c>
    </row>
    <row r="21" spans="1:65">
      <c r="F21" t="s">
        <v>321</v>
      </c>
    </row>
    <row r="22" spans="1:65">
      <c r="F22" t="s">
        <v>220</v>
      </c>
    </row>
    <row r="42" spans="1:35">
      <c r="A42" t="s">
        <v>269</v>
      </c>
      <c r="B42" s="9" t="s">
        <v>154</v>
      </c>
      <c r="C42" s="2" t="s">
        <v>239</v>
      </c>
      <c r="D42" s="2" t="s">
        <v>240</v>
      </c>
      <c r="E42" s="2" t="s">
        <v>241</v>
      </c>
      <c r="F42" s="2" t="s">
        <v>242</v>
      </c>
      <c r="G42" s="2" t="s">
        <v>243</v>
      </c>
      <c r="H42" s="2" t="s">
        <v>244</v>
      </c>
      <c r="I42" s="2" t="s">
        <v>245</v>
      </c>
      <c r="J42" s="2" t="s">
        <v>246</v>
      </c>
      <c r="K42" s="2" t="s">
        <v>247</v>
      </c>
      <c r="L42" s="2" t="s">
        <v>248</v>
      </c>
    </row>
    <row r="43" spans="1:35">
      <c r="A43" t="s">
        <v>148</v>
      </c>
      <c r="B43">
        <v>5</v>
      </c>
      <c r="C43">
        <v>2.2079172E-7</v>
      </c>
      <c r="D43">
        <v>4.1903205999999997</v>
      </c>
      <c r="E43">
        <v>1.1114596999999999</v>
      </c>
      <c r="F43">
        <v>1.2362987999999999</v>
      </c>
      <c r="G43">
        <v>0.70117238000000004</v>
      </c>
      <c r="H43">
        <v>6.2751825000000001E-6</v>
      </c>
      <c r="I43">
        <v>2.1413307E-4</v>
      </c>
      <c r="J43">
        <v>0.10734339</v>
      </c>
      <c r="K43">
        <v>3819.9047999999998</v>
      </c>
      <c r="L43">
        <v>3.6320815999999998</v>
      </c>
    </row>
    <row r="44" spans="1:35">
      <c r="A44" t="s">
        <v>149</v>
      </c>
      <c r="B44">
        <v>10</v>
      </c>
      <c r="C44">
        <v>3.7085823000000001E-7</v>
      </c>
      <c r="D44">
        <v>6.1288115000000003</v>
      </c>
      <c r="E44">
        <v>1.5013293000000001</v>
      </c>
      <c r="F44">
        <v>0.48994281000000001</v>
      </c>
      <c r="G44">
        <v>1.34951</v>
      </c>
      <c r="H44">
        <v>1.1433946999999999E-5</v>
      </c>
      <c r="I44">
        <v>3.5505667E-4</v>
      </c>
      <c r="J44">
        <v>7.4760297000000003E-2</v>
      </c>
      <c r="K44">
        <v>7323.0109000000002</v>
      </c>
      <c r="L44">
        <v>6.2462412</v>
      </c>
    </row>
    <row r="45" spans="1:35">
      <c r="A45" t="s">
        <v>150</v>
      </c>
      <c r="B45">
        <v>13</v>
      </c>
      <c r="C45">
        <v>2.6448216E-7</v>
      </c>
      <c r="D45">
        <v>2.9046623</v>
      </c>
      <c r="E45">
        <v>0.61138806000000001</v>
      </c>
      <c r="F45">
        <v>6.7265631000000006E-2</v>
      </c>
      <c r="G45">
        <v>0.45965252000000001</v>
      </c>
      <c r="H45">
        <v>2.1083945999999999E-6</v>
      </c>
      <c r="I45">
        <v>5.4306435000000001E-5</v>
      </c>
      <c r="J45">
        <v>2.2721551E-2</v>
      </c>
      <c r="K45">
        <v>1236.0084999999999</v>
      </c>
      <c r="L45">
        <v>3.5670384999999998</v>
      </c>
    </row>
    <row r="46" spans="1:35">
      <c r="A46" t="s">
        <v>151</v>
      </c>
      <c r="B46">
        <v>13</v>
      </c>
      <c r="C46">
        <v>6.5686866999999997E-7</v>
      </c>
      <c r="D46">
        <v>5.8913487</v>
      </c>
      <c r="E46">
        <v>2.2152124999999998</v>
      </c>
      <c r="F46">
        <v>0.42920072999999997</v>
      </c>
      <c r="G46">
        <v>2.0668601</v>
      </c>
      <c r="H46">
        <v>1.6848333999999999E-5</v>
      </c>
      <c r="I46">
        <v>4.5557136999999998E-4</v>
      </c>
      <c r="J46">
        <v>8.3357070000000005E-2</v>
      </c>
      <c r="K46">
        <v>11203.295</v>
      </c>
      <c r="L46">
        <v>7.1267469999999999</v>
      </c>
      <c r="Q46" t="s">
        <v>421</v>
      </c>
      <c r="R46" s="2" t="s">
        <v>239</v>
      </c>
      <c r="S46" s="2" t="s">
        <v>240</v>
      </c>
      <c r="T46" s="2" t="s">
        <v>241</v>
      </c>
      <c r="U46" s="2" t="s">
        <v>242</v>
      </c>
      <c r="V46" s="2" t="s">
        <v>243</v>
      </c>
      <c r="W46" s="2" t="s">
        <v>244</v>
      </c>
      <c r="X46" s="2" t="s">
        <v>245</v>
      </c>
      <c r="Y46" s="2" t="s">
        <v>246</v>
      </c>
      <c r="Z46" s="2" t="s">
        <v>247</v>
      </c>
      <c r="AA46" s="2" t="s">
        <v>248</v>
      </c>
      <c r="AB46" t="s">
        <v>322</v>
      </c>
      <c r="AC46" t="s">
        <v>323</v>
      </c>
      <c r="AD46" t="s">
        <v>324</v>
      </c>
      <c r="AE46" t="s">
        <v>325</v>
      </c>
      <c r="AF46" t="s">
        <v>326</v>
      </c>
      <c r="AG46" t="s">
        <v>327</v>
      </c>
      <c r="AH46" t="s">
        <v>328</v>
      </c>
      <c r="AI46" t="s">
        <v>335</v>
      </c>
    </row>
    <row r="47" spans="1:35">
      <c r="A47" t="s">
        <v>285</v>
      </c>
      <c r="B47">
        <v>9</v>
      </c>
      <c r="C47">
        <v>4.5054773999999998E-7</v>
      </c>
      <c r="D47">
        <v>7.6047444000000004</v>
      </c>
      <c r="E47">
        <v>2.5455939000000001</v>
      </c>
      <c r="F47">
        <v>0.69954651000000001</v>
      </c>
      <c r="G47">
        <v>1.9013674</v>
      </c>
      <c r="H47">
        <v>1.6083459000000001E-5</v>
      </c>
      <c r="I47">
        <v>4.8290973000000002E-4</v>
      </c>
      <c r="J47">
        <v>0.12835350000000001</v>
      </c>
      <c r="K47">
        <v>10323.921</v>
      </c>
      <c r="L47">
        <v>6.6519611000000003</v>
      </c>
      <c r="Q47" t="s">
        <v>148</v>
      </c>
      <c r="R47" s="1">
        <f>(C$50-C$9)*C43/C$50</f>
        <v>1.0838198524593653E-7</v>
      </c>
      <c r="S47" s="1">
        <f t="shared" ref="S47:AA53" si="23">(D$50-D$9)*D43/D$50</f>
        <v>2.0906588823983845</v>
      </c>
      <c r="T47" s="1">
        <f t="shared" si="23"/>
        <v>0.28792252130337592</v>
      </c>
      <c r="U47" s="1">
        <f t="shared" si="23"/>
        <v>1.0888782951180116</v>
      </c>
      <c r="V47" s="1">
        <f t="shared" si="23"/>
        <v>0.14214105547806741</v>
      </c>
      <c r="W47" s="1">
        <f t="shared" si="23"/>
        <v>1.336455919864516E-6</v>
      </c>
      <c r="X47" s="1">
        <f t="shared" si="23"/>
        <v>6.2510033677413813E-5</v>
      </c>
      <c r="Y47" s="1">
        <f t="shared" si="23"/>
        <v>4.5046316976807527E-2</v>
      </c>
      <c r="Z47" s="1">
        <f t="shared" si="23"/>
        <v>717.88119132524366</v>
      </c>
      <c r="AA47" s="1">
        <f t="shared" si="23"/>
        <v>1.7377952916379706</v>
      </c>
      <c r="AB47">
        <v>31.99821784452546</v>
      </c>
      <c r="AC47">
        <v>23.871005596769486</v>
      </c>
      <c r="AD47">
        <v>3.0578633902288792</v>
      </c>
      <c r="AE47">
        <v>1.5122996747965326E-2</v>
      </c>
      <c r="AF47">
        <v>9.5267261866127129</v>
      </c>
      <c r="AG47">
        <v>-0.66577594944881868</v>
      </c>
      <c r="AH47">
        <v>2.3456308563342665</v>
      </c>
      <c r="AI47">
        <v>1.8822185809893168E-2</v>
      </c>
    </row>
    <row r="48" spans="1:35">
      <c r="A48" t="s">
        <v>152</v>
      </c>
      <c r="B48">
        <v>8</v>
      </c>
      <c r="C48">
        <v>4.5054773999999998E-7</v>
      </c>
      <c r="D48">
        <v>7.6047444000000004</v>
      </c>
      <c r="E48">
        <v>2.5455939000000001</v>
      </c>
      <c r="F48">
        <v>0.69954651000000001</v>
      </c>
      <c r="G48">
        <v>1.9013674</v>
      </c>
      <c r="H48">
        <v>1.6083459000000001E-5</v>
      </c>
      <c r="I48">
        <v>4.8290973000000002E-4</v>
      </c>
      <c r="J48">
        <v>0.12835350000000001</v>
      </c>
      <c r="K48">
        <v>10323.921</v>
      </c>
      <c r="L48">
        <v>6.6519611000000003</v>
      </c>
      <c r="Q48" t="s">
        <v>149</v>
      </c>
      <c r="R48" s="1">
        <f t="shared" ref="R48:R53" si="24">(C$50-C$9)*C44/C$50</f>
        <v>1.8204646085548016E-7</v>
      </c>
      <c r="S48" s="1">
        <f t="shared" si="23"/>
        <v>3.0578219244179947</v>
      </c>
      <c r="T48" s="1">
        <f t="shared" si="23"/>
        <v>0.38891785042915411</v>
      </c>
      <c r="U48" s="1">
        <f t="shared" si="23"/>
        <v>0.43152035062893207</v>
      </c>
      <c r="V48" s="1">
        <f t="shared" si="23"/>
        <v>0.27357149432812333</v>
      </c>
      <c r="W48" s="1">
        <f t="shared" si="23"/>
        <v>2.4351429070894946E-6</v>
      </c>
      <c r="X48" s="1">
        <f t="shared" si="23"/>
        <v>1.036486536110018E-4</v>
      </c>
      <c r="Y48" s="1">
        <f t="shared" si="23"/>
        <v>3.1372924182311294E-2</v>
      </c>
      <c r="Z48" s="1">
        <f t="shared" si="23"/>
        <v>1376.2258653618137</v>
      </c>
      <c r="AA48" s="1">
        <f t="shared" si="23"/>
        <v>2.9885585576588114</v>
      </c>
      <c r="AB48">
        <v>45.644753149124881</v>
      </c>
      <c r="AC48">
        <v>37.083938731636884</v>
      </c>
      <c r="AD48">
        <v>-3.9369511120232792</v>
      </c>
      <c r="AE48">
        <v>2.0049068787975133E-2</v>
      </c>
      <c r="AF48">
        <v>8.8924610487969886</v>
      </c>
      <c r="AG48">
        <v>-1.5448211860457877</v>
      </c>
      <c r="AH48">
        <v>1.6796208154342558</v>
      </c>
      <c r="AI48">
        <v>1.9190777644177023E-2</v>
      </c>
    </row>
    <row r="49" spans="1:35">
      <c r="A49" t="s">
        <v>153</v>
      </c>
      <c r="B49">
        <v>42</v>
      </c>
      <c r="C49">
        <v>2.5960973999999999E-7</v>
      </c>
      <c r="D49">
        <v>4.5946606000000001</v>
      </c>
      <c r="E49">
        <v>1.4285068999999999</v>
      </c>
      <c r="F49">
        <v>0.39717418999999998</v>
      </c>
      <c r="G49">
        <v>1.3423314</v>
      </c>
      <c r="H49">
        <v>1.1299493999999999E-5</v>
      </c>
      <c r="I49">
        <v>3.4840666999999998E-4</v>
      </c>
      <c r="J49">
        <v>6.0236155999999999E-2</v>
      </c>
      <c r="K49">
        <v>7289.9903999999997</v>
      </c>
      <c r="L49">
        <v>3.9384256</v>
      </c>
      <c r="Q49" t="s">
        <v>150</v>
      </c>
      <c r="R49" s="1">
        <f t="shared" si="24"/>
        <v>1.2982869811845039E-7</v>
      </c>
      <c r="S49" s="1">
        <f t="shared" si="23"/>
        <v>1.4492108403024631</v>
      </c>
      <c r="T49" s="1">
        <f t="shared" si="23"/>
        <v>0.15837946416768839</v>
      </c>
      <c r="U49" s="1">
        <f t="shared" si="23"/>
        <v>5.9244646685184262E-2</v>
      </c>
      <c r="V49" s="1">
        <f t="shared" si="23"/>
        <v>9.3180359366057022E-2</v>
      </c>
      <c r="W49" s="1">
        <f t="shared" si="23"/>
        <v>4.4903497939388668E-7</v>
      </c>
      <c r="X49" s="1">
        <f t="shared" si="23"/>
        <v>1.5853212587622662E-5</v>
      </c>
      <c r="Y49" s="1">
        <f t="shared" si="23"/>
        <v>9.535027620710488E-3</v>
      </c>
      <c r="Z49" s="1">
        <f t="shared" si="23"/>
        <v>232.2851748735014</v>
      </c>
      <c r="AA49" s="1">
        <f t="shared" si="23"/>
        <v>1.7066749575206046</v>
      </c>
      <c r="AB49">
        <v>24.886010109010183</v>
      </c>
      <c r="AC49">
        <v>19.64269576244212</v>
      </c>
      <c r="AD49">
        <v>-2.1157881479673333</v>
      </c>
      <c r="AE49">
        <v>8.9454085661785782E-3</v>
      </c>
      <c r="AF49">
        <v>4.7919463752259865</v>
      </c>
      <c r="AG49">
        <v>-2.4043643126661109</v>
      </c>
      <c r="AH49">
        <v>1.6002971030955571</v>
      </c>
      <c r="AI49">
        <v>8.6534007635182715E-3</v>
      </c>
    </row>
    <row r="50" spans="1:35">
      <c r="C50">
        <f t="shared" ref="C50:L50" si="25">SUMPRODUCT($B$43:$B$49,C43:C49)/100</f>
        <v>3.5353022350000003E-7</v>
      </c>
      <c r="D50">
        <f t="shared" si="25"/>
        <v>5.1884426099999992</v>
      </c>
      <c r="E50">
        <f t="shared" si="25"/>
        <v>1.6058878487999999</v>
      </c>
      <c r="F50">
        <f t="shared" si="25"/>
        <v>0.46108591443000002</v>
      </c>
      <c r="G50">
        <f t="shared" si="25"/>
        <v>1.3854679056000001</v>
      </c>
      <c r="H50">
        <f t="shared" si="25"/>
        <v>1.1401504053E-5</v>
      </c>
      <c r="I50">
        <f t="shared" si="25"/>
        <v>3.4092189064999998E-4</v>
      </c>
      <c r="J50">
        <f t="shared" si="25"/>
        <v>7.375270045E-2</v>
      </c>
      <c r="K50">
        <f t="shared" si="25"/>
        <v>7357.2683230000002</v>
      </c>
      <c r="L50">
        <f t="shared" si="25"/>
        <v>4.9813924539999999</v>
      </c>
      <c r="Q50" t="s">
        <v>151</v>
      </c>
      <c r="R50" s="1">
        <f t="shared" si="24"/>
        <v>3.2244293626798119E-7</v>
      </c>
      <c r="S50" s="1">
        <f t="shared" si="23"/>
        <v>2.9393456168869689</v>
      </c>
      <c r="T50" s="1">
        <f t="shared" si="23"/>
        <v>0.57384857788613886</v>
      </c>
      <c r="U50" s="1">
        <f t="shared" si="23"/>
        <v>0.37802136437065698</v>
      </c>
      <c r="V50" s="1">
        <f t="shared" si="23"/>
        <v>0.41899208314438158</v>
      </c>
      <c r="W50" s="1">
        <f t="shared" si="23"/>
        <v>3.5882710525398425E-6</v>
      </c>
      <c r="X50" s="1">
        <f t="shared" si="23"/>
        <v>1.3299104935620429E-4</v>
      </c>
      <c r="Y50" s="1">
        <f t="shared" si="23"/>
        <v>3.4980533011654776E-2</v>
      </c>
      <c r="Z50" s="1">
        <f t="shared" si="23"/>
        <v>2105.4542409978767</v>
      </c>
      <c r="AA50" s="1">
        <f t="shared" si="23"/>
        <v>3.4098428243724022</v>
      </c>
      <c r="AB50">
        <v>52.941869932279339</v>
      </c>
      <c r="AC50">
        <v>35.068856170716906</v>
      </c>
      <c r="AD50">
        <v>-2.9856074389950589</v>
      </c>
      <c r="AE50">
        <v>3.2828978366730335E-2</v>
      </c>
      <c r="AF50">
        <v>11.477209122992614</v>
      </c>
      <c r="AG50">
        <v>4.5295257492743257</v>
      </c>
      <c r="AH50">
        <v>5.2482242619250208</v>
      </c>
      <c r="AI50">
        <v>1.8242263962538946E-2</v>
      </c>
    </row>
    <row r="51" spans="1:35">
      <c r="Q51" t="s">
        <v>285</v>
      </c>
      <c r="R51" s="1">
        <f t="shared" si="24"/>
        <v>2.2116435575242606E-7</v>
      </c>
      <c r="S51" s="1">
        <f t="shared" si="23"/>
        <v>3.794202865582498</v>
      </c>
      <c r="T51" s="1">
        <f t="shared" si="23"/>
        <v>0.65943354842509694</v>
      </c>
      <c r="U51" s="1">
        <f t="shared" si="23"/>
        <v>0.61613018726909308</v>
      </c>
      <c r="V51" s="1">
        <f t="shared" si="23"/>
        <v>0.385443546831649</v>
      </c>
      <c r="W51" s="1">
        <f t="shared" si="23"/>
        <v>3.4253719302105126E-6</v>
      </c>
      <c r="X51" s="1">
        <f t="shared" si="23"/>
        <v>1.4097170271481566E-4</v>
      </c>
      <c r="Y51" s="1">
        <f t="shared" si="23"/>
        <v>5.3863143749071696E-2</v>
      </c>
      <c r="Z51" s="1">
        <f t="shared" si="23"/>
        <v>1940.1919929071798</v>
      </c>
      <c r="AA51" s="1">
        <f t="shared" si="23"/>
        <v>3.1826781313886054</v>
      </c>
      <c r="AB51">
        <v>57.454852349914837</v>
      </c>
      <c r="AC51">
        <v>42.79879044989589</v>
      </c>
      <c r="AD51">
        <v>-3.3912203297084025</v>
      </c>
      <c r="AE51">
        <v>3.07325005434619E-2</v>
      </c>
      <c r="AF51">
        <v>10.769379181472981</v>
      </c>
      <c r="AG51">
        <v>-2.6803255655876002</v>
      </c>
      <c r="AH51">
        <v>5.0806257593315571</v>
      </c>
      <c r="AI51">
        <v>3.6196139755934428E-2</v>
      </c>
    </row>
    <row r="52" spans="1:35">
      <c r="Q52" t="s">
        <v>152</v>
      </c>
      <c r="R52" s="1">
        <f t="shared" si="24"/>
        <v>2.2116435575242606E-7</v>
      </c>
      <c r="S52" s="1">
        <f t="shared" si="23"/>
        <v>3.794202865582498</v>
      </c>
      <c r="T52" s="1">
        <f t="shared" si="23"/>
        <v>0.65943354842509694</v>
      </c>
      <c r="U52" s="1">
        <f t="shared" si="23"/>
        <v>0.61613018726909308</v>
      </c>
      <c r="V52" s="1">
        <f t="shared" si="23"/>
        <v>0.385443546831649</v>
      </c>
      <c r="W52" s="1">
        <f t="shared" si="23"/>
        <v>3.4253719302105126E-6</v>
      </c>
      <c r="X52" s="1">
        <f t="shared" si="23"/>
        <v>1.4097170271481566E-4</v>
      </c>
      <c r="Y52" s="1">
        <f t="shared" si="23"/>
        <v>5.3863143749071696E-2</v>
      </c>
      <c r="Z52" s="1">
        <f t="shared" si="23"/>
        <v>1940.1919929071798</v>
      </c>
      <c r="AA52" s="1">
        <f t="shared" si="23"/>
        <v>3.1826781313886054</v>
      </c>
      <c r="AB52">
        <v>57.454852349914837</v>
      </c>
      <c r="AC52">
        <v>42.79879044989589</v>
      </c>
      <c r="AD52">
        <v>-3.3912203297084025</v>
      </c>
      <c r="AE52">
        <v>3.07325005434619E-2</v>
      </c>
      <c r="AF52">
        <v>10.769379181472981</v>
      </c>
      <c r="AG52">
        <v>-2.6803255655876002</v>
      </c>
      <c r="AH52">
        <v>5.0806257593315571</v>
      </c>
      <c r="AI52">
        <v>3.6196139755934428E-2</v>
      </c>
    </row>
    <row r="53" spans="1:35">
      <c r="Q53" t="s">
        <v>153</v>
      </c>
      <c r="R53" s="1">
        <f t="shared" si="24"/>
        <v>1.2743693020001573E-7</v>
      </c>
      <c r="S53" s="1">
        <f t="shared" si="23"/>
        <v>2.2923945234634053</v>
      </c>
      <c r="T53" s="1">
        <f t="shared" si="23"/>
        <v>0.3700532806967895</v>
      </c>
      <c r="U53" s="1">
        <f t="shared" si="23"/>
        <v>0.34981377873381192</v>
      </c>
      <c r="V53" s="1">
        <f t="shared" si="23"/>
        <v>0.27211625477511231</v>
      </c>
      <c r="W53" s="1">
        <f t="shared" si="23"/>
        <v>2.4065078024063174E-6</v>
      </c>
      <c r="X53" s="1">
        <f t="shared" si="23"/>
        <v>1.0170737604955461E-4</v>
      </c>
      <c r="Y53" s="1">
        <f t="shared" si="23"/>
        <v>2.5277913960425755E-2</v>
      </c>
      <c r="Z53" s="1">
        <f t="shared" si="23"/>
        <v>1370.0202667620383</v>
      </c>
      <c r="AA53" s="1">
        <f t="shared" si="23"/>
        <v>1.8843677587382535</v>
      </c>
      <c r="AB53">
        <v>35.441414471447821</v>
      </c>
      <c r="AC53">
        <v>25.617041545725879</v>
      </c>
      <c r="AD53">
        <v>1.5008604857057681</v>
      </c>
      <c r="AE53">
        <v>1.9686997119375108E-2</v>
      </c>
      <c r="AF53">
        <v>10.041782983740097</v>
      </c>
      <c r="AG53">
        <v>-1.8548843143622771</v>
      </c>
      <c r="AH53">
        <v>3.0757365645257631</v>
      </c>
      <c r="AI53">
        <v>1.0270872052836527E-2</v>
      </c>
    </row>
    <row r="54" spans="1:35">
      <c r="Q54" t="s">
        <v>364</v>
      </c>
      <c r="R54" s="1">
        <f>SUMPRODUCT($B$43:$B$49,R47:R53)/100</f>
        <v>1.7354050897999996E-7</v>
      </c>
      <c r="S54" s="1">
        <f t="shared" ref="S54:AA54" si="26">SUMPRODUCT($B$43:$B$49,S47:S53)/100</f>
        <v>2.5886476629999993</v>
      </c>
      <c r="T54" s="1">
        <f t="shared" si="26"/>
        <v>0.41600363769999982</v>
      </c>
      <c r="U54" s="1">
        <f t="shared" si="26"/>
        <v>0.40610445016000002</v>
      </c>
      <c r="V54" s="1">
        <f t="shared" si="26"/>
        <v>0.28086084970000025</v>
      </c>
      <c r="W54" s="1">
        <f t="shared" si="26"/>
        <v>2.4282333760000007E-6</v>
      </c>
      <c r="X54" s="1">
        <f t="shared" si="26"/>
        <v>9.9522408499999967E-5</v>
      </c>
      <c r="Y54" s="1">
        <f t="shared" si="26"/>
        <v>3.0950089449999992E-2</v>
      </c>
      <c r="Z54" s="1">
        <f t="shared" si="26"/>
        <v>1382.6639209999994</v>
      </c>
      <c r="AA54" s="1">
        <f t="shared" si="26"/>
        <v>2.3833826730000003</v>
      </c>
    </row>
    <row r="55" spans="1:35">
      <c r="Q55" t="s">
        <v>365</v>
      </c>
      <c r="R55">
        <f>(C$50-C$9)</f>
        <v>1.7354050898000001E-7</v>
      </c>
      <c r="S55">
        <f t="shared" ref="S55:AA55" si="27">(D$50-D$9)</f>
        <v>2.5886476629999993</v>
      </c>
      <c r="T55">
        <f t="shared" si="27"/>
        <v>0.41600363769999982</v>
      </c>
      <c r="U55">
        <f t="shared" si="27"/>
        <v>0.40610445016000002</v>
      </c>
      <c r="V55">
        <f t="shared" si="27"/>
        <v>0.28086084970000025</v>
      </c>
      <c r="W55">
        <f t="shared" si="27"/>
        <v>2.4282333760000007E-6</v>
      </c>
      <c r="X55">
        <f t="shared" si="27"/>
        <v>9.9522408499999967E-5</v>
      </c>
      <c r="Y55">
        <f t="shared" si="27"/>
        <v>3.0950089449999996E-2</v>
      </c>
      <c r="Z55">
        <f t="shared" si="27"/>
        <v>1382.6639209999994</v>
      </c>
      <c r="AA55">
        <f t="shared" si="27"/>
        <v>2.3833826729999998</v>
      </c>
    </row>
    <row r="56" spans="1:35">
      <c r="A56" t="s">
        <v>270</v>
      </c>
      <c r="B56" t="s">
        <v>68</v>
      </c>
      <c r="C56" t="s">
        <v>70</v>
      </c>
      <c r="D56" t="s">
        <v>72</v>
      </c>
      <c r="E56" t="s">
        <v>74</v>
      </c>
      <c r="F56" t="s">
        <v>76</v>
      </c>
      <c r="G56" t="s">
        <v>78</v>
      </c>
      <c r="H56" t="s">
        <v>80</v>
      </c>
      <c r="I56" t="s">
        <v>81</v>
      </c>
      <c r="J56" t="s">
        <v>83</v>
      </c>
      <c r="K56" t="s">
        <v>85</v>
      </c>
    </row>
    <row r="57" spans="1:35">
      <c r="A57" t="s">
        <v>19</v>
      </c>
      <c r="B57" t="s">
        <v>69</v>
      </c>
      <c r="C57" t="s">
        <v>71</v>
      </c>
      <c r="D57" t="s">
        <v>73</v>
      </c>
      <c r="E57" t="s">
        <v>75</v>
      </c>
      <c r="F57" t="s">
        <v>77</v>
      </c>
      <c r="G57" t="s">
        <v>79</v>
      </c>
      <c r="H57" t="s">
        <v>79</v>
      </c>
      <c r="I57" t="s">
        <v>82</v>
      </c>
      <c r="J57" t="s">
        <v>84</v>
      </c>
      <c r="K57" t="s">
        <v>86</v>
      </c>
    </row>
    <row r="58" spans="1:35">
      <c r="A58" t="s">
        <v>20</v>
      </c>
      <c r="B58" s="1">
        <v>1.7486632E-6</v>
      </c>
      <c r="C58">
        <v>24.721243999999999</v>
      </c>
      <c r="D58">
        <v>9.4764003999999993</v>
      </c>
      <c r="E58">
        <v>0.78605263999999997</v>
      </c>
      <c r="F58">
        <v>7.9139663000000002</v>
      </c>
      <c r="G58" s="1">
        <v>6.3014103999999995E-5</v>
      </c>
      <c r="H58">
        <v>1.7099869E-3</v>
      </c>
      <c r="I58">
        <v>0.34764884000000001</v>
      </c>
      <c r="J58">
        <v>41419.398000000001</v>
      </c>
      <c r="K58">
        <v>25.014419</v>
      </c>
      <c r="R58" t="s">
        <v>370</v>
      </c>
    </row>
    <row r="59" spans="1:35">
      <c r="A59" t="s">
        <v>264</v>
      </c>
      <c r="B59" s="1">
        <v>1.1665916999999999E-7</v>
      </c>
      <c r="C59">
        <v>1.6802566000000001</v>
      </c>
      <c r="D59">
        <v>0.82819158000000004</v>
      </c>
      <c r="E59">
        <v>3.8217385999999999E-2</v>
      </c>
      <c r="F59">
        <v>0.95285871</v>
      </c>
      <c r="G59" s="1">
        <v>7.6662388999999996E-6</v>
      </c>
      <c r="H59">
        <v>2.0845883000000001E-4</v>
      </c>
      <c r="I59">
        <v>3.0133531000000002E-2</v>
      </c>
      <c r="J59">
        <v>5160.4787999999999</v>
      </c>
      <c r="K59">
        <v>1.7648925</v>
      </c>
      <c r="R59" s="2" t="s">
        <v>239</v>
      </c>
      <c r="S59" s="2" t="s">
        <v>240</v>
      </c>
      <c r="T59" s="2" t="s">
        <v>241</v>
      </c>
      <c r="U59" s="2" t="s">
        <v>242</v>
      </c>
      <c r="V59" s="2" t="s">
        <v>243</v>
      </c>
      <c r="W59" s="2" t="s">
        <v>244</v>
      </c>
      <c r="X59" s="2" t="s">
        <v>245</v>
      </c>
      <c r="Y59" s="2" t="s">
        <v>246</v>
      </c>
      <c r="Z59" s="2" t="s">
        <v>247</v>
      </c>
      <c r="AA59" s="2" t="s">
        <v>248</v>
      </c>
      <c r="AB59" t="s">
        <v>322</v>
      </c>
      <c r="AC59" t="s">
        <v>323</v>
      </c>
      <c r="AD59" t="s">
        <v>324</v>
      </c>
      <c r="AE59" t="s">
        <v>325</v>
      </c>
      <c r="AF59" t="s">
        <v>326</v>
      </c>
      <c r="AG59" t="s">
        <v>327</v>
      </c>
      <c r="AH59" t="s">
        <v>328</v>
      </c>
      <c r="AI59" t="s">
        <v>335</v>
      </c>
    </row>
    <row r="60" spans="1:35">
      <c r="A60" t="s">
        <v>265</v>
      </c>
      <c r="B60" s="1">
        <v>8.9344054000000006E-8</v>
      </c>
      <c r="C60">
        <v>1.1153175</v>
      </c>
      <c r="D60">
        <v>0.52842235000000004</v>
      </c>
      <c r="E60">
        <v>2.4258965E-2</v>
      </c>
      <c r="F60">
        <v>0.22541884000000001</v>
      </c>
      <c r="G60" s="1">
        <v>1.9513202999999998E-6</v>
      </c>
      <c r="H60" s="1">
        <v>4.9016515000000002E-5</v>
      </c>
      <c r="I60">
        <v>1.9093741000000001E-2</v>
      </c>
      <c r="J60">
        <v>1210.6794</v>
      </c>
      <c r="K60">
        <v>1.1917495</v>
      </c>
      <c r="Q60" t="s">
        <v>148</v>
      </c>
      <c r="R60" s="1">
        <f>R47/R$51*R$64</f>
        <v>8.6335061073618222E-8</v>
      </c>
      <c r="S60" s="1">
        <f t="shared" ref="S60:AI60" si="28">S47/S$51*S$64</f>
        <v>0.17409232100547656</v>
      </c>
      <c r="T60" s="1">
        <f t="shared" si="28"/>
        <v>9.7261263108781269E-3</v>
      </c>
      <c r="U60" s="1">
        <f t="shared" si="28"/>
        <v>3.8429637020093014E-3</v>
      </c>
      <c r="V60" s="1">
        <f t="shared" si="28"/>
        <v>5.9249465471268657E-4</v>
      </c>
      <c r="W60" s="1">
        <f t="shared" si="28"/>
        <v>1.633289180179126E-8</v>
      </c>
      <c r="X60" s="1">
        <f t="shared" si="28"/>
        <v>1.3223467559897258E-7</v>
      </c>
      <c r="Y60" s="1">
        <f t="shared" si="28"/>
        <v>2.476122311242084E-4</v>
      </c>
      <c r="Z60" s="1">
        <f t="shared" si="28"/>
        <v>4.0929866309247975</v>
      </c>
      <c r="AA60" s="1">
        <f t="shared" si="28"/>
        <v>0.34964146597066942</v>
      </c>
      <c r="AB60" s="1">
        <f t="shared" si="28"/>
        <v>6.0827326014377858</v>
      </c>
      <c r="AC60" s="1">
        <f t="shared" si="28"/>
        <v>2.8294576326426766</v>
      </c>
      <c r="AD60" s="1">
        <f t="shared" si="28"/>
        <v>-4.2117619606793806</v>
      </c>
      <c r="AE60" s="1">
        <f t="shared" si="28"/>
        <v>7.449401374643466E-3</v>
      </c>
      <c r="AF60" s="1">
        <f t="shared" si="28"/>
        <v>0.89755030631004606</v>
      </c>
      <c r="AG60" s="1">
        <f t="shared" si="28"/>
        <v>4.0395965816209158E-3</v>
      </c>
      <c r="AH60" s="1">
        <f t="shared" si="28"/>
        <v>6.0945349043623483E-2</v>
      </c>
      <c r="AI60" s="1">
        <f t="shared" si="28"/>
        <v>1.5537986988204318E-3</v>
      </c>
    </row>
    <row r="61" spans="1:35">
      <c r="A61" t="s">
        <v>266</v>
      </c>
      <c r="B61" s="1">
        <v>3.5730565999999999E-7</v>
      </c>
      <c r="C61">
        <v>5.4423143999999999</v>
      </c>
      <c r="D61">
        <v>2.4322666000000002</v>
      </c>
      <c r="E61">
        <v>0.11243419</v>
      </c>
      <c r="F61">
        <v>1.8852409000000001</v>
      </c>
      <c r="G61" s="1">
        <v>1.5419769E-5</v>
      </c>
      <c r="H61">
        <v>4.1161575999999999E-4</v>
      </c>
      <c r="I61">
        <v>8.6565594999999995E-2</v>
      </c>
      <c r="J61">
        <v>10179.895</v>
      </c>
      <c r="K61">
        <v>4.8453359000000003</v>
      </c>
      <c r="Q61" t="s">
        <v>149</v>
      </c>
      <c r="R61" s="1">
        <f>R48/R$51*R$64</f>
        <v>1.4501480371050125E-7</v>
      </c>
      <c r="S61" s="1">
        <f t="shared" ref="S61:AI61" si="29">S48/S$51*S$64</f>
        <v>0.2546294474556568</v>
      </c>
      <c r="T61" s="1">
        <f t="shared" si="29"/>
        <v>1.3137784848179597E-2</v>
      </c>
      <c r="U61" s="1">
        <f t="shared" si="29"/>
        <v>1.5229590410428613E-3</v>
      </c>
      <c r="V61" s="1">
        <f t="shared" si="29"/>
        <v>1.1403436362985627E-3</v>
      </c>
      <c r="W61" s="1">
        <f t="shared" si="29"/>
        <v>2.9759998090639718E-8</v>
      </c>
      <c r="X61" s="1">
        <f t="shared" si="29"/>
        <v>2.1925993764859139E-7</v>
      </c>
      <c r="Y61" s="1">
        <f t="shared" si="29"/>
        <v>1.7245182902904838E-4</v>
      </c>
      <c r="Z61" s="1">
        <f t="shared" si="29"/>
        <v>7.8465268851246188</v>
      </c>
      <c r="AA61" s="1">
        <f t="shared" si="29"/>
        <v>0.60129291422703535</v>
      </c>
      <c r="AB61" s="1">
        <f t="shared" si="29"/>
        <v>8.6768841131651921</v>
      </c>
      <c r="AC61" s="1">
        <f t="shared" si="29"/>
        <v>4.395601729777292</v>
      </c>
      <c r="AD61" s="1">
        <f t="shared" si="29"/>
        <v>5.422577407368391</v>
      </c>
      <c r="AE61" s="1">
        <f t="shared" si="29"/>
        <v>9.8759236068444983E-3</v>
      </c>
      <c r="AF61" s="1">
        <f t="shared" si="29"/>
        <v>0.83779369553138583</v>
      </c>
      <c r="AG61" s="1">
        <f t="shared" si="29"/>
        <v>9.373204886016789E-3</v>
      </c>
      <c r="AH61" s="1">
        <f t="shared" si="29"/>
        <v>4.3640744485068529E-2</v>
      </c>
      <c r="AI61" s="1">
        <f t="shared" si="29"/>
        <v>1.584226488572941E-3</v>
      </c>
    </row>
    <row r="62" spans="1:35">
      <c r="A62" t="s">
        <v>267</v>
      </c>
      <c r="B62" s="1">
        <v>2.4250378000000001E-7</v>
      </c>
      <c r="C62">
        <v>3.1104099000000001</v>
      </c>
      <c r="D62">
        <v>1.6368948999999999</v>
      </c>
      <c r="E62">
        <v>7.4567040000000001E-2</v>
      </c>
      <c r="F62">
        <v>1.6913050999999999</v>
      </c>
      <c r="G62" s="1">
        <v>1.3710325999999999E-5</v>
      </c>
      <c r="H62">
        <v>3.7050408000000002E-4</v>
      </c>
      <c r="I62">
        <v>5.8309855000000001E-2</v>
      </c>
      <c r="J62">
        <v>9177.2567999999992</v>
      </c>
      <c r="K62">
        <v>3.4321440999999999</v>
      </c>
      <c r="Q62" t="s">
        <v>150</v>
      </c>
      <c r="R62" s="1">
        <f>R49/R$51*R$64</f>
        <v>1.0341911117175258E-7</v>
      </c>
      <c r="S62" s="1">
        <f t="shared" ref="S62:AI62" si="30">S49/S$51*S$64</f>
        <v>0.12067797426862895</v>
      </c>
      <c r="T62" s="1">
        <f t="shared" si="30"/>
        <v>5.3501152552114439E-3</v>
      </c>
      <c r="U62" s="1">
        <f t="shared" si="30"/>
        <v>2.0909134452427815E-4</v>
      </c>
      <c r="V62" s="1">
        <f t="shared" si="30"/>
        <v>3.884089974069091E-4</v>
      </c>
      <c r="W62" s="1">
        <f t="shared" si="30"/>
        <v>5.4876779882148385E-9</v>
      </c>
      <c r="X62" s="1">
        <f t="shared" si="30"/>
        <v>3.353612692874432E-8</v>
      </c>
      <c r="Y62" s="1">
        <f t="shared" si="30"/>
        <v>5.2412486113141093E-5</v>
      </c>
      <c r="Z62" s="1">
        <f t="shared" si="30"/>
        <v>1.3243697241379977</v>
      </c>
      <c r="AA62" s="1">
        <f t="shared" si="30"/>
        <v>0.34338010751570608</v>
      </c>
      <c r="AB62" s="1">
        <f t="shared" si="30"/>
        <v>4.7307304970950161</v>
      </c>
      <c r="AC62" s="1">
        <f t="shared" si="30"/>
        <v>2.3282712253329345</v>
      </c>
      <c r="AD62" s="1">
        <f t="shared" si="30"/>
        <v>2.9141903680000869</v>
      </c>
      <c r="AE62" s="1">
        <f t="shared" si="30"/>
        <v>4.4063977517289164E-3</v>
      </c>
      <c r="AF62" s="1">
        <f t="shared" si="30"/>
        <v>0.45146809645367286</v>
      </c>
      <c r="AG62" s="1">
        <f t="shared" si="30"/>
        <v>1.4588484108592757E-2</v>
      </c>
      <c r="AH62" s="1">
        <f t="shared" si="30"/>
        <v>4.1579716287531453E-2</v>
      </c>
      <c r="AI62" s="1">
        <f t="shared" si="30"/>
        <v>7.1435076576808782E-4</v>
      </c>
    </row>
    <row r="63" spans="1:35">
      <c r="A63" t="s">
        <v>268</v>
      </c>
      <c r="B63" s="1">
        <v>2.1615070999999999E-7</v>
      </c>
      <c r="C63">
        <v>3.3945205000000001</v>
      </c>
      <c r="D63">
        <v>1.1037444999999999</v>
      </c>
      <c r="E63">
        <v>5.2757143999999999E-2</v>
      </c>
      <c r="F63">
        <v>1.1037528999999999</v>
      </c>
      <c r="G63" s="1">
        <v>8.9424885999999997E-6</v>
      </c>
      <c r="H63">
        <v>2.4017082999999999E-4</v>
      </c>
      <c r="I63">
        <v>4.0764775000000003E-2</v>
      </c>
      <c r="J63">
        <v>5946.5540000000001</v>
      </c>
      <c r="K63">
        <v>3.4518580000000001</v>
      </c>
      <c r="Q63" t="s">
        <v>151</v>
      </c>
      <c r="R63" s="1">
        <f>R50/R$51*R$64</f>
        <v>2.5685200849830949E-7</v>
      </c>
      <c r="S63" s="1">
        <f t="shared" ref="S63:AI63" si="31">S50/S$51*S$64</f>
        <v>0.24476374648650912</v>
      </c>
      <c r="T63" s="1">
        <f t="shared" si="31"/>
        <v>1.9384811325535337E-2</v>
      </c>
      <c r="U63" s="1">
        <f t="shared" si="31"/>
        <v>1.3341457795363826E-3</v>
      </c>
      <c r="V63" s="1">
        <f t="shared" si="31"/>
        <v>1.7465085565534237E-3</v>
      </c>
      <c r="W63" s="1">
        <f t="shared" si="31"/>
        <v>4.3852432381439258E-8</v>
      </c>
      <c r="X63" s="1">
        <f t="shared" si="31"/>
        <v>2.8133128770875752E-7</v>
      </c>
      <c r="Y63" s="1">
        <f t="shared" si="31"/>
        <v>1.9228226426123505E-4</v>
      </c>
      <c r="Z63" s="1">
        <f t="shared" si="31"/>
        <v>12.004209282206887</v>
      </c>
      <c r="AA63" s="1">
        <f t="shared" si="31"/>
        <v>0.68605459433567528</v>
      </c>
      <c r="AB63" s="1">
        <f t="shared" si="31"/>
        <v>10.064036684257099</v>
      </c>
      <c r="AC63" s="1">
        <f t="shared" si="31"/>
        <v>4.1567516859747053</v>
      </c>
      <c r="AD63" s="1">
        <f t="shared" si="31"/>
        <v>4.112239899683539</v>
      </c>
      <c r="AE63" s="1">
        <f t="shared" si="31"/>
        <v>1.6171149187489214E-2</v>
      </c>
      <c r="AF63" s="1">
        <f t="shared" si="31"/>
        <v>1.0813129675546174</v>
      </c>
      <c r="AG63" s="1">
        <f t="shared" si="31"/>
        <v>-2.7482904343842023E-2</v>
      </c>
      <c r="AH63" s="1">
        <f t="shared" si="31"/>
        <v>0.13636197641179582</v>
      </c>
      <c r="AI63" s="1">
        <f t="shared" si="31"/>
        <v>1.5059253104192339E-3</v>
      </c>
    </row>
    <row r="64" spans="1:35">
      <c r="A64" t="s">
        <v>123</v>
      </c>
      <c r="B64" s="1">
        <v>1.0991223E-7</v>
      </c>
      <c r="C64">
        <v>1.6019422999999999</v>
      </c>
      <c r="D64">
        <v>0.73385465999999999</v>
      </c>
      <c r="E64">
        <v>3.3865095999999997E-2</v>
      </c>
      <c r="F64">
        <v>0.48732085000000003</v>
      </c>
      <c r="G64" s="1">
        <v>4.0365346000000004E-6</v>
      </c>
      <c r="H64">
        <v>1.0634667999999999E-4</v>
      </c>
      <c r="I64">
        <v>2.5828637000000002E-2</v>
      </c>
      <c r="J64">
        <v>2630.681</v>
      </c>
      <c r="K64">
        <v>1.7351171999999999</v>
      </c>
      <c r="Q64" t="s">
        <v>285</v>
      </c>
      <c r="R64">
        <v>1.761753866924025E-7</v>
      </c>
      <c r="S64">
        <v>0.31594900000000004</v>
      </c>
      <c r="T64">
        <v>2.2275902407978318E-2</v>
      </c>
      <c r="U64">
        <v>2.174500085090503E-3</v>
      </c>
      <c r="V64">
        <v>1.6066662824695955E-3</v>
      </c>
      <c r="W64">
        <v>4.1861634405938929E-8</v>
      </c>
      <c r="X64">
        <v>2.9821368315570053E-7</v>
      </c>
      <c r="Y64">
        <v>2.9607688473040666E-4</v>
      </c>
      <c r="Z64">
        <v>11.061969563148217</v>
      </c>
      <c r="AA64">
        <v>0.64034944330101684</v>
      </c>
      <c r="AB64">
        <v>10.921936502767259</v>
      </c>
      <c r="AC64">
        <v>5.0729896491130981</v>
      </c>
      <c r="AD64">
        <v>4.6709126478928029</v>
      </c>
      <c r="AE64">
        <v>1.5138450110788917E-2</v>
      </c>
      <c r="AF64">
        <v>1.0146255275692915</v>
      </c>
      <c r="AG64">
        <v>1.626287942864655E-2</v>
      </c>
      <c r="AH64">
        <v>0.13200734865263075</v>
      </c>
      <c r="AI64">
        <v>2.9880437598024455E-3</v>
      </c>
    </row>
    <row r="65" spans="1:45">
      <c r="A65" t="s">
        <v>129</v>
      </c>
      <c r="B65" s="1">
        <v>3.5230546E-7</v>
      </c>
      <c r="C65">
        <v>5.4718206</v>
      </c>
      <c r="D65">
        <v>1.6016378</v>
      </c>
      <c r="E65">
        <v>0.38268719000000001</v>
      </c>
      <c r="F65">
        <v>1.1084166</v>
      </c>
      <c r="G65" s="1">
        <v>9.1790324000000003E-6</v>
      </c>
      <c r="H65">
        <v>2.6956781999999999E-4</v>
      </c>
      <c r="I65">
        <v>6.4231156999999997E-2</v>
      </c>
      <c r="J65">
        <v>5877.8444</v>
      </c>
      <c r="K65">
        <v>5.0262830999999997</v>
      </c>
      <c r="Q65" t="s">
        <v>152</v>
      </c>
      <c r="R65">
        <v>1.761753866924025E-7</v>
      </c>
      <c r="S65">
        <v>0.31594900000000004</v>
      </c>
      <c r="T65">
        <v>2.2275902407978318E-2</v>
      </c>
      <c r="U65">
        <v>2.174500085090503E-3</v>
      </c>
      <c r="V65">
        <v>1.6066662824695955E-3</v>
      </c>
      <c r="W65">
        <v>4.1861634405938929E-8</v>
      </c>
      <c r="X65">
        <v>2.9821368315570053E-7</v>
      </c>
      <c r="Y65">
        <v>2.9607688473040666E-4</v>
      </c>
      <c r="Z65">
        <v>11.061969563148217</v>
      </c>
      <c r="AA65">
        <v>0.64034944330101684</v>
      </c>
      <c r="AB65">
        <v>10.921936502767259</v>
      </c>
      <c r="AC65">
        <v>5.0729896491130981</v>
      </c>
      <c r="AD65">
        <v>4.6709126478928029</v>
      </c>
      <c r="AE65">
        <v>1.5138450110788917E-2</v>
      </c>
      <c r="AF65">
        <v>1.0146255275692915</v>
      </c>
      <c r="AG65">
        <v>1.626287942864655E-2</v>
      </c>
      <c r="AH65">
        <v>0.13200734865263075</v>
      </c>
      <c r="AI65">
        <v>2.9880437598024455E-3</v>
      </c>
    </row>
    <row r="66" spans="1:45">
      <c r="A66" t="s">
        <v>107</v>
      </c>
      <c r="B66" s="1">
        <v>2.6448216E-7</v>
      </c>
      <c r="C66">
        <v>2.9046623</v>
      </c>
      <c r="D66">
        <v>0.61138806999999995</v>
      </c>
      <c r="E66">
        <v>6.7265632000000006E-2</v>
      </c>
      <c r="F66">
        <v>0.45965252000000001</v>
      </c>
      <c r="G66" s="1">
        <v>2.1083945999999999E-6</v>
      </c>
      <c r="H66" s="1">
        <v>5.4306435000000001E-5</v>
      </c>
      <c r="I66">
        <v>2.2721551E-2</v>
      </c>
      <c r="J66">
        <v>1236.0084999999999</v>
      </c>
      <c r="K66">
        <v>3.5670386000000001</v>
      </c>
      <c r="Q66" t="s">
        <v>153</v>
      </c>
      <c r="R66" s="1">
        <f>R53/R$51*R$64</f>
        <v>1.0151387360996213E-7</v>
      </c>
      <c r="S66" s="1">
        <f t="shared" ref="S66:AI66" si="32">S53/S$51*S$64</f>
        <v>0.19089115235870388</v>
      </c>
      <c r="T66" s="1">
        <f t="shared" si="32"/>
        <v>1.2500532898638563E-2</v>
      </c>
      <c r="U66" s="1">
        <f t="shared" si="32"/>
        <v>1.2345931222653825E-3</v>
      </c>
      <c r="V66" s="1">
        <f t="shared" si="32"/>
        <v>1.1342776784119722E-3</v>
      </c>
      <c r="W66" s="1">
        <f t="shared" si="32"/>
        <v>2.9410047104923174E-8</v>
      </c>
      <c r="X66" s="1">
        <f t="shared" si="32"/>
        <v>2.1515332958131265E-7</v>
      </c>
      <c r="Y66" s="1">
        <f t="shared" si="32"/>
        <v>1.3894855548633104E-4</v>
      </c>
      <c r="Z66" s="1">
        <f t="shared" si="32"/>
        <v>7.811145776923583</v>
      </c>
      <c r="AA66" s="1">
        <f t="shared" si="32"/>
        <v>0.37913159781443595</v>
      </c>
      <c r="AB66" s="1">
        <f t="shared" si="32"/>
        <v>6.7372704409357604</v>
      </c>
      <c r="AC66" s="1">
        <f t="shared" si="32"/>
        <v>3.0364172733924475</v>
      </c>
      <c r="AD66" s="1">
        <f t="shared" si="32"/>
        <v>-2.0672169731915955</v>
      </c>
      <c r="AE66" s="1">
        <f t="shared" si="32"/>
        <v>9.6975715757795337E-3</v>
      </c>
      <c r="AF66" s="1">
        <f t="shared" si="32"/>
        <v>0.94607583092083847</v>
      </c>
      <c r="AG66" s="1">
        <f t="shared" si="32"/>
        <v>1.125451338667819E-2</v>
      </c>
      <c r="AH66" s="1">
        <f t="shared" si="32"/>
        <v>7.991531914966632E-2</v>
      </c>
      <c r="AI66" s="1">
        <f t="shared" si="32"/>
        <v>8.4787536328859115E-4</v>
      </c>
    </row>
    <row r="68" spans="1:45">
      <c r="A68" s="25" t="s">
        <v>330</v>
      </c>
      <c r="C68" t="s">
        <v>338</v>
      </c>
    </row>
    <row r="69" spans="1:45">
      <c r="A69" t="s">
        <v>331</v>
      </c>
      <c r="B69" t="s">
        <v>322</v>
      </c>
      <c r="C69" t="s">
        <v>323</v>
      </c>
      <c r="D69" t="s">
        <v>324</v>
      </c>
      <c r="E69" t="s">
        <v>325</v>
      </c>
      <c r="F69" t="s">
        <v>326</v>
      </c>
      <c r="G69" t="s">
        <v>327</v>
      </c>
      <c r="H69" t="s">
        <v>328</v>
      </c>
    </row>
    <row r="70" spans="1:45">
      <c r="A70" t="s">
        <v>102</v>
      </c>
      <c r="B70">
        <v>63.663300999999997</v>
      </c>
      <c r="C70">
        <v>45.960050000000003</v>
      </c>
      <c r="D70">
        <v>-2.3130863000000002</v>
      </c>
      <c r="E70">
        <v>5.1874267000000002E-2</v>
      </c>
      <c r="F70">
        <v>12.742782999999999</v>
      </c>
      <c r="G70">
        <v>-0.43489959</v>
      </c>
      <c r="H70">
        <v>7.6565798000000003</v>
      </c>
      <c r="Q70" t="s">
        <v>369</v>
      </c>
    </row>
    <row r="71" spans="1:45">
      <c r="A71" t="s">
        <v>116</v>
      </c>
      <c r="B71">
        <v>90.814296999999996</v>
      </c>
      <c r="C71">
        <v>71.399575999999996</v>
      </c>
      <c r="D71">
        <v>2.9780622999999999</v>
      </c>
      <c r="E71">
        <v>6.8771472E-2</v>
      </c>
      <c r="F71">
        <v>11.894401</v>
      </c>
      <c r="G71">
        <v>-1.0091114000000001</v>
      </c>
      <c r="H71">
        <v>5.4825979</v>
      </c>
      <c r="R71" t="s">
        <v>68</v>
      </c>
      <c r="S71" t="s">
        <v>70</v>
      </c>
      <c r="T71" t="s">
        <v>72</v>
      </c>
      <c r="U71" t="s">
        <v>74</v>
      </c>
      <c r="V71" t="s">
        <v>76</v>
      </c>
      <c r="W71" t="s">
        <v>78</v>
      </c>
      <c r="X71" t="s">
        <v>80</v>
      </c>
      <c r="Y71" t="s">
        <v>81</v>
      </c>
      <c r="Z71" t="s">
        <v>83</v>
      </c>
      <c r="AA71" t="s">
        <v>85</v>
      </c>
      <c r="AB71" t="s">
        <v>322</v>
      </c>
      <c r="AC71" t="s">
        <v>323</v>
      </c>
      <c r="AD71" t="s">
        <v>324</v>
      </c>
      <c r="AE71" t="s">
        <v>325</v>
      </c>
      <c r="AF71" t="s">
        <v>326</v>
      </c>
      <c r="AG71" t="s">
        <v>327</v>
      </c>
      <c r="AH71" t="s">
        <v>328</v>
      </c>
      <c r="AI71" t="s">
        <v>335</v>
      </c>
    </row>
    <row r="72" spans="1:45">
      <c r="A72" t="s">
        <v>107</v>
      </c>
      <c r="B72">
        <v>49.512931000000002</v>
      </c>
      <c r="C72">
        <v>37.819071999999998</v>
      </c>
      <c r="D72">
        <v>1.6004640999999999</v>
      </c>
      <c r="E72">
        <v>3.0684164E-2</v>
      </c>
      <c r="F72">
        <v>6.409624</v>
      </c>
      <c r="G72">
        <v>-1.570584</v>
      </c>
      <c r="H72">
        <v>5.2236703999999996</v>
      </c>
      <c r="Q72" t="s">
        <v>367</v>
      </c>
      <c r="R72">
        <v>8.7699096999999997E-6</v>
      </c>
      <c r="S72">
        <v>15.72776</v>
      </c>
      <c r="T72">
        <v>1.1088816450000001</v>
      </c>
      <c r="U72">
        <v>0.10824536700000001</v>
      </c>
      <c r="V72">
        <v>7.9978926000000006E-2</v>
      </c>
      <c r="W72">
        <v>2.0838481499999998E-6</v>
      </c>
      <c r="X72">
        <v>1.4844906099999999E-5</v>
      </c>
      <c r="Y72">
        <v>1.4738537499999999E-2</v>
      </c>
      <c r="Z72">
        <v>550.6585</v>
      </c>
      <c r="AA72">
        <v>31.876227999999998</v>
      </c>
      <c r="AB72">
        <f>SUM(AC72:AH72)</f>
        <v>543.68773457350005</v>
      </c>
      <c r="AC72">
        <v>252.53051500000001</v>
      </c>
      <c r="AD72">
        <v>232.51535250000001</v>
      </c>
      <c r="AE72">
        <v>0.75358336349999999</v>
      </c>
      <c r="AF72">
        <v>50.507476799999999</v>
      </c>
      <c r="AG72">
        <v>0.80955681000000002</v>
      </c>
      <c r="AH72">
        <v>6.5712500999999994</v>
      </c>
      <c r="AI72">
        <v>0.1487431045</v>
      </c>
    </row>
    <row r="73" spans="1:45">
      <c r="A73" t="s">
        <v>112</v>
      </c>
      <c r="B73">
        <v>105.33256</v>
      </c>
      <c r="C73">
        <v>67.519835999999998</v>
      </c>
      <c r="D73">
        <v>2.2584290999999999</v>
      </c>
      <c r="E73">
        <v>0.11260858</v>
      </c>
      <c r="F73">
        <v>15.351715</v>
      </c>
      <c r="G73">
        <v>2.9587865</v>
      </c>
      <c r="H73">
        <v>17.13119</v>
      </c>
      <c r="Q73" t="s">
        <v>368</v>
      </c>
      <c r="R73">
        <f>R72*'Scrap Refining1'!$E$5/'Mines Total'!$S$72</f>
        <v>1.761753866924025E-7</v>
      </c>
      <c r="S73">
        <f>S72*'Scrap Refining1'!$E$5/'Mines Total'!$S$72</f>
        <v>0.31594900000000004</v>
      </c>
      <c r="T73">
        <f>T72*'Scrap Refining1'!$E$5/'Mines Total'!$S$72</f>
        <v>2.2275902407978318E-2</v>
      </c>
      <c r="U73">
        <f>U72*'Scrap Refining1'!$E$5/'Mines Total'!$S$72</f>
        <v>2.174500085090503E-3</v>
      </c>
      <c r="V73">
        <f>V72*'Scrap Refining1'!$E$5/'Mines Total'!$S$72</f>
        <v>1.6066662824695955E-3</v>
      </c>
      <c r="W73">
        <f>W72*'Scrap Refining1'!$E$5/'Mines Total'!$S$72</f>
        <v>4.1861634405938929E-8</v>
      </c>
      <c r="X73">
        <f>X72*'Scrap Refining1'!$E$5/'Mines Total'!$S$72</f>
        <v>2.9821368315570053E-7</v>
      </c>
      <c r="Y73">
        <f>Y72*'Scrap Refining1'!$E$5/'Mines Total'!$S$72</f>
        <v>2.9607688473040666E-4</v>
      </c>
      <c r="Z73">
        <f>Z72*'Scrap Refining1'!$E$5/'Mines Total'!$S$72</f>
        <v>11.061969563148217</v>
      </c>
      <c r="AA73">
        <f>AA72*'Scrap Refining1'!$E$5/'Mines Total'!$S$72</f>
        <v>0.64034944330101684</v>
      </c>
      <c r="AB73">
        <f>AB72*'Scrap Refining1'!$E$5/'Mines Total'!$S$72</f>
        <v>10.921936502767259</v>
      </c>
      <c r="AC73">
        <f>AC72*'Scrap Refining1'!$E$5/'Mines Total'!$S$72</f>
        <v>5.0729896491130981</v>
      </c>
      <c r="AD73">
        <f>AD72*'Scrap Refining1'!$E$5/'Mines Total'!$S$72</f>
        <v>4.6709126478928029</v>
      </c>
      <c r="AE73">
        <f>AE72*'Scrap Refining1'!$E$5/'Mines Total'!$S$72</f>
        <v>1.5138450110788917E-2</v>
      </c>
      <c r="AF73">
        <f>AF72*'Scrap Refining1'!$E$5/'Mines Total'!$S$72</f>
        <v>1.0146255275692915</v>
      </c>
      <c r="AG73">
        <f>AG72*'Scrap Refining1'!$E$5/'Mines Total'!$S$72</f>
        <v>1.626287942864655E-2</v>
      </c>
      <c r="AH73">
        <f>AH72*'Scrap Refining1'!$E$5/'Mines Total'!$S$72</f>
        <v>0.13200734865263075</v>
      </c>
      <c r="AI73">
        <f>AI72*'Scrap Refining1'!$E$5/'Mines Total'!$S$72</f>
        <v>2.9880437598024455E-3</v>
      </c>
    </row>
    <row r="74" spans="1:45">
      <c r="A74" t="s">
        <v>285</v>
      </c>
      <c r="B74">
        <v>114.31153999999999</v>
      </c>
      <c r="C74">
        <v>82.402668000000006</v>
      </c>
      <c r="D74">
        <v>2.5652504</v>
      </c>
      <c r="E74">
        <v>0.10541733</v>
      </c>
      <c r="F74">
        <v>14.404934000000001</v>
      </c>
      <c r="G74">
        <v>-1.750848</v>
      </c>
      <c r="H74">
        <v>16.584116999999999</v>
      </c>
      <c r="M74" t="s">
        <v>366</v>
      </c>
    </row>
    <row r="75" spans="1:45">
      <c r="A75" t="s">
        <v>105</v>
      </c>
      <c r="B75">
        <v>114.31153999999999</v>
      </c>
      <c r="C75">
        <v>82.402668000000006</v>
      </c>
      <c r="D75">
        <v>2.5652504</v>
      </c>
      <c r="E75">
        <v>0.10541733</v>
      </c>
      <c r="F75">
        <v>14.404934000000001</v>
      </c>
      <c r="G75">
        <v>-1.750848</v>
      </c>
      <c r="H75">
        <v>16.584116999999999</v>
      </c>
      <c r="M75" t="s">
        <v>91</v>
      </c>
      <c r="N75" t="s">
        <v>322</v>
      </c>
      <c r="O75" t="s">
        <v>323</v>
      </c>
      <c r="P75" t="s">
        <v>324</v>
      </c>
      <c r="Q75" t="s">
        <v>325</v>
      </c>
      <c r="R75" t="s">
        <v>326</v>
      </c>
      <c r="S75" t="s">
        <v>327</v>
      </c>
      <c r="T75" t="s">
        <v>328</v>
      </c>
      <c r="U75" t="s">
        <v>335</v>
      </c>
    </row>
    <row r="76" spans="1:45">
      <c r="A76" t="s">
        <v>110</v>
      </c>
      <c r="B76">
        <v>70.513846999999998</v>
      </c>
      <c r="C76">
        <v>49.321781000000001</v>
      </c>
      <c r="D76">
        <v>-1.1353089999999999</v>
      </c>
      <c r="E76">
        <v>6.7529509000000001E-2</v>
      </c>
      <c r="F76">
        <v>13.431713999999999</v>
      </c>
      <c r="G76">
        <v>-1.2116515000000001</v>
      </c>
      <c r="H76">
        <v>10.039782000000001</v>
      </c>
      <c r="M76" t="s">
        <v>148</v>
      </c>
      <c r="N76">
        <f>(B$77-C$88)*B70/B$77</f>
        <v>31.99821784452546</v>
      </c>
      <c r="O76">
        <f t="shared" ref="O76:T82" si="33">(C$77-D$88)*C70/C$77</f>
        <v>23.871005596769486</v>
      </c>
      <c r="P76">
        <f t="shared" si="33"/>
        <v>3.0578633902288792</v>
      </c>
      <c r="Q76">
        <f t="shared" si="33"/>
        <v>1.5122996747965326E-2</v>
      </c>
      <c r="R76">
        <f t="shared" si="33"/>
        <v>9.5267261866127129</v>
      </c>
      <c r="S76">
        <f t="shared" si="33"/>
        <v>-0.66577594944881868</v>
      </c>
      <c r="T76">
        <f t="shared" si="33"/>
        <v>2.3456308563342665</v>
      </c>
      <c r="U76">
        <v>1.8822185809893168E-2</v>
      </c>
    </row>
    <row r="77" spans="1:45">
      <c r="A77" t="s">
        <v>205</v>
      </c>
      <c r="B77">
        <f>SUMPRODUCT($B$81:$B$87,B70:B76)/100</f>
        <v>81.443286119999996</v>
      </c>
      <c r="C77">
        <f t="shared" ref="C77:H77" si="34">SUMPRODUCT($B$81:$B$87,C70:C76)/100</f>
        <v>57.855619720000007</v>
      </c>
      <c r="D77">
        <f t="shared" si="34"/>
        <v>0.64307081899999985</v>
      </c>
      <c r="E77">
        <f t="shared" si="34"/>
        <v>7.4382257150000006E-2</v>
      </c>
      <c r="F77">
        <f t="shared" si="34"/>
        <v>12.745711980000001</v>
      </c>
      <c r="G77">
        <f t="shared" si="34"/>
        <v>-0.74872758449999988</v>
      </c>
      <c r="H77">
        <f t="shared" si="34"/>
        <v>10.873228961999999</v>
      </c>
      <c r="M77" t="s">
        <v>149</v>
      </c>
      <c r="N77">
        <f t="shared" ref="N77:N82" si="35">(B$77-C$88)*B71/B$77</f>
        <v>45.644753149124881</v>
      </c>
      <c r="O77">
        <f t="shared" si="33"/>
        <v>37.083938731636884</v>
      </c>
      <c r="P77">
        <f t="shared" si="33"/>
        <v>-3.9369511120232792</v>
      </c>
      <c r="Q77">
        <f t="shared" si="33"/>
        <v>2.0049068787975133E-2</v>
      </c>
      <c r="R77">
        <f t="shared" si="33"/>
        <v>8.8924610487969886</v>
      </c>
      <c r="S77">
        <f t="shared" si="33"/>
        <v>-1.5448211860457877</v>
      </c>
      <c r="T77">
        <f t="shared" si="33"/>
        <v>1.6796208154342558</v>
      </c>
      <c r="U77">
        <v>1.9190777644177023E-2</v>
      </c>
      <c r="AP77" s="1"/>
      <c r="AQ77" s="1"/>
      <c r="AR77" s="1"/>
      <c r="AS77" s="1"/>
    </row>
    <row r="78" spans="1:45">
      <c r="M78" t="s">
        <v>150</v>
      </c>
      <c r="N78">
        <f t="shared" si="35"/>
        <v>24.886010109010183</v>
      </c>
      <c r="O78">
        <f t="shared" si="33"/>
        <v>19.64269576244212</v>
      </c>
      <c r="P78">
        <f t="shared" si="33"/>
        <v>-2.1157881479673333</v>
      </c>
      <c r="Q78">
        <f t="shared" si="33"/>
        <v>8.9454085661785782E-3</v>
      </c>
      <c r="R78">
        <f t="shared" si="33"/>
        <v>4.7919463752259865</v>
      </c>
      <c r="S78">
        <f t="shared" si="33"/>
        <v>-2.4043643126661109</v>
      </c>
      <c r="T78">
        <f t="shared" si="33"/>
        <v>1.6002971030955571</v>
      </c>
      <c r="U78">
        <v>8.6534007635182715E-3</v>
      </c>
      <c r="AD78" s="1"/>
      <c r="AE78" s="1"/>
      <c r="AF78" s="1"/>
      <c r="AG78" s="1"/>
      <c r="AH78" s="1"/>
      <c r="AI78" s="1"/>
      <c r="AJ78" s="1"/>
      <c r="AM78" s="1"/>
      <c r="AN78" s="1"/>
      <c r="AO78" s="1"/>
      <c r="AP78" s="1"/>
      <c r="AQ78" s="1"/>
      <c r="AR78" s="1"/>
      <c r="AS78" s="1"/>
    </row>
    <row r="79" spans="1:45">
      <c r="M79" t="s">
        <v>151</v>
      </c>
      <c r="N79">
        <f t="shared" si="35"/>
        <v>52.941869932279339</v>
      </c>
      <c r="O79">
        <f t="shared" si="33"/>
        <v>35.068856170716906</v>
      </c>
      <c r="P79">
        <f t="shared" si="33"/>
        <v>-2.9856074389950589</v>
      </c>
      <c r="Q79">
        <f t="shared" si="33"/>
        <v>3.2828978366730335E-2</v>
      </c>
      <c r="R79">
        <f t="shared" si="33"/>
        <v>11.477209122992614</v>
      </c>
      <c r="S79">
        <f t="shared" si="33"/>
        <v>4.5295257492743257</v>
      </c>
      <c r="T79">
        <f t="shared" si="33"/>
        <v>5.2482242619250208</v>
      </c>
      <c r="U79">
        <v>1.8242263962538946E-2</v>
      </c>
      <c r="AM79" s="1"/>
      <c r="AN79" s="1"/>
      <c r="AO79" s="1"/>
      <c r="AP79" s="1"/>
      <c r="AQ79" s="1"/>
      <c r="AR79" s="1"/>
      <c r="AS79" s="1"/>
    </row>
    <row r="80" spans="1:45">
      <c r="A80" t="s">
        <v>329</v>
      </c>
      <c r="B80" t="s">
        <v>346</v>
      </c>
      <c r="C80" t="s">
        <v>322</v>
      </c>
      <c r="D80" t="s">
        <v>323</v>
      </c>
      <c r="E80" t="s">
        <v>324</v>
      </c>
      <c r="F80" t="s">
        <v>325</v>
      </c>
      <c r="G80" t="s">
        <v>326</v>
      </c>
      <c r="H80" t="s">
        <v>327</v>
      </c>
      <c r="I80" t="s">
        <v>328</v>
      </c>
      <c r="M80" t="s">
        <v>285</v>
      </c>
      <c r="N80">
        <f t="shared" si="35"/>
        <v>57.454852349914837</v>
      </c>
      <c r="O80">
        <f t="shared" si="33"/>
        <v>42.79879044989589</v>
      </c>
      <c r="P80">
        <f t="shared" si="33"/>
        <v>-3.3912203297084025</v>
      </c>
      <c r="Q80">
        <f t="shared" si="33"/>
        <v>3.07325005434619E-2</v>
      </c>
      <c r="R80">
        <f t="shared" si="33"/>
        <v>10.769379181472981</v>
      </c>
      <c r="S80">
        <f t="shared" si="33"/>
        <v>-2.6803255655876002</v>
      </c>
      <c r="T80">
        <f t="shared" si="33"/>
        <v>5.0806257593315571</v>
      </c>
      <c r="U80">
        <v>3.6196139755934428E-2</v>
      </c>
      <c r="AN80" s="1"/>
      <c r="AO80" s="1"/>
      <c r="AP80" s="1"/>
      <c r="AQ80" s="1"/>
      <c r="AR80" s="1"/>
      <c r="AS80" s="1"/>
    </row>
    <row r="81" spans="1:45">
      <c r="A81" t="s">
        <v>123</v>
      </c>
      <c r="B81">
        <v>5</v>
      </c>
      <c r="C81">
        <v>25.237161</v>
      </c>
      <c r="D81">
        <v>17.511582000000001</v>
      </c>
      <c r="E81">
        <v>1.9635878999999998E-2</v>
      </c>
      <c r="F81">
        <v>3.3662627000000001E-2</v>
      </c>
      <c r="G81">
        <v>1.8172870999999999</v>
      </c>
      <c r="H81">
        <v>0.66919171</v>
      </c>
      <c r="I81">
        <v>5.1858015000000002</v>
      </c>
      <c r="M81" t="s">
        <v>152</v>
      </c>
      <c r="N81">
        <f t="shared" si="35"/>
        <v>57.454852349914837</v>
      </c>
      <c r="O81">
        <f t="shared" si="33"/>
        <v>42.79879044989589</v>
      </c>
      <c r="P81">
        <f t="shared" si="33"/>
        <v>-3.3912203297084025</v>
      </c>
      <c r="Q81">
        <f t="shared" si="33"/>
        <v>3.07325005434619E-2</v>
      </c>
      <c r="R81">
        <f t="shared" si="33"/>
        <v>10.769379181472981</v>
      </c>
      <c r="S81">
        <f t="shared" si="33"/>
        <v>-2.6803255655876002</v>
      </c>
      <c r="T81">
        <f t="shared" si="33"/>
        <v>5.0806257593315571</v>
      </c>
      <c r="U81">
        <v>3.6196139755934428E-2</v>
      </c>
      <c r="AM81" s="1"/>
      <c r="AN81" s="1"/>
      <c r="AO81" s="1"/>
      <c r="AP81" s="1"/>
      <c r="AQ81" s="1"/>
      <c r="AR81" s="1"/>
      <c r="AS81" s="1"/>
    </row>
    <row r="82" spans="1:45">
      <c r="A82" t="s">
        <v>268</v>
      </c>
      <c r="B82">
        <v>10</v>
      </c>
      <c r="C82">
        <v>50.321047999999998</v>
      </c>
      <c r="D82">
        <v>38.956364999999998</v>
      </c>
      <c r="E82">
        <v>4.3867721</v>
      </c>
      <c r="F82">
        <v>4.8865344999999998E-2</v>
      </c>
      <c r="G82">
        <v>3.5162536000000002</v>
      </c>
      <c r="H82">
        <v>0.71168127999999997</v>
      </c>
      <c r="I82">
        <v>2.701111</v>
      </c>
      <c r="M82" t="s">
        <v>153</v>
      </c>
      <c r="N82">
        <f t="shared" si="35"/>
        <v>35.441414471447821</v>
      </c>
      <c r="O82">
        <f t="shared" si="33"/>
        <v>25.617041545725879</v>
      </c>
      <c r="P82">
        <f t="shared" si="33"/>
        <v>1.5008604857057681</v>
      </c>
      <c r="Q82">
        <f t="shared" si="33"/>
        <v>1.9686997119375108E-2</v>
      </c>
      <c r="R82">
        <f t="shared" si="33"/>
        <v>10.041782983740097</v>
      </c>
      <c r="S82">
        <f t="shared" si="33"/>
        <v>-1.8548843143622771</v>
      </c>
      <c r="T82">
        <f t="shared" si="33"/>
        <v>3.0757365645257631</v>
      </c>
      <c r="U82">
        <v>1.0270872052836527E-2</v>
      </c>
      <c r="AM82" s="1"/>
      <c r="AN82" s="1"/>
      <c r="AO82" s="1"/>
      <c r="AP82" s="1"/>
      <c r="AQ82" s="1"/>
      <c r="AR82" s="1"/>
      <c r="AS82" s="1"/>
    </row>
    <row r="83" spans="1:45">
      <c r="A83" t="s">
        <v>265</v>
      </c>
      <c r="B83">
        <v>13</v>
      </c>
      <c r="C83">
        <v>19.403376000000002</v>
      </c>
      <c r="D83">
        <v>11.937348</v>
      </c>
      <c r="E83">
        <v>0.94534532000000004</v>
      </c>
      <c r="F83">
        <v>2.6835452999999999E-2</v>
      </c>
      <c r="G83">
        <v>2.0321877000000002</v>
      </c>
      <c r="H83">
        <v>0.59667837000000001</v>
      </c>
      <c r="I83">
        <v>3.8649808999999999</v>
      </c>
      <c r="J83" s="1"/>
      <c r="AD83" s="1"/>
      <c r="AE83" s="1"/>
      <c r="AF83" s="1"/>
      <c r="AG83" s="1"/>
      <c r="AH83" s="1"/>
      <c r="AI83" s="1"/>
      <c r="AJ83" s="1"/>
      <c r="AM83" s="1"/>
      <c r="AN83" s="1"/>
      <c r="AO83" s="1"/>
      <c r="AP83" s="1"/>
      <c r="AQ83" s="1"/>
      <c r="AR83" s="1"/>
    </row>
    <row r="84" spans="1:45">
      <c r="A84" t="s">
        <v>267</v>
      </c>
      <c r="B84">
        <v>13</v>
      </c>
      <c r="C84">
        <v>51.060828999999998</v>
      </c>
      <c r="D84">
        <v>32.916153000000001</v>
      </c>
      <c r="E84">
        <v>-0.19387435</v>
      </c>
      <c r="F84">
        <v>7.8339027000000006E-2</v>
      </c>
      <c r="G84">
        <v>4.2773284</v>
      </c>
      <c r="H84">
        <v>2.3664037000000002</v>
      </c>
      <c r="I84">
        <v>11.616479999999999</v>
      </c>
      <c r="AE84" s="1"/>
      <c r="AF84" s="1"/>
      <c r="AG84" s="1"/>
      <c r="AH84" s="1"/>
      <c r="AM84" s="1"/>
      <c r="AN84" s="1"/>
      <c r="AO84" s="1"/>
      <c r="AP84" s="1"/>
      <c r="AQ84" s="1"/>
      <c r="AR84" s="1"/>
    </row>
    <row r="85" spans="1:45">
      <c r="A85" t="s">
        <v>285</v>
      </c>
      <c r="B85">
        <v>9</v>
      </c>
      <c r="C85">
        <v>82.803697</v>
      </c>
      <c r="D85">
        <v>57.241591999999997</v>
      </c>
      <c r="E85">
        <v>4.0023910000000003</v>
      </c>
      <c r="F85">
        <v>0.10148449</v>
      </c>
      <c r="G85">
        <v>6.1180314999999998</v>
      </c>
      <c r="H85">
        <v>-0.39970248000000003</v>
      </c>
      <c r="I85">
        <v>15.739901</v>
      </c>
      <c r="AM85" s="1"/>
      <c r="AN85" s="1"/>
      <c r="AO85" s="1"/>
      <c r="AP85" s="1"/>
      <c r="AQ85" s="1"/>
      <c r="AR85" s="1"/>
    </row>
    <row r="86" spans="1:45">
      <c r="A86" t="s">
        <v>266</v>
      </c>
      <c r="B86">
        <v>8</v>
      </c>
      <c r="C86">
        <v>82.803697</v>
      </c>
      <c r="D86">
        <v>57.241591999999997</v>
      </c>
      <c r="E86">
        <v>4.0023910000000003</v>
      </c>
      <c r="F86">
        <v>0.10148449</v>
      </c>
      <c r="G86">
        <v>6.1180314999999998</v>
      </c>
      <c r="H86">
        <v>-0.39970248000000003</v>
      </c>
      <c r="I86">
        <v>15.739901</v>
      </c>
      <c r="AP86" s="1"/>
      <c r="AR86" s="1"/>
    </row>
    <row r="87" spans="1:45">
      <c r="A87" t="s">
        <v>264</v>
      </c>
      <c r="B87">
        <v>42</v>
      </c>
      <c r="C87">
        <v>26.137187000000001</v>
      </c>
      <c r="D87">
        <v>17.792811</v>
      </c>
      <c r="E87">
        <v>0.65581794999999998</v>
      </c>
      <c r="F87">
        <v>3.6197035000000002E-2</v>
      </c>
      <c r="G87">
        <v>2.1761997000000002</v>
      </c>
      <c r="H87">
        <v>-5.8094899999999998E-2</v>
      </c>
      <c r="I87">
        <v>5.5342561000000003</v>
      </c>
      <c r="AP87" s="1"/>
      <c r="AR87" s="1"/>
    </row>
    <row r="88" spans="1:45">
      <c r="A88" t="s">
        <v>205</v>
      </c>
      <c r="C88">
        <f>SUMPRODUCT($B$81:$B$87,C81:C87)/100</f>
        <v>40.508556529999993</v>
      </c>
      <c r="D88">
        <f>SUMPRODUCT($B$81:$B$87,D81:D87)/100</f>
        <v>27.806221989999997</v>
      </c>
      <c r="E88">
        <f>SUMPRODUCT($B$81:$B$87,E81:E87)/100</f>
        <v>1.4932002390500003</v>
      </c>
      <c r="F88">
        <f>SUMPRODUCT($B$81:$B$87,F81:F87)/100</f>
        <v>5.2697466249999998E-2</v>
      </c>
      <c r="G88">
        <f>SUMPRODUCT($B$81:$B$87,G81:G87)/100</f>
        <v>3.2167960370000004</v>
      </c>
      <c r="H88">
        <f t="shared" ref="H88:I88" si="36">SUMPRODUCT($B$81:$B$87,H81:H87)/100</f>
        <v>0.397479103</v>
      </c>
      <c r="I88">
        <f t="shared" si="36"/>
        <v>7.5421618239999999</v>
      </c>
    </row>
    <row r="89" spans="1:45">
      <c r="AG89" s="1"/>
      <c r="AL89" s="1"/>
      <c r="AM89" s="1"/>
    </row>
    <row r="90" spans="1:45">
      <c r="B90" t="s">
        <v>346</v>
      </c>
      <c r="C90" t="s">
        <v>322</v>
      </c>
      <c r="D90" t="s">
        <v>323</v>
      </c>
      <c r="E90" t="s">
        <v>324</v>
      </c>
      <c r="F90" t="s">
        <v>325</v>
      </c>
      <c r="G90" t="s">
        <v>326</v>
      </c>
      <c r="H90" t="s">
        <v>327</v>
      </c>
      <c r="I90" t="s">
        <v>328</v>
      </c>
      <c r="AG90" s="1"/>
      <c r="AL90" s="1"/>
      <c r="AM90" s="1"/>
    </row>
    <row r="91" spans="1:45">
      <c r="A91" t="s">
        <v>345</v>
      </c>
      <c r="B91">
        <v>100</v>
      </c>
      <c r="C91">
        <f>SUM(D91:I91)</f>
        <v>116.703645184</v>
      </c>
      <c r="D91">
        <v>77.758584999999997</v>
      </c>
      <c r="E91">
        <v>4.8379643000000003</v>
      </c>
      <c r="F91">
        <v>0.16103418999999999</v>
      </c>
      <c r="G91">
        <v>9.7206694000000002</v>
      </c>
      <c r="H91">
        <v>8.3798293999999995E-2</v>
      </c>
      <c r="I91">
        <v>24.141594000000001</v>
      </c>
    </row>
    <row r="92" spans="1:45">
      <c r="A92" t="s">
        <v>148</v>
      </c>
      <c r="B92">
        <v>0</v>
      </c>
      <c r="C92">
        <f t="shared" ref="C92:C98" si="37">SUM(D92:I92)</f>
        <v>75.439245281199419</v>
      </c>
      <c r="D92">
        <f>D$91*D81/D$88/M$98</f>
        <v>50.001540724291942</v>
      </c>
      <c r="E92">
        <f t="shared" ref="E92:I98" si="38">E$91*E81/E$88/N$98</f>
        <v>6.5352998932613052E-2</v>
      </c>
      <c r="F92">
        <f t="shared" si="38"/>
        <v>0.10785740446138016</v>
      </c>
      <c r="G92">
        <f t="shared" si="38"/>
        <v>5.7548636666731889</v>
      </c>
      <c r="H92">
        <f t="shared" si="38"/>
        <v>8.2737781574131003E-2</v>
      </c>
      <c r="I92">
        <f t="shared" si="38"/>
        <v>19.42689270526617</v>
      </c>
      <c r="AG92" s="1"/>
      <c r="AH92" s="1"/>
      <c r="AI92" s="1"/>
      <c r="AJ92" s="1"/>
      <c r="AK92" s="1"/>
      <c r="AL92" s="1"/>
      <c r="AM92" s="1"/>
      <c r="AN92" s="1"/>
      <c r="AO92" s="1"/>
      <c r="AP92" s="1"/>
    </row>
    <row r="93" spans="1:45">
      <c r="A93" t="s">
        <v>149</v>
      </c>
      <c r="B93">
        <v>24.333753000000002</v>
      </c>
      <c r="C93">
        <f t="shared" si="37"/>
        <v>147.33237755332794</v>
      </c>
      <c r="D93">
        <f t="shared" ref="D93:D98" si="39">D$91*D82/D$88/M$98</f>
        <v>111.23371212366087</v>
      </c>
      <c r="E93">
        <f t="shared" si="38"/>
        <v>14.600248472142079</v>
      </c>
      <c r="F93">
        <f t="shared" si="38"/>
        <v>0.15656797313560467</v>
      </c>
      <c r="G93">
        <f t="shared" si="38"/>
        <v>11.135037543296709</v>
      </c>
      <c r="H93">
        <f t="shared" si="38"/>
        <v>8.7991123343470534E-2</v>
      </c>
      <c r="I93">
        <f t="shared" si="38"/>
        <v>10.118820317749185</v>
      </c>
    </row>
    <row r="94" spans="1:45">
      <c r="A94" t="s">
        <v>150</v>
      </c>
      <c r="B94">
        <v>1.1445909999999999</v>
      </c>
      <c r="C94">
        <f t="shared" si="37"/>
        <v>58.305567105407867</v>
      </c>
      <c r="D94">
        <f t="shared" si="39"/>
        <v>34.085200992237311</v>
      </c>
      <c r="E94">
        <f t="shared" si="38"/>
        <v>3.146340007947225</v>
      </c>
      <c r="F94">
        <f t="shared" si="38"/>
        <v>8.5982662854130712E-2</v>
      </c>
      <c r="G94">
        <f t="shared" si="38"/>
        <v>6.4353965636965986</v>
      </c>
      <c r="H94">
        <f t="shared" si="38"/>
        <v>7.3772349402039847E-2</v>
      </c>
      <c r="I94">
        <f t="shared" si="38"/>
        <v>14.478874529270561</v>
      </c>
    </row>
    <row r="95" spans="1:45">
      <c r="A95" t="s">
        <v>151</v>
      </c>
      <c r="B95">
        <v>22.648911999999999</v>
      </c>
      <c r="C95">
        <f t="shared" si="37"/>
        <v>150.9476315647247</v>
      </c>
      <c r="D95">
        <f t="shared" si="39"/>
        <v>93.986846232197891</v>
      </c>
      <c r="E95">
        <f t="shared" si="38"/>
        <v>-0.64526116649074128</v>
      </c>
      <c r="F95">
        <f t="shared" si="38"/>
        <v>0.25100370568969499</v>
      </c>
      <c r="G95">
        <f t="shared" si="38"/>
        <v>13.545158494543521</v>
      </c>
      <c r="H95">
        <f t="shared" si="38"/>
        <v>0.29257832923067062</v>
      </c>
      <c r="I95">
        <f t="shared" si="38"/>
        <v>43.517305969553661</v>
      </c>
      <c r="L95" t="s">
        <v>322</v>
      </c>
      <c r="M95" t="s">
        <v>323</v>
      </c>
      <c r="N95" t="s">
        <v>324</v>
      </c>
      <c r="O95" t="s">
        <v>325</v>
      </c>
      <c r="P95" t="s">
        <v>326</v>
      </c>
      <c r="Q95" t="s">
        <v>327</v>
      </c>
      <c r="R95" t="s">
        <v>328</v>
      </c>
      <c r="S95" t="s">
        <v>349</v>
      </c>
    </row>
    <row r="96" spans="1:45">
      <c r="A96" t="s">
        <v>285</v>
      </c>
      <c r="B96">
        <v>0</v>
      </c>
      <c r="C96">
        <f t="shared" si="37"/>
        <v>255.37946777507432</v>
      </c>
      <c r="D96">
        <f t="shared" si="39"/>
        <v>163.44427325362747</v>
      </c>
      <c r="E96">
        <f t="shared" si="38"/>
        <v>13.320934334077947</v>
      </c>
      <c r="F96">
        <f t="shared" si="38"/>
        <v>0.32516338325249805</v>
      </c>
      <c r="G96">
        <f t="shared" si="38"/>
        <v>19.374174389347765</v>
      </c>
      <c r="H96">
        <f t="shared" si="38"/>
        <v>-4.9418568686211715E-2</v>
      </c>
      <c r="I96">
        <f t="shared" si="38"/>
        <v>58.964340983454846</v>
      </c>
      <c r="K96" t="s">
        <v>347</v>
      </c>
      <c r="L96">
        <f>SUMPRODUCT($B$92:$B$98,C92:C98)/100</f>
        <v>116.70364518400001</v>
      </c>
      <c r="M96">
        <f t="shared" ref="M96:R96" si="40">SUMPRODUCT($B$92:$B$98,D92:D98)/100</f>
        <v>77.758584999999997</v>
      </c>
      <c r="N96">
        <f t="shared" si="40"/>
        <v>4.8379643000000012</v>
      </c>
      <c r="O96">
        <f t="shared" si="40"/>
        <v>0.16103419000000002</v>
      </c>
      <c r="P96">
        <f t="shared" si="40"/>
        <v>9.7206693999999985</v>
      </c>
      <c r="Q96">
        <f t="shared" si="40"/>
        <v>8.3798293999999982E-2</v>
      </c>
      <c r="R96">
        <f t="shared" si="40"/>
        <v>24.141593999999994</v>
      </c>
      <c r="S96">
        <f>SUM(M96:R96)</f>
        <v>116.703645184</v>
      </c>
    </row>
    <row r="97" spans="1:39">
      <c r="A97" t="s">
        <v>152</v>
      </c>
      <c r="B97">
        <v>2.3618679999999999</v>
      </c>
      <c r="C97">
        <f t="shared" si="37"/>
        <v>255.37946777507432</v>
      </c>
      <c r="D97">
        <f t="shared" si="39"/>
        <v>163.44427325362747</v>
      </c>
      <c r="E97">
        <f t="shared" si="38"/>
        <v>13.320934334077947</v>
      </c>
      <c r="F97">
        <f t="shared" si="38"/>
        <v>0.32516338325249805</v>
      </c>
      <c r="G97">
        <f t="shared" si="38"/>
        <v>19.374174389347765</v>
      </c>
      <c r="H97">
        <f t="shared" si="38"/>
        <v>-4.9418568686211715E-2</v>
      </c>
      <c r="I97">
        <f t="shared" si="38"/>
        <v>58.964340983454846</v>
      </c>
      <c r="K97" t="s">
        <v>348</v>
      </c>
      <c r="L97">
        <f>L96/C91</f>
        <v>1.0000000000000002</v>
      </c>
      <c r="M97">
        <f t="shared" ref="M97:R97" si="41">M96/D91</f>
        <v>1</v>
      </c>
      <c r="N97">
        <f t="shared" si="41"/>
        <v>1.0000000000000002</v>
      </c>
      <c r="O97">
        <f t="shared" si="41"/>
        <v>1.0000000000000002</v>
      </c>
      <c r="P97">
        <f t="shared" si="41"/>
        <v>0.99999999999999978</v>
      </c>
      <c r="Q97">
        <f t="shared" si="41"/>
        <v>0.99999999999999989</v>
      </c>
      <c r="R97">
        <f t="shared" si="41"/>
        <v>0.99999999999999967</v>
      </c>
    </row>
    <row r="98" spans="1:39">
      <c r="A98" t="s">
        <v>153</v>
      </c>
      <c r="B98">
        <v>49.510877000000001</v>
      </c>
      <c r="C98">
        <f t="shared" si="37"/>
        <v>80.719769719348278</v>
      </c>
      <c r="D98">
        <f t="shared" si="39"/>
        <v>50.804545461177042</v>
      </c>
      <c r="E98">
        <f t="shared" si="38"/>
        <v>2.1827222395462145</v>
      </c>
      <c r="F98">
        <f t="shared" si="38"/>
        <v>0.11597782443710451</v>
      </c>
      <c r="G98">
        <f t="shared" si="38"/>
        <v>6.8914441669426347</v>
      </c>
      <c r="H98">
        <f t="shared" si="38"/>
        <v>-7.1827595514758888E-3</v>
      </c>
      <c r="I98">
        <f t="shared" si="38"/>
        <v>20.732262786796753</v>
      </c>
      <c r="L98">
        <v>0.95167877562519898</v>
      </c>
      <c r="M98">
        <v>0.9793735228563325</v>
      </c>
      <c r="N98">
        <v>0.97348538182232969</v>
      </c>
      <c r="O98">
        <v>0.95373209698486161</v>
      </c>
      <c r="P98">
        <v>0.95424776651194065</v>
      </c>
      <c r="Q98">
        <v>1.7051695013751447</v>
      </c>
      <c r="R98">
        <v>0.85444210838948276</v>
      </c>
    </row>
    <row r="100" spans="1:39">
      <c r="A100" s="25" t="s">
        <v>332</v>
      </c>
      <c r="C100" t="s">
        <v>356</v>
      </c>
      <c r="V100" s="1"/>
      <c r="Y100" s="1"/>
      <c r="Z100" s="1"/>
      <c r="AA100" s="1"/>
      <c r="AB100" s="1"/>
      <c r="AC100" s="1"/>
      <c r="AD100" s="1"/>
      <c r="AE100" s="1"/>
      <c r="AH100" s="1"/>
      <c r="AI100" s="1"/>
      <c r="AJ100" s="1"/>
      <c r="AK100" s="1"/>
      <c r="AL100" s="1"/>
      <c r="AM100" s="1"/>
    </row>
    <row r="101" spans="1:39">
      <c r="A101" t="s">
        <v>336</v>
      </c>
      <c r="B101" t="s">
        <v>335</v>
      </c>
      <c r="V101" s="1"/>
      <c r="AK101" s="1"/>
      <c r="AM101" s="1"/>
    </row>
    <row r="102" spans="1:39">
      <c r="A102" t="s">
        <v>102</v>
      </c>
      <c r="B102">
        <v>8.5604646000000006E-2</v>
      </c>
      <c r="V102" s="1"/>
      <c r="AK102" s="1"/>
      <c r="AM102" s="1"/>
    </row>
    <row r="103" spans="1:39">
      <c r="A103" t="s">
        <v>116</v>
      </c>
      <c r="B103">
        <v>8.7281027999999997E-2</v>
      </c>
      <c r="V103" s="1"/>
      <c r="AH103" s="1"/>
      <c r="AI103" s="1"/>
      <c r="AJ103" s="1"/>
      <c r="AK103" s="1"/>
      <c r="AL103" s="1"/>
      <c r="AM103" s="1"/>
    </row>
    <row r="104" spans="1:39">
      <c r="A104" t="s">
        <v>107</v>
      </c>
      <c r="B104">
        <v>3.9356284999999998E-2</v>
      </c>
      <c r="V104" s="1"/>
      <c r="AH104" s="1"/>
      <c r="AI104" s="1"/>
      <c r="AJ104" s="1"/>
      <c r="AK104" s="1"/>
      <c r="AL104" s="1"/>
      <c r="AM104" s="1"/>
    </row>
    <row r="105" spans="1:39">
      <c r="A105" t="s">
        <v>112</v>
      </c>
      <c r="B105">
        <v>8.2967120000000005E-2</v>
      </c>
      <c r="V105" s="1"/>
      <c r="Y105" s="1"/>
      <c r="Z105" s="1"/>
      <c r="AA105" s="1"/>
      <c r="AB105" s="1"/>
      <c r="AC105" s="1"/>
      <c r="AD105" s="1"/>
      <c r="AE105" s="1"/>
      <c r="AH105" s="1"/>
      <c r="AI105" s="1"/>
      <c r="AJ105" s="1"/>
      <c r="AK105" s="1"/>
      <c r="AL105" s="1"/>
      <c r="AM105" s="1"/>
    </row>
    <row r="106" spans="1:39">
      <c r="A106" t="s">
        <v>285</v>
      </c>
      <c r="B106">
        <v>0.16462262999999999</v>
      </c>
      <c r="F106" t="s">
        <v>91</v>
      </c>
      <c r="G106" t="s">
        <v>335</v>
      </c>
      <c r="V106" s="1"/>
      <c r="Z106" s="1"/>
      <c r="AA106" s="1"/>
      <c r="AB106" s="1"/>
      <c r="AC106" s="1"/>
      <c r="AH106" s="1"/>
      <c r="AI106" s="1"/>
      <c r="AJ106" s="1"/>
      <c r="AK106" s="1"/>
      <c r="AL106" s="1"/>
      <c r="AM106" s="1"/>
    </row>
    <row r="107" spans="1:39">
      <c r="A107" t="s">
        <v>105</v>
      </c>
      <c r="B107">
        <v>0.16462262999999999</v>
      </c>
      <c r="F107" t="s">
        <v>148</v>
      </c>
      <c r="G107">
        <f>($B$109-$C$118)*B102/$B$109</f>
        <v>1.8822185809893168E-2</v>
      </c>
      <c r="V107" s="1"/>
      <c r="AH107" s="1"/>
      <c r="AI107" s="1"/>
      <c r="AJ107" s="1"/>
      <c r="AK107" s="1"/>
      <c r="AL107" s="1"/>
      <c r="AM107" s="1"/>
    </row>
    <row r="108" spans="1:39">
      <c r="A108" t="s">
        <v>110</v>
      </c>
      <c r="B108">
        <v>4.6712660000000003E-2</v>
      </c>
      <c r="F108" t="s">
        <v>149</v>
      </c>
      <c r="G108">
        <f t="shared" ref="G108:G113" si="42">($B$109-$C$118)*B103/$B$109</f>
        <v>1.9190777644177023E-2</v>
      </c>
      <c r="V108" s="1"/>
      <c r="AK108" s="1"/>
      <c r="AM108" s="1"/>
    </row>
    <row r="109" spans="1:39">
      <c r="B109">
        <f>SUMPRODUCT(B111:B117,B102:B108)/100</f>
        <v>7.6515542049999996E-2</v>
      </c>
      <c r="F109" t="s">
        <v>150</v>
      </c>
      <c r="G109">
        <f t="shared" si="42"/>
        <v>8.6534007635182715E-3</v>
      </c>
      <c r="V109" s="1"/>
      <c r="AK109" s="1"/>
      <c r="AM109" s="1"/>
    </row>
    <row r="110" spans="1:39">
      <c r="A110" t="s">
        <v>337</v>
      </c>
      <c r="B110" t="s">
        <v>346</v>
      </c>
      <c r="C110" t="s">
        <v>353</v>
      </c>
      <c r="F110" t="s">
        <v>151</v>
      </c>
      <c r="G110">
        <f t="shared" si="42"/>
        <v>1.8242263962538946E-2</v>
      </c>
    </row>
    <row r="111" spans="1:39">
      <c r="A111" t="s">
        <v>123</v>
      </c>
      <c r="B111">
        <v>5</v>
      </c>
      <c r="C111">
        <v>6.4696003000000002E-2</v>
      </c>
      <c r="F111" t="s">
        <v>285</v>
      </c>
      <c r="G111">
        <f t="shared" si="42"/>
        <v>3.6196139755934428E-2</v>
      </c>
    </row>
    <row r="112" spans="1:39">
      <c r="A112" t="s">
        <v>268</v>
      </c>
      <c r="B112">
        <v>10</v>
      </c>
      <c r="C112">
        <v>6.7185705999999998E-2</v>
      </c>
      <c r="F112" t="s">
        <v>152</v>
      </c>
      <c r="G112">
        <f t="shared" si="42"/>
        <v>3.6196139755934428E-2</v>
      </c>
    </row>
    <row r="113" spans="1:9">
      <c r="A113" t="s">
        <v>265</v>
      </c>
      <c r="B113">
        <v>13</v>
      </c>
      <c r="C113">
        <v>2.5194981000000002E-2</v>
      </c>
      <c r="F113" t="s">
        <v>153</v>
      </c>
      <c r="G113">
        <f t="shared" si="42"/>
        <v>1.0270872052836527E-2</v>
      </c>
    </row>
    <row r="114" spans="1:9">
      <c r="A114" t="s">
        <v>267</v>
      </c>
      <c r="B114">
        <v>13</v>
      </c>
      <c r="C114">
        <v>6.8914242000000001E-2</v>
      </c>
    </row>
    <row r="115" spans="1:9">
      <c r="A115" t="s">
        <v>285</v>
      </c>
      <c r="B115">
        <v>9</v>
      </c>
      <c r="C115">
        <v>0.14480019</v>
      </c>
    </row>
    <row r="116" spans="1:9">
      <c r="A116" t="s">
        <v>266</v>
      </c>
      <c r="B116">
        <v>8</v>
      </c>
      <c r="C116">
        <v>0.14480019</v>
      </c>
    </row>
    <row r="117" spans="1:9">
      <c r="A117" t="s">
        <v>264</v>
      </c>
      <c r="B117">
        <v>42</v>
      </c>
      <c r="C117">
        <v>3.0686206000000001E-2</v>
      </c>
    </row>
    <row r="118" spans="1:9">
      <c r="C118">
        <f>SUMPRODUCT(B111:B117,C111:C117)/100</f>
        <v>5.9691808560000004E-2</v>
      </c>
    </row>
    <row r="119" spans="1:9">
      <c r="A119" t="s">
        <v>249</v>
      </c>
      <c r="B119" t="s">
        <v>154</v>
      </c>
      <c r="C119" t="s">
        <v>335</v>
      </c>
    </row>
    <row r="120" spans="1:9">
      <c r="A120" t="s">
        <v>131</v>
      </c>
      <c r="B120">
        <v>100</v>
      </c>
      <c r="C120">
        <v>1.3757437000000001E-2</v>
      </c>
    </row>
    <row r="121" spans="1:9">
      <c r="A121" t="s">
        <v>148</v>
      </c>
      <c r="B121">
        <v>0</v>
      </c>
      <c r="C121">
        <f>$C$120*C111/$C$118/C$130</f>
        <v>1.7500536583074183E-2</v>
      </c>
      <c r="H121" t="s">
        <v>0</v>
      </c>
      <c r="I121" t="s">
        <v>1</v>
      </c>
    </row>
    <row r="122" spans="1:9">
      <c r="A122" t="s">
        <v>149</v>
      </c>
      <c r="B122">
        <v>24.333753000000002</v>
      </c>
      <c r="C122">
        <f t="shared" ref="C122:C127" si="43">$C$120*C112/$C$118/C$130</f>
        <v>1.8174011549255468E-2</v>
      </c>
      <c r="H122" t="s">
        <v>2</v>
      </c>
      <c r="I122" t="s">
        <v>3</v>
      </c>
    </row>
    <row r="123" spans="1:9">
      <c r="A123" t="s">
        <v>150</v>
      </c>
      <c r="B123">
        <v>1.1445909999999999</v>
      </c>
      <c r="C123">
        <f t="shared" si="43"/>
        <v>6.815346640508208E-3</v>
      </c>
      <c r="H123" t="s">
        <v>4</v>
      </c>
      <c r="I123" t="s">
        <v>333</v>
      </c>
    </row>
    <row r="124" spans="1:9">
      <c r="A124" t="s">
        <v>151</v>
      </c>
      <c r="B124">
        <v>22.648911999999999</v>
      </c>
      <c r="C124">
        <f t="shared" si="43"/>
        <v>1.8641587691527517E-2</v>
      </c>
      <c r="H124" t="s">
        <v>6</v>
      </c>
      <c r="I124" t="s">
        <v>354</v>
      </c>
    </row>
    <row r="125" spans="1:9">
      <c r="A125" t="s">
        <v>285</v>
      </c>
      <c r="B125">
        <v>0</v>
      </c>
      <c r="C125">
        <f t="shared" si="43"/>
        <v>3.9169050711387723E-2</v>
      </c>
      <c r="H125" t="s">
        <v>8</v>
      </c>
      <c r="I125" t="s">
        <v>9</v>
      </c>
    </row>
    <row r="126" spans="1:9">
      <c r="A126" t="s">
        <v>152</v>
      </c>
      <c r="B126">
        <v>2.3618679999999999</v>
      </c>
      <c r="C126">
        <f t="shared" si="43"/>
        <v>3.9169050711387723E-2</v>
      </c>
      <c r="H126" t="s">
        <v>10</v>
      </c>
      <c r="I126" t="s">
        <v>11</v>
      </c>
    </row>
    <row r="127" spans="1:9">
      <c r="A127" t="s">
        <v>153</v>
      </c>
      <c r="B127">
        <v>49.510877000000001</v>
      </c>
      <c r="C127">
        <f t="shared" si="43"/>
        <v>8.3007457307486283E-3</v>
      </c>
      <c r="H127" t="s">
        <v>12</v>
      </c>
      <c r="I127" t="s">
        <v>13</v>
      </c>
    </row>
    <row r="128" spans="1:9">
      <c r="C128">
        <f>SUMPRODUCT(B121:B127,C121:C127)/100</f>
        <v>1.3757437000000001E-2</v>
      </c>
      <c r="H128" t="s">
        <v>14</v>
      </c>
      <c r="I128" t="s">
        <v>13</v>
      </c>
    </row>
    <row r="129" spans="3:16">
      <c r="C129">
        <f>C128/C120</f>
        <v>1</v>
      </c>
      <c r="H129" t="s">
        <v>15</v>
      </c>
      <c r="I129" t="s">
        <v>16</v>
      </c>
    </row>
    <row r="130" spans="3:16">
      <c r="C130">
        <v>0.85201821736437511</v>
      </c>
      <c r="H130" t="s">
        <v>17</v>
      </c>
      <c r="I130" t="s">
        <v>18</v>
      </c>
    </row>
    <row r="132" spans="3:16">
      <c r="H132" t="s">
        <v>16</v>
      </c>
      <c r="I132" t="s">
        <v>19</v>
      </c>
      <c r="J132" t="s">
        <v>20</v>
      </c>
      <c r="K132" t="s">
        <v>102</v>
      </c>
      <c r="L132" t="s">
        <v>105</v>
      </c>
      <c r="M132" t="s">
        <v>107</v>
      </c>
      <c r="N132" t="s">
        <v>110</v>
      </c>
      <c r="O132" t="s">
        <v>112</v>
      </c>
      <c r="P132" t="s">
        <v>116</v>
      </c>
    </row>
    <row r="133" spans="3:16">
      <c r="H133" t="s">
        <v>355</v>
      </c>
      <c r="I133" t="s">
        <v>334</v>
      </c>
      <c r="J133">
        <v>0.50654436000000003</v>
      </c>
      <c r="K133">
        <v>8.5604646000000006E-2</v>
      </c>
      <c r="L133">
        <v>0.16462262999999999</v>
      </c>
      <c r="M133">
        <v>3.9356284999999998E-2</v>
      </c>
      <c r="N133">
        <v>4.6712660000000003E-2</v>
      </c>
      <c r="O133">
        <v>8.2967120000000005E-2</v>
      </c>
      <c r="P133">
        <v>8.7281027999999997E-2</v>
      </c>
    </row>
    <row r="134" spans="3:16">
      <c r="I134" t="s">
        <v>19</v>
      </c>
      <c r="J134" t="s">
        <v>334</v>
      </c>
    </row>
    <row r="135" spans="3:16">
      <c r="I135" t="s">
        <v>20</v>
      </c>
      <c r="J135">
        <v>0.50654436000000003</v>
      </c>
    </row>
    <row r="136" spans="3:16">
      <c r="I136" t="s">
        <v>102</v>
      </c>
      <c r="J136">
        <v>8.5604646000000006E-2</v>
      </c>
    </row>
    <row r="137" spans="3:16">
      <c r="I137" t="s">
        <v>105</v>
      </c>
      <c r="J137">
        <v>0.16462262999999999</v>
      </c>
    </row>
    <row r="138" spans="3:16">
      <c r="I138" t="s">
        <v>107</v>
      </c>
      <c r="J138">
        <v>3.9356284999999998E-2</v>
      </c>
    </row>
    <row r="139" spans="3:16">
      <c r="I139" t="s">
        <v>110</v>
      </c>
      <c r="J139">
        <v>4.6712660000000003E-2</v>
      </c>
    </row>
    <row r="140" spans="3:16">
      <c r="I140" t="s">
        <v>112</v>
      </c>
      <c r="J140">
        <v>8.2967120000000005E-2</v>
      </c>
    </row>
    <row r="141" spans="3:16">
      <c r="I141" t="s">
        <v>116</v>
      </c>
      <c r="J141">
        <v>8.7281027999999997E-2</v>
      </c>
    </row>
  </sheetData>
  <mergeCells count="1">
    <mergeCell ref="B11:H1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8FA1F-E1D6-4DCC-984E-F3CBC0F8122D}">
  <dimension ref="A1:Y8"/>
  <sheetViews>
    <sheetView workbookViewId="0">
      <selection activeCell="I13" sqref="I13"/>
    </sheetView>
  </sheetViews>
  <sheetFormatPr defaultRowHeight="14.4"/>
  <sheetData>
    <row r="1" spans="1:25">
      <c r="A1" t="s">
        <v>147</v>
      </c>
      <c r="B1" s="9" t="s">
        <v>360</v>
      </c>
      <c r="C1" s="2" t="s">
        <v>239</v>
      </c>
      <c r="D1" s="2" t="s">
        <v>240</v>
      </c>
      <c r="E1" s="2" t="s">
        <v>241</v>
      </c>
      <c r="F1" s="2" t="s">
        <v>242</v>
      </c>
      <c r="G1" s="2" t="s">
        <v>243</v>
      </c>
      <c r="H1" s="2" t="s">
        <v>244</v>
      </c>
      <c r="I1" s="2" t="s">
        <v>245</v>
      </c>
      <c r="J1" s="2" t="s">
        <v>246</v>
      </c>
      <c r="K1" s="2" t="s">
        <v>247</v>
      </c>
      <c r="L1" s="2" t="s">
        <v>248</v>
      </c>
      <c r="M1" t="s">
        <v>322</v>
      </c>
      <c r="N1" t="s">
        <v>323</v>
      </c>
      <c r="O1" t="s">
        <v>324</v>
      </c>
      <c r="P1" t="s">
        <v>325</v>
      </c>
      <c r="Q1" t="s">
        <v>326</v>
      </c>
      <c r="R1" t="s">
        <v>327</v>
      </c>
      <c r="S1" t="s">
        <v>328</v>
      </c>
      <c r="T1" t="s">
        <v>335</v>
      </c>
      <c r="U1" t="s">
        <v>420</v>
      </c>
      <c r="V1" t="s">
        <v>312</v>
      </c>
      <c r="W1" t="s">
        <v>357</v>
      </c>
      <c r="X1" t="s">
        <v>358</v>
      </c>
      <c r="Y1" t="s">
        <v>359</v>
      </c>
    </row>
    <row r="2" spans="1:25">
      <c r="A2" t="s">
        <v>148</v>
      </c>
      <c r="B2">
        <v>0.05</v>
      </c>
      <c r="C2" s="1">
        <v>1.0991223E-7</v>
      </c>
      <c r="D2">
        <v>1.6019422999999999</v>
      </c>
      <c r="E2">
        <v>0.73385465999999999</v>
      </c>
      <c r="F2">
        <v>3.3865095999999997E-2</v>
      </c>
      <c r="G2">
        <v>0.48732085000000003</v>
      </c>
      <c r="H2" s="1">
        <v>4.0365346000000004E-6</v>
      </c>
      <c r="I2">
        <v>1.0634667999999999E-4</v>
      </c>
      <c r="J2">
        <v>2.5828637000000002E-2</v>
      </c>
      <c r="K2">
        <v>2630.681</v>
      </c>
      <c r="L2">
        <v>1.7351171999999999</v>
      </c>
      <c r="M2">
        <v>25.237161</v>
      </c>
      <c r="N2">
        <v>17.511582000000001</v>
      </c>
      <c r="O2">
        <v>1.9635878999999998E-2</v>
      </c>
      <c r="P2">
        <v>3.3662627000000001E-2</v>
      </c>
      <c r="Q2">
        <v>1.8172870999999999</v>
      </c>
      <c r="R2">
        <v>0.66919171</v>
      </c>
      <c r="S2">
        <v>5.1858015000000002</v>
      </c>
      <c r="T2">
        <v>6.4696003000000002E-2</v>
      </c>
      <c r="U2" s="27">
        <v>0.01</v>
      </c>
      <c r="V2">
        <v>0.01</v>
      </c>
      <c r="W2">
        <v>0.75302529708629251</v>
      </c>
      <c r="X2">
        <v>1.2229297483339268</v>
      </c>
      <c r="Y2">
        <v>0.84298318400394723</v>
      </c>
    </row>
    <row r="3" spans="1:25">
      <c r="A3" t="s">
        <v>149</v>
      </c>
      <c r="B3">
        <v>0.1</v>
      </c>
      <c r="C3" s="1">
        <v>2.1615070999999999E-7</v>
      </c>
      <c r="D3">
        <v>3.3945205000000001</v>
      </c>
      <c r="E3">
        <v>1.1037444999999999</v>
      </c>
      <c r="F3">
        <v>5.2757143999999999E-2</v>
      </c>
      <c r="G3">
        <v>1.1037528999999999</v>
      </c>
      <c r="H3" s="1">
        <v>8.9424885999999997E-6</v>
      </c>
      <c r="I3">
        <v>2.4017082999999999E-4</v>
      </c>
      <c r="J3">
        <v>4.0764775000000003E-2</v>
      </c>
      <c r="K3">
        <v>5946.5540000000001</v>
      </c>
      <c r="L3">
        <v>3.4518580000000001</v>
      </c>
      <c r="M3">
        <v>50.321047999999998</v>
      </c>
      <c r="N3">
        <v>38.956364999999998</v>
      </c>
      <c r="O3">
        <v>4.3867721</v>
      </c>
      <c r="P3">
        <v>4.8865344999999998E-2</v>
      </c>
      <c r="Q3">
        <v>3.5162536000000002</v>
      </c>
      <c r="R3">
        <v>0.71168127999999997</v>
      </c>
      <c r="S3">
        <v>2.701111</v>
      </c>
      <c r="T3">
        <v>6.7185705999999998E-2</v>
      </c>
      <c r="U3" s="27">
        <v>0.08</v>
      </c>
      <c r="V3">
        <v>0.05</v>
      </c>
      <c r="W3">
        <v>1.5462303387691498</v>
      </c>
      <c r="X3">
        <v>2.3691952409138932</v>
      </c>
      <c r="Y3">
        <v>0.87129680538449361</v>
      </c>
    </row>
    <row r="4" spans="1:25">
      <c r="A4" t="s">
        <v>150</v>
      </c>
      <c r="B4">
        <v>0.13</v>
      </c>
      <c r="C4" s="1">
        <v>8.9344054000000006E-8</v>
      </c>
      <c r="D4">
        <v>1.1153175</v>
      </c>
      <c r="E4">
        <v>0.52842235000000004</v>
      </c>
      <c r="F4">
        <v>2.4258965E-2</v>
      </c>
      <c r="G4">
        <v>0.22541884000000001</v>
      </c>
      <c r="H4" s="1">
        <v>1.9513202999999998E-6</v>
      </c>
      <c r="I4" s="1">
        <v>4.9016515000000002E-5</v>
      </c>
      <c r="J4">
        <v>1.9093741000000001E-2</v>
      </c>
      <c r="K4">
        <v>1210.6794</v>
      </c>
      <c r="L4">
        <v>1.1917495</v>
      </c>
      <c r="M4">
        <v>19.403376000000002</v>
      </c>
      <c r="N4">
        <v>11.937348</v>
      </c>
      <c r="O4">
        <v>0.94534532000000004</v>
      </c>
      <c r="P4">
        <v>2.6835452999999999E-2</v>
      </c>
      <c r="Q4">
        <v>2.0321877000000002</v>
      </c>
      <c r="R4">
        <v>0.59667837000000001</v>
      </c>
      <c r="S4">
        <v>3.8649808999999999</v>
      </c>
      <c r="T4">
        <v>2.5194981000000002E-2</v>
      </c>
      <c r="U4" s="27">
        <v>0.1</v>
      </c>
      <c r="V4">
        <v>0.1</v>
      </c>
      <c r="W4">
        <v>0.70972195966489804</v>
      </c>
      <c r="X4">
        <v>1.2405939684509186</v>
      </c>
      <c r="Y4">
        <v>0.34356234739972136</v>
      </c>
    </row>
    <row r="5" spans="1:25">
      <c r="A5" t="s">
        <v>151</v>
      </c>
      <c r="B5">
        <v>0.13</v>
      </c>
      <c r="C5" s="1">
        <v>2.4250378000000001E-7</v>
      </c>
      <c r="D5">
        <v>3.1104099000000001</v>
      </c>
      <c r="E5">
        <v>1.6368948999999999</v>
      </c>
      <c r="F5">
        <v>7.4567040000000001E-2</v>
      </c>
      <c r="G5">
        <v>1.6913050999999999</v>
      </c>
      <c r="H5" s="1">
        <v>1.3710325999999999E-5</v>
      </c>
      <c r="I5">
        <v>3.7050408000000002E-4</v>
      </c>
      <c r="J5">
        <v>5.8309855000000001E-2</v>
      </c>
      <c r="K5">
        <v>9177.2567999999992</v>
      </c>
      <c r="L5">
        <v>3.4321440999999999</v>
      </c>
      <c r="M5">
        <v>51.060828999999998</v>
      </c>
      <c r="N5">
        <v>32.916153000000001</v>
      </c>
      <c r="O5">
        <v>-0.19387435</v>
      </c>
      <c r="P5">
        <v>7.8339027000000006E-2</v>
      </c>
      <c r="Q5">
        <v>4.2773284</v>
      </c>
      <c r="R5">
        <v>2.3664037000000002</v>
      </c>
      <c r="S5">
        <v>11.616479999999999</v>
      </c>
      <c r="T5">
        <v>6.8914242000000001E-2</v>
      </c>
      <c r="U5" s="27">
        <v>0.23</v>
      </c>
      <c r="V5">
        <v>0.13</v>
      </c>
      <c r="W5">
        <v>1.1120618237995001</v>
      </c>
      <c r="X5">
        <v>1.9260163977901263</v>
      </c>
      <c r="Y5">
        <v>0.86179456395712728</v>
      </c>
    </row>
    <row r="6" spans="1:25">
      <c r="A6" t="s">
        <v>285</v>
      </c>
      <c r="B6">
        <v>0.09</v>
      </c>
      <c r="C6" s="1">
        <v>3.5730565999999999E-7</v>
      </c>
      <c r="D6">
        <v>5.4423143999999999</v>
      </c>
      <c r="E6">
        <v>2.4322666000000002</v>
      </c>
      <c r="F6">
        <v>0.11243419</v>
      </c>
      <c r="G6">
        <v>1.8852409000000001</v>
      </c>
      <c r="H6" s="1">
        <v>1.5419769E-5</v>
      </c>
      <c r="I6">
        <v>4.1161575999999999E-4</v>
      </c>
      <c r="J6">
        <v>8.6565594999999995E-2</v>
      </c>
      <c r="K6">
        <v>10179.895</v>
      </c>
      <c r="L6">
        <v>4.8453359000000003</v>
      </c>
      <c r="M6">
        <v>82.803697</v>
      </c>
      <c r="N6">
        <v>57.241591999999997</v>
      </c>
      <c r="O6">
        <v>4.0023910000000003</v>
      </c>
      <c r="P6">
        <v>0.10148449</v>
      </c>
      <c r="Q6">
        <v>6.1180314999999998</v>
      </c>
      <c r="R6">
        <v>-0.39970248000000003</v>
      </c>
      <c r="S6">
        <v>15.739901</v>
      </c>
      <c r="T6">
        <v>0.14480019</v>
      </c>
      <c r="U6" s="27">
        <f>1-SUM(U2:U5,U7:U8)</f>
        <v>0</v>
      </c>
      <c r="V6">
        <v>7.0000000000000007E-2</v>
      </c>
      <c r="W6">
        <v>2.3357358827779953</v>
      </c>
      <c r="X6">
        <v>3.6917672198430438</v>
      </c>
      <c r="Y6">
        <v>1.8611264898592133</v>
      </c>
    </row>
    <row r="7" spans="1:25">
      <c r="A7" t="s">
        <v>313</v>
      </c>
      <c r="B7">
        <v>0.08</v>
      </c>
      <c r="C7" s="1">
        <v>3.5730565999999999E-7</v>
      </c>
      <c r="D7">
        <v>5.4423143999999999</v>
      </c>
      <c r="E7">
        <v>2.4322666000000002</v>
      </c>
      <c r="F7">
        <v>0.11243419</v>
      </c>
      <c r="G7">
        <v>1.8852409000000001</v>
      </c>
      <c r="H7" s="1">
        <v>1.5419769E-5</v>
      </c>
      <c r="I7">
        <v>4.1161575999999999E-4</v>
      </c>
      <c r="J7">
        <v>8.6565594999999995E-2</v>
      </c>
      <c r="K7">
        <v>10179.895</v>
      </c>
      <c r="L7">
        <v>4.8453359000000003</v>
      </c>
      <c r="M7">
        <v>82.803697</v>
      </c>
      <c r="N7">
        <v>57.241591999999997</v>
      </c>
      <c r="O7">
        <v>4.0023910000000003</v>
      </c>
      <c r="P7">
        <v>0.10148449</v>
      </c>
      <c r="Q7">
        <v>6.1180314999999998</v>
      </c>
      <c r="R7">
        <v>-0.39970248000000003</v>
      </c>
      <c r="S7">
        <v>15.739901</v>
      </c>
      <c r="T7">
        <v>0.14480019</v>
      </c>
      <c r="U7" s="27">
        <v>0.17</v>
      </c>
      <c r="V7">
        <v>0.38</v>
      </c>
      <c r="W7">
        <v>2.5984500876540721</v>
      </c>
      <c r="X7">
        <v>4.0701065589552945</v>
      </c>
      <c r="Y7">
        <v>1.8911539415344669</v>
      </c>
    </row>
    <row r="8" spans="1:25">
      <c r="A8" t="s">
        <v>153</v>
      </c>
      <c r="B8">
        <v>0.42</v>
      </c>
      <c r="C8" s="1">
        <v>1.1665916999999999E-7</v>
      </c>
      <c r="D8">
        <v>1.6802566000000001</v>
      </c>
      <c r="E8">
        <v>0.82819158000000004</v>
      </c>
      <c r="F8">
        <v>3.8217385999999999E-2</v>
      </c>
      <c r="G8">
        <v>0.95285871</v>
      </c>
      <c r="H8" s="1">
        <v>7.6662388999999996E-6</v>
      </c>
      <c r="I8">
        <v>2.0845883000000001E-4</v>
      </c>
      <c r="J8">
        <v>3.0133531000000002E-2</v>
      </c>
      <c r="K8">
        <v>5160.4787999999999</v>
      </c>
      <c r="L8">
        <v>1.7648925</v>
      </c>
      <c r="M8">
        <v>26.137187000000001</v>
      </c>
      <c r="N8">
        <v>17.792811</v>
      </c>
      <c r="O8">
        <v>0.65581794999999998</v>
      </c>
      <c r="P8">
        <v>3.6197035000000002E-2</v>
      </c>
      <c r="Q8">
        <v>2.1761997000000002</v>
      </c>
      <c r="R8">
        <v>-5.8094899999999998E-2</v>
      </c>
      <c r="S8">
        <v>5.5342561000000003</v>
      </c>
      <c r="T8">
        <v>3.0686206000000001E-2</v>
      </c>
      <c r="U8" s="27">
        <v>0.41</v>
      </c>
      <c r="V8">
        <v>0.26</v>
      </c>
      <c r="W8">
        <v>0.82986507057459158</v>
      </c>
      <c r="X8">
        <v>1.3251692714993106</v>
      </c>
      <c r="Y8">
        <v>0.40281762413880179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75F3D-188E-439E-856C-D071AB652F6D}">
  <dimension ref="A1:W16"/>
  <sheetViews>
    <sheetView workbookViewId="0">
      <selection activeCell="D4" sqref="D4"/>
    </sheetView>
  </sheetViews>
  <sheetFormatPr defaultRowHeight="14.4"/>
  <sheetData>
    <row r="1" spans="1:23">
      <c r="A1" t="s">
        <v>283</v>
      </c>
      <c r="B1" t="s">
        <v>360</v>
      </c>
      <c r="C1" t="s">
        <v>239</v>
      </c>
      <c r="D1" t="s">
        <v>240</v>
      </c>
      <c r="E1" t="s">
        <v>241</v>
      </c>
      <c r="F1" t="s">
        <v>242</v>
      </c>
      <c r="G1" t="s">
        <v>243</v>
      </c>
      <c r="H1" t="s">
        <v>244</v>
      </c>
      <c r="I1" t="s">
        <v>245</v>
      </c>
      <c r="J1" t="s">
        <v>246</v>
      </c>
      <c r="K1" t="s">
        <v>247</v>
      </c>
      <c r="L1" t="s">
        <v>248</v>
      </c>
      <c r="M1" t="s">
        <v>322</v>
      </c>
      <c r="N1" t="s">
        <v>323</v>
      </c>
      <c r="O1" t="s">
        <v>324</v>
      </c>
      <c r="P1" t="s">
        <v>325</v>
      </c>
      <c r="Q1" t="s">
        <v>326</v>
      </c>
      <c r="R1" t="s">
        <v>327</v>
      </c>
      <c r="S1" t="s">
        <v>328</v>
      </c>
      <c r="T1" t="s">
        <v>335</v>
      </c>
      <c r="U1" t="s">
        <v>357</v>
      </c>
      <c r="V1" t="s">
        <v>358</v>
      </c>
      <c r="W1" t="s">
        <v>359</v>
      </c>
    </row>
    <row r="2" spans="1:23">
      <c r="A2" t="s">
        <v>148</v>
      </c>
      <c r="B2">
        <v>0</v>
      </c>
      <c r="C2">
        <v>3.532916531787064E-7</v>
      </c>
      <c r="D2">
        <v>4.5091761345475083</v>
      </c>
      <c r="E2">
        <v>1.8617593819199876</v>
      </c>
      <c r="F2">
        <v>8.2778418810987797E-2</v>
      </c>
      <c r="G2">
        <v>0.86476597555496426</v>
      </c>
      <c r="H2">
        <v>7.2850959054811331E-6</v>
      </c>
      <c r="I2">
        <v>1.876710523343142E-4</v>
      </c>
      <c r="J2">
        <v>1.1328175214324013E-2</v>
      </c>
      <c r="K2">
        <v>4648.0639002085627</v>
      </c>
      <c r="L2">
        <v>4.6805517791213846</v>
      </c>
      <c r="M2">
        <v>75.439245281199419</v>
      </c>
      <c r="N2">
        <v>50.001540724291942</v>
      </c>
      <c r="O2">
        <v>6.5352998932613052E-2</v>
      </c>
      <c r="P2">
        <v>0.10785740446138016</v>
      </c>
      <c r="Q2">
        <v>5.7548636666731889</v>
      </c>
      <c r="R2">
        <v>8.2737781574131003E-2</v>
      </c>
      <c r="S2">
        <v>19.42689270526617</v>
      </c>
      <c r="T2">
        <v>1.7500536583074183E-2</v>
      </c>
      <c r="U2">
        <v>1.2282476732083787</v>
      </c>
      <c r="V2">
        <v>1.7465181282918185</v>
      </c>
      <c r="W2">
        <v>0.36083741819596254</v>
      </c>
    </row>
    <row r="3" spans="1:23">
      <c r="A3" t="s">
        <v>149</v>
      </c>
      <c r="B3">
        <v>24.333753000000002</v>
      </c>
      <c r="C3">
        <v>6.947747459190951E-7</v>
      </c>
      <c r="D3">
        <v>9.5549576453735448</v>
      </c>
      <c r="E3">
        <v>2.8001548400845278</v>
      </c>
      <c r="F3">
        <v>0.12895734774540704</v>
      </c>
      <c r="G3">
        <v>1.9586437833310864</v>
      </c>
      <c r="H3">
        <v>1.6139310953675883E-5</v>
      </c>
      <c r="I3">
        <v>4.238318714425846E-4</v>
      </c>
      <c r="J3">
        <v>1.7879012112505012E-2</v>
      </c>
      <c r="K3">
        <v>10506.771052073904</v>
      </c>
      <c r="L3">
        <v>9.311532444710009</v>
      </c>
      <c r="M3">
        <v>147.33237755332794</v>
      </c>
      <c r="N3">
        <v>111.23371212366087</v>
      </c>
      <c r="O3">
        <v>14.600248472142079</v>
      </c>
      <c r="P3">
        <v>0.15656797313560467</v>
      </c>
      <c r="Q3">
        <v>11.135037543296709</v>
      </c>
      <c r="R3">
        <v>8.7991123343470534E-2</v>
      </c>
      <c r="S3">
        <v>10.118820317749185</v>
      </c>
      <c r="T3">
        <v>1.8174011549255468E-2</v>
      </c>
      <c r="U3">
        <v>5.6689825580911606</v>
      </c>
      <c r="V3">
        <v>4.2767087935008332</v>
      </c>
      <c r="W3">
        <v>0.46651768175546809</v>
      </c>
    </row>
    <row r="4" spans="1:23">
      <c r="A4" t="s">
        <v>150</v>
      </c>
      <c r="B4">
        <v>1.1445909999999999</v>
      </c>
      <c r="C4">
        <v>2.8717922054122291E-7</v>
      </c>
      <c r="D4">
        <v>3.1394158537690098</v>
      </c>
      <c r="E4">
        <v>1.3405859788758547</v>
      </c>
      <c r="F4">
        <v>5.9297595515190482E-2</v>
      </c>
      <c r="G4">
        <v>0.40001272894658285</v>
      </c>
      <c r="H4">
        <v>3.5217226994195006E-6</v>
      </c>
      <c r="I4">
        <v>8.6499935416984309E-5</v>
      </c>
      <c r="J4">
        <v>8.3743189214716268E-3</v>
      </c>
      <c r="K4">
        <v>2139.1096882769757</v>
      </c>
      <c r="L4">
        <v>3.2147945063837886</v>
      </c>
      <c r="M4">
        <v>58.305567105407867</v>
      </c>
      <c r="N4">
        <v>34.085200992237311</v>
      </c>
      <c r="O4">
        <v>3.146340007947225</v>
      </c>
      <c r="P4">
        <v>8.5982662854130712E-2</v>
      </c>
      <c r="Q4">
        <v>6.4353965636965986</v>
      </c>
      <c r="R4">
        <v>7.3772349402039847E-2</v>
      </c>
      <c r="S4">
        <v>14.478874529270561</v>
      </c>
      <c r="T4">
        <v>6.815346640508208E-3</v>
      </c>
      <c r="U4">
        <v>10.561792779020022</v>
      </c>
      <c r="V4">
        <v>2.802162604070547</v>
      </c>
      <c r="W4">
        <v>0.28511149061397711</v>
      </c>
    </row>
    <row r="5" spans="1:23">
      <c r="A5" t="s">
        <v>151</v>
      </c>
      <c r="B5">
        <v>22.648911999999999</v>
      </c>
      <c r="C5">
        <v>7.7948160398788477E-7</v>
      </c>
      <c r="D5">
        <v>8.7552379943649079</v>
      </c>
      <c r="E5">
        <v>4.1527356892330429</v>
      </c>
      <c r="F5">
        <v>0.18226854182299324</v>
      </c>
      <c r="G5">
        <v>3.0012734008048003</v>
      </c>
      <c r="H5">
        <v>2.4744254590413149E-5</v>
      </c>
      <c r="I5">
        <v>6.5383226432416067E-4</v>
      </c>
      <c r="J5">
        <v>2.5574104206963266E-2</v>
      </c>
      <c r="K5">
        <v>16214.993773484337</v>
      </c>
      <c r="L5">
        <v>9.2583533685539887</v>
      </c>
      <c r="M5">
        <v>150.9476315647247</v>
      </c>
      <c r="N5">
        <v>93.986846232197891</v>
      </c>
      <c r="O5">
        <v>-0.64526116649074128</v>
      </c>
      <c r="P5">
        <v>0.25100370568969499</v>
      </c>
      <c r="Q5">
        <v>13.545158494543521</v>
      </c>
      <c r="R5">
        <v>0.29257832923067062</v>
      </c>
      <c r="S5">
        <v>43.517305969553661</v>
      </c>
      <c r="T5">
        <v>1.8641587691527517E-2</v>
      </c>
      <c r="U5">
        <v>0.80457741263679028</v>
      </c>
      <c r="V5">
        <v>2.5485236074570081</v>
      </c>
      <c r="W5">
        <v>0.28309141311835523</v>
      </c>
    </row>
    <row r="6" spans="1:23">
      <c r="A6" t="s">
        <v>285</v>
      </c>
      <c r="B6">
        <v>0</v>
      </c>
      <c r="C6">
        <v>1.1484900935183353E-6</v>
      </c>
      <c r="D6">
        <v>15.319124920531936</v>
      </c>
      <c r="E6">
        <v>6.1705612959937195</v>
      </c>
      <c r="F6">
        <v>0.27482941340234729</v>
      </c>
      <c r="G6">
        <v>3.3454184979867341</v>
      </c>
      <c r="H6">
        <v>2.782943963997358E-5</v>
      </c>
      <c r="I6">
        <v>7.263824581697192E-4</v>
      </c>
      <c r="J6">
        <v>3.7966781897635971E-2</v>
      </c>
      <c r="K6">
        <v>17986.52229495467</v>
      </c>
      <c r="L6">
        <v>13.070497812589098</v>
      </c>
      <c r="M6">
        <v>255.37946777507432</v>
      </c>
      <c r="N6">
        <v>163.44427325362747</v>
      </c>
      <c r="O6">
        <v>13.320934334077947</v>
      </c>
      <c r="P6">
        <v>0.32516338325249805</v>
      </c>
      <c r="Q6">
        <v>19.374174389347765</v>
      </c>
      <c r="R6">
        <v>-4.9418568686211715E-2</v>
      </c>
      <c r="S6">
        <v>58.964340983454846</v>
      </c>
      <c r="T6">
        <v>3.9169050711387723E-2</v>
      </c>
      <c r="U6">
        <v>23.032392052171357</v>
      </c>
      <c r="V6">
        <v>9.7125912723125865</v>
      </c>
      <c r="W6">
        <v>1.3062333272425548</v>
      </c>
    </row>
    <row r="7" spans="1:23">
      <c r="A7" t="s">
        <v>313</v>
      </c>
      <c r="B7">
        <v>2.3618679999999999</v>
      </c>
      <c r="C7">
        <v>1.1484900935183353E-6</v>
      </c>
      <c r="D7">
        <v>15.319124920531936</v>
      </c>
      <c r="E7">
        <v>6.1705612959937195</v>
      </c>
      <c r="F7">
        <v>0.27482941340234729</v>
      </c>
      <c r="G7">
        <v>3.3454184979867341</v>
      </c>
      <c r="H7">
        <v>2.782943963997358E-5</v>
      </c>
      <c r="I7">
        <v>7.263824581697192E-4</v>
      </c>
      <c r="J7">
        <v>3.7966781897635971E-2</v>
      </c>
      <c r="K7">
        <v>17986.52229495467</v>
      </c>
      <c r="L7">
        <v>13.070497812589098</v>
      </c>
      <c r="M7">
        <v>255.37946777507432</v>
      </c>
      <c r="N7">
        <v>163.44427325362747</v>
      </c>
      <c r="O7">
        <v>13.320934334077947</v>
      </c>
      <c r="P7">
        <v>0.32516338325249805</v>
      </c>
      <c r="Q7">
        <v>19.374174389347765</v>
      </c>
      <c r="R7">
        <v>-4.9418568686211715E-2</v>
      </c>
      <c r="S7">
        <v>58.964340983454846</v>
      </c>
      <c r="T7">
        <v>3.9169050711387723E-2</v>
      </c>
      <c r="U7">
        <v>23.032392052171357</v>
      </c>
      <c r="V7">
        <v>9.7125912723125865</v>
      </c>
      <c r="W7">
        <v>1.3062333272425548</v>
      </c>
    </row>
    <row r="8" spans="1:23">
      <c r="A8" t="s">
        <v>153</v>
      </c>
      <c r="B8">
        <v>49.510877000000001</v>
      </c>
      <c r="C8">
        <v>3.7497838982755375E-7</v>
      </c>
      <c r="D8">
        <v>4.7296166413958485</v>
      </c>
      <c r="E8">
        <v>2.1010883055401437</v>
      </c>
      <c r="F8">
        <v>9.3416973752833365E-2</v>
      </c>
      <c r="G8">
        <v>1.6908773591755712</v>
      </c>
      <c r="H8">
        <v>1.3835948692432904E-5</v>
      </c>
      <c r="I8">
        <v>3.6786938712595358E-4</v>
      </c>
      <c r="J8">
        <v>1.3216257559168311E-2</v>
      </c>
      <c r="K8">
        <v>9117.8805860807897</v>
      </c>
      <c r="L8">
        <v>4.7608719058476217</v>
      </c>
      <c r="M8">
        <v>80.719769719348278</v>
      </c>
      <c r="N8">
        <v>50.804545461177042</v>
      </c>
      <c r="O8">
        <v>2.1827222395462145</v>
      </c>
      <c r="P8">
        <v>0.11597782443710451</v>
      </c>
      <c r="Q8">
        <v>6.8914441669426347</v>
      </c>
      <c r="R8">
        <v>-7.1827595514758888E-3</v>
      </c>
      <c r="S8">
        <v>20.732262786796753</v>
      </c>
      <c r="T8">
        <v>8.3007457307486283E-3</v>
      </c>
      <c r="U8">
        <v>0.81642461883531303</v>
      </c>
      <c r="V8">
        <v>1.6367998294110511</v>
      </c>
      <c r="W8">
        <v>0.15052931475304937</v>
      </c>
    </row>
    <row r="10" spans="1:23">
      <c r="A10" s="30"/>
      <c r="C10" s="30"/>
    </row>
    <row r="11" spans="1:23">
      <c r="A11" s="30"/>
      <c r="C11" s="30"/>
    </row>
    <row r="12" spans="1:23">
      <c r="A12" s="30"/>
      <c r="C12" s="30"/>
    </row>
    <row r="13" spans="1:23">
      <c r="A13" s="30"/>
      <c r="C13" s="30"/>
    </row>
    <row r="14" spans="1:23">
      <c r="A14" s="30"/>
      <c r="C14" s="30"/>
    </row>
    <row r="15" spans="1:23">
      <c r="A15" s="30"/>
      <c r="C15" s="30"/>
    </row>
    <row r="16" spans="1:23">
      <c r="A16" s="30"/>
      <c r="C16" s="3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FE236-0233-4BB2-B28B-91A2FEB3CF1D}">
  <dimension ref="A1:S8"/>
  <sheetViews>
    <sheetView workbookViewId="0">
      <selection activeCell="A7" sqref="A7"/>
    </sheetView>
  </sheetViews>
  <sheetFormatPr defaultRowHeight="14.4"/>
  <sheetData>
    <row r="1" spans="1:19">
      <c r="A1" t="s">
        <v>238</v>
      </c>
      <c r="B1" s="2" t="s">
        <v>239</v>
      </c>
      <c r="C1" s="2" t="s">
        <v>240</v>
      </c>
      <c r="D1" s="2" t="s">
        <v>241</v>
      </c>
      <c r="E1" s="2" t="s">
        <v>242</v>
      </c>
      <c r="F1" s="2" t="s">
        <v>243</v>
      </c>
      <c r="G1" s="2" t="s">
        <v>244</v>
      </c>
      <c r="H1" s="2" t="s">
        <v>245</v>
      </c>
      <c r="I1" s="2" t="s">
        <v>246</v>
      </c>
      <c r="J1" s="2" t="s">
        <v>247</v>
      </c>
      <c r="K1" s="2" t="s">
        <v>248</v>
      </c>
      <c r="L1" t="s">
        <v>322</v>
      </c>
      <c r="M1" t="s">
        <v>323</v>
      </c>
      <c r="N1" t="s">
        <v>324</v>
      </c>
      <c r="O1" t="s">
        <v>325</v>
      </c>
      <c r="P1" t="s">
        <v>326</v>
      </c>
      <c r="Q1" t="s">
        <v>327</v>
      </c>
      <c r="R1" t="s">
        <v>328</v>
      </c>
      <c r="S1" t="s">
        <v>335</v>
      </c>
    </row>
    <row r="2" spans="1:19">
      <c r="A2" t="s">
        <v>148</v>
      </c>
      <c r="B2">
        <v>6.8611853248397271E-8</v>
      </c>
      <c r="C2">
        <v>1</v>
      </c>
      <c r="D2">
        <v>0.45810305402385593</v>
      </c>
      <c r="E2">
        <v>2.1140022334137754E-2</v>
      </c>
      <c r="F2">
        <v>0.30420624388281653</v>
      </c>
      <c r="G2">
        <v>2.5197752753017387E-6</v>
      </c>
      <c r="H2">
        <v>6.6386086440192011E-5</v>
      </c>
      <c r="I2">
        <v>1.6123325415653238E-2</v>
      </c>
      <c r="J2">
        <v>1642.1821185444696</v>
      </c>
      <c r="K2">
        <v>1.0831333937558176</v>
      </c>
      <c r="L2">
        <v>1</v>
      </c>
      <c r="M2">
        <v>0.69388082122232375</v>
      </c>
      <c r="N2">
        <v>7.7805419555709919E-4</v>
      </c>
      <c r="O2">
        <v>1.3338515770454529E-3</v>
      </c>
      <c r="P2">
        <v>7.2008380815892878E-2</v>
      </c>
      <c r="Q2">
        <v>2.6516124773305522E-2</v>
      </c>
      <c r="R2">
        <v>0.20548276012503944</v>
      </c>
      <c r="S2">
        <v>1</v>
      </c>
    </row>
    <row r="3" spans="1:19">
      <c r="A3" t="s">
        <v>149</v>
      </c>
      <c r="B3">
        <v>6.3676360181062388E-8</v>
      </c>
      <c r="C3">
        <v>1</v>
      </c>
      <c r="D3">
        <v>0.32515476044407449</v>
      </c>
      <c r="E3">
        <v>1.5541854585942256E-2</v>
      </c>
      <c r="F3">
        <v>0.32515723502038063</v>
      </c>
      <c r="G3">
        <v>2.6343893342226094E-6</v>
      </c>
      <c r="H3">
        <v>7.0752505398037808E-5</v>
      </c>
      <c r="I3">
        <v>1.2008993611910726E-2</v>
      </c>
      <c r="J3">
        <v>1751.8097180441243</v>
      </c>
      <c r="K3">
        <v>1.0168911927325228</v>
      </c>
      <c r="L3">
        <v>1</v>
      </c>
      <c r="M3">
        <v>0.77415647225789097</v>
      </c>
      <c r="N3">
        <v>8.7175690379103402E-2</v>
      </c>
      <c r="O3">
        <v>9.7107168753719124E-4</v>
      </c>
      <c r="P3">
        <v>6.9876398440668411E-2</v>
      </c>
      <c r="Q3">
        <v>1.4142815149636789E-2</v>
      </c>
      <c r="R3">
        <v>5.3677558543693292E-2</v>
      </c>
      <c r="S3">
        <v>1</v>
      </c>
    </row>
    <row r="4" spans="1:19">
      <c r="A4" t="s">
        <v>150</v>
      </c>
      <c r="B4">
        <v>8.0106385849769244E-8</v>
      </c>
      <c r="C4">
        <v>1</v>
      </c>
      <c r="D4">
        <v>0.47378647784151157</v>
      </c>
      <c r="E4">
        <v>2.1750725690218256E-2</v>
      </c>
      <c r="F4">
        <v>0.20211181121070906</v>
      </c>
      <c r="G4">
        <v>1.7495648548507486E-6</v>
      </c>
      <c r="H4">
        <v>4.3948485520939107E-5</v>
      </c>
      <c r="I4">
        <v>1.7119556538833115E-2</v>
      </c>
      <c r="J4">
        <v>1085.5020207250402</v>
      </c>
      <c r="K4">
        <v>1.0685293649566154</v>
      </c>
      <c r="L4">
        <v>1</v>
      </c>
      <c r="M4">
        <v>0.61522015550283615</v>
      </c>
      <c r="N4">
        <v>4.8720661806481512E-2</v>
      </c>
      <c r="O4">
        <v>1.3830300974428365E-3</v>
      </c>
      <c r="P4">
        <v>0.10473371747267074</v>
      </c>
      <c r="Q4">
        <v>3.0751265656038411E-2</v>
      </c>
      <c r="R4">
        <v>0.19919115621941252</v>
      </c>
      <c r="S4">
        <v>1</v>
      </c>
    </row>
    <row r="5" spans="1:19">
      <c r="A5" t="s">
        <v>151</v>
      </c>
      <c r="B5">
        <v>7.7965216095794966E-8</v>
      </c>
      <c r="C5">
        <v>1</v>
      </c>
      <c r="D5">
        <v>0.52626340341830824</v>
      </c>
      <c r="E5">
        <v>2.3973380485961031E-2</v>
      </c>
      <c r="F5">
        <v>0.54375633899570597</v>
      </c>
      <c r="G5">
        <v>4.4078839898239776E-6</v>
      </c>
      <c r="H5">
        <v>1.1911744493868799E-4</v>
      </c>
      <c r="I5">
        <v>1.8746678693377358E-2</v>
      </c>
      <c r="J5">
        <v>2950.4975533932034</v>
      </c>
      <c r="K5">
        <v>1.1034378780751695</v>
      </c>
      <c r="L5">
        <v>1</v>
      </c>
      <c r="M5">
        <v>0.64464587913368976</v>
      </c>
      <c r="N5">
        <v>-3.7969291489568257E-3</v>
      </c>
      <c r="O5">
        <v>1.534229438382209E-3</v>
      </c>
      <c r="P5">
        <v>8.3769270569422211E-2</v>
      </c>
      <c r="Q5">
        <v>4.6344795929576472E-2</v>
      </c>
      <c r="R5">
        <v>0.22750276929503044</v>
      </c>
      <c r="S5">
        <v>1</v>
      </c>
    </row>
    <row r="6" spans="1:19">
      <c r="A6" t="s">
        <v>285</v>
      </c>
      <c r="B6">
        <v>6.5653255901570114E-8</v>
      </c>
      <c r="C6">
        <v>1</v>
      </c>
      <c r="D6">
        <v>0.44691769369296275</v>
      </c>
      <c r="E6">
        <v>2.0659260332332143E-2</v>
      </c>
      <c r="F6">
        <v>0.34640426139291036</v>
      </c>
      <c r="G6">
        <v>2.8333109531489027E-6</v>
      </c>
      <c r="H6">
        <v>7.5632484591481888E-5</v>
      </c>
      <c r="I6">
        <v>1.5906026120063921E-2</v>
      </c>
      <c r="J6">
        <v>1870.5084366312981</v>
      </c>
      <c r="K6">
        <v>0.89030797265222317</v>
      </c>
      <c r="L6">
        <v>1</v>
      </c>
      <c r="M6">
        <v>0.69129270882675686</v>
      </c>
      <c r="N6">
        <v>4.833589736941335E-2</v>
      </c>
      <c r="O6">
        <v>1.225603368893058E-3</v>
      </c>
      <c r="P6">
        <v>7.3885970332942988E-2</v>
      </c>
      <c r="Q6">
        <v>-4.8271091084254366E-3</v>
      </c>
      <c r="R6">
        <v>0.19008693536956447</v>
      </c>
      <c r="S6">
        <v>1</v>
      </c>
    </row>
    <row r="7" spans="1:19">
      <c r="A7" t="s">
        <v>313</v>
      </c>
      <c r="B7">
        <v>6.5653255901570114E-8</v>
      </c>
      <c r="C7">
        <v>1</v>
      </c>
      <c r="D7">
        <v>0.44691769369296275</v>
      </c>
      <c r="E7">
        <v>2.0659260332332143E-2</v>
      </c>
      <c r="F7">
        <v>0.34640426139291036</v>
      </c>
      <c r="G7">
        <v>2.8333109531489027E-6</v>
      </c>
      <c r="H7">
        <v>7.5632484591481888E-5</v>
      </c>
      <c r="I7">
        <v>1.5906026120063921E-2</v>
      </c>
      <c r="J7">
        <v>1870.5084366312981</v>
      </c>
      <c r="K7">
        <v>0.89030797265222317</v>
      </c>
      <c r="L7">
        <v>1</v>
      </c>
      <c r="M7">
        <v>0.69129270882675686</v>
      </c>
      <c r="N7">
        <v>4.833589736941335E-2</v>
      </c>
      <c r="O7">
        <v>1.225603368893058E-3</v>
      </c>
      <c r="P7">
        <v>7.3885970332942988E-2</v>
      </c>
      <c r="Q7">
        <v>-4.8271091084254366E-3</v>
      </c>
      <c r="R7">
        <v>0.19008693536956447</v>
      </c>
      <c r="S7">
        <v>1</v>
      </c>
    </row>
    <row r="8" spans="1:19">
      <c r="A8" t="s">
        <v>153</v>
      </c>
      <c r="B8">
        <v>6.9429377631964066E-8</v>
      </c>
      <c r="C8">
        <v>1</v>
      </c>
      <c r="D8">
        <v>0.49289589459133798</v>
      </c>
      <c r="E8">
        <v>2.2744970024221298E-2</v>
      </c>
      <c r="F8">
        <v>0.5670911871436779</v>
      </c>
      <c r="G8">
        <v>4.5625405667205827E-6</v>
      </c>
      <c r="H8">
        <v>1.240636876534215E-4</v>
      </c>
      <c r="I8">
        <v>1.7933886407587984E-2</v>
      </c>
      <c r="J8">
        <v>3071.2444753973887</v>
      </c>
      <c r="K8">
        <v>1.0503708183619096</v>
      </c>
      <c r="L8">
        <v>1</v>
      </c>
      <c r="M8">
        <v>0.68074697556397323</v>
      </c>
      <c r="N8">
        <v>2.5091374599722608E-2</v>
      </c>
      <c r="O8">
        <v>1.3848864072480334E-3</v>
      </c>
      <c r="P8">
        <v>8.3260669941260329E-2</v>
      </c>
      <c r="Q8">
        <v>-2.2226913707278444E-3</v>
      </c>
      <c r="R8">
        <v>0.21173878045866221</v>
      </c>
      <c r="S8">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19B29-D354-4A3D-8530-B231F3BD2443}">
  <dimension ref="A1:T8"/>
  <sheetViews>
    <sheetView workbookViewId="0">
      <selection activeCell="B2" sqref="B2:B8"/>
    </sheetView>
  </sheetViews>
  <sheetFormatPr defaultRowHeight="14.4"/>
  <sheetData>
    <row r="1" spans="1:20">
      <c r="A1" t="s">
        <v>283</v>
      </c>
      <c r="B1" t="s">
        <v>154</v>
      </c>
      <c r="C1" t="s">
        <v>239</v>
      </c>
      <c r="D1" t="s">
        <v>240</v>
      </c>
      <c r="E1" t="s">
        <v>241</v>
      </c>
      <c r="F1" t="s">
        <v>242</v>
      </c>
      <c r="G1" t="s">
        <v>243</v>
      </c>
      <c r="H1" t="s">
        <v>244</v>
      </c>
      <c r="I1" t="s">
        <v>245</v>
      </c>
      <c r="J1" t="s">
        <v>246</v>
      </c>
      <c r="K1" t="s">
        <v>247</v>
      </c>
      <c r="L1" t="s">
        <v>248</v>
      </c>
      <c r="M1" t="s">
        <v>322</v>
      </c>
      <c r="N1" t="s">
        <v>323</v>
      </c>
      <c r="O1" t="s">
        <v>324</v>
      </c>
      <c r="P1" t="s">
        <v>325</v>
      </c>
      <c r="Q1" t="s">
        <v>326</v>
      </c>
      <c r="R1" t="s">
        <v>327</v>
      </c>
      <c r="S1" t="s">
        <v>328</v>
      </c>
      <c r="T1" t="s">
        <v>335</v>
      </c>
    </row>
    <row r="2" spans="1:20">
      <c r="A2" t="s">
        <v>148</v>
      </c>
      <c r="B2">
        <v>0</v>
      </c>
      <c r="C2">
        <v>7.8349490602490922E-8</v>
      </c>
      <c r="D2">
        <v>1</v>
      </c>
      <c r="E2">
        <v>0.41288238169627706</v>
      </c>
      <c r="F2">
        <v>1.8357770098349574E-2</v>
      </c>
      <c r="G2">
        <v>0.19177915205606455</v>
      </c>
      <c r="H2">
        <v>1.6156157329197312E-6</v>
      </c>
      <c r="I2">
        <v>4.1619809635834242E-5</v>
      </c>
      <c r="J2">
        <v>2.5122494389899857E-3</v>
      </c>
      <c r="K2">
        <v>1030.8011400568171</v>
      </c>
      <c r="L2">
        <v>1.0380059770255732</v>
      </c>
      <c r="M2">
        <v>1</v>
      </c>
      <c r="N2">
        <v>0.66280542094385275</v>
      </c>
      <c r="O2">
        <v>8.6629974476825776E-4</v>
      </c>
      <c r="P2">
        <v>1.4297253910659129E-3</v>
      </c>
      <c r="Q2">
        <v>7.628474602605001E-2</v>
      </c>
      <c r="R2">
        <v>1.0967472071827643E-3</v>
      </c>
      <c r="S2">
        <v>0.25751706068708036</v>
      </c>
      <c r="T2">
        <v>1</v>
      </c>
    </row>
    <row r="3" spans="1:20">
      <c r="A3" t="s">
        <v>149</v>
      </c>
      <c r="B3">
        <v>24.333753000000002</v>
      </c>
      <c r="C3">
        <v>7.2713534869042677E-8</v>
      </c>
      <c r="D3">
        <v>1</v>
      </c>
      <c r="E3">
        <v>0.29305779722010045</v>
      </c>
      <c r="F3">
        <v>1.3496380887449293E-2</v>
      </c>
      <c r="G3">
        <v>0.2049871758750757</v>
      </c>
      <c r="H3">
        <v>1.6891033485104406E-6</v>
      </c>
      <c r="I3">
        <v>4.4357273697367093E-5</v>
      </c>
      <c r="J3">
        <v>1.8711764903700987E-3</v>
      </c>
      <c r="K3">
        <v>1099.6146128561047</v>
      </c>
      <c r="L3">
        <v>0.97452367559353836</v>
      </c>
      <c r="M3">
        <v>1</v>
      </c>
      <c r="N3">
        <v>0.75498484427429458</v>
      </c>
      <c r="O3">
        <v>9.9097351950744303E-2</v>
      </c>
      <c r="P3">
        <v>1.0626854445414337E-3</v>
      </c>
      <c r="Q3">
        <v>7.5577668182720451E-2</v>
      </c>
      <c r="R3">
        <v>5.9722869341208827E-4</v>
      </c>
      <c r="S3">
        <v>6.8680221454286983E-2</v>
      </c>
      <c r="T3">
        <v>1</v>
      </c>
    </row>
    <row r="4" spans="1:20">
      <c r="A4" t="s">
        <v>150</v>
      </c>
      <c r="B4">
        <v>1.1445909999999999</v>
      </c>
      <c r="C4">
        <v>9.1475368004035306E-8</v>
      </c>
      <c r="D4">
        <v>1</v>
      </c>
      <c r="E4">
        <v>0.42701764956255195</v>
      </c>
      <c r="F4">
        <v>1.8888098384290515E-2</v>
      </c>
      <c r="G4">
        <v>0.12741629257759832</v>
      </c>
      <c r="H4">
        <v>1.1217764270354671E-6</v>
      </c>
      <c r="I4">
        <v>2.7552875899870751E-5</v>
      </c>
      <c r="J4">
        <v>2.6674767891669659E-3</v>
      </c>
      <c r="K4">
        <v>681.37188187696711</v>
      </c>
      <c r="L4">
        <v>1.0240104070712017</v>
      </c>
      <c r="M4">
        <v>1</v>
      </c>
      <c r="N4">
        <v>0.58459599459201372</v>
      </c>
      <c r="O4">
        <v>5.3962943234204482E-2</v>
      </c>
      <c r="P4">
        <v>1.4746904476323288E-3</v>
      </c>
      <c r="Q4">
        <v>0.11037362096251205</v>
      </c>
      <c r="R4">
        <v>1.2652711064223133E-3</v>
      </c>
      <c r="S4">
        <v>0.24832747965721508</v>
      </c>
      <c r="T4">
        <v>1</v>
      </c>
    </row>
    <row r="5" spans="1:20">
      <c r="A5" t="s">
        <v>151</v>
      </c>
      <c r="B5">
        <v>22.648911999999999</v>
      </c>
      <c r="C5">
        <v>8.9030315850874521E-8</v>
      </c>
      <c r="D5">
        <v>1</v>
      </c>
      <c r="E5">
        <v>0.47431442662162338</v>
      </c>
      <c r="F5">
        <v>2.0818228121303593E-2</v>
      </c>
      <c r="G5">
        <v>0.34279746624095142</v>
      </c>
      <c r="H5">
        <v>2.8262229543433522E-6</v>
      </c>
      <c r="I5">
        <v>7.4678982426860775E-5</v>
      </c>
      <c r="J5">
        <v>2.921006170640182E-3</v>
      </c>
      <c r="K5">
        <v>1852.0334665854564</v>
      </c>
      <c r="L5">
        <v>1.0574645000527567</v>
      </c>
      <c r="M5">
        <v>1</v>
      </c>
      <c r="N5">
        <v>0.62264538540902747</v>
      </c>
      <c r="O5">
        <v>-4.274735282706707E-3</v>
      </c>
      <c r="P5">
        <v>1.6628528920115406E-3</v>
      </c>
      <c r="Q5">
        <v>8.9734157165198752E-2</v>
      </c>
      <c r="R5">
        <v>1.9382770448121687E-3</v>
      </c>
      <c r="S5">
        <v>0.28829406277165676</v>
      </c>
      <c r="T5">
        <v>1</v>
      </c>
    </row>
    <row r="6" spans="1:20">
      <c r="A6" t="s">
        <v>285</v>
      </c>
      <c r="B6">
        <v>0</v>
      </c>
      <c r="C6">
        <v>7.4970998635766422E-8</v>
      </c>
      <c r="D6">
        <v>1</v>
      </c>
      <c r="E6">
        <v>0.40280116051037823</v>
      </c>
      <c r="F6">
        <v>1.7940281499630475E-2</v>
      </c>
      <c r="G6">
        <v>0.21838182763970621</v>
      </c>
      <c r="H6">
        <v>1.8166468244327916E-6</v>
      </c>
      <c r="I6">
        <v>4.7416707020657713E-5</v>
      </c>
      <c r="J6">
        <v>2.4783910369938823E-3</v>
      </c>
      <c r="K6">
        <v>1174.12204602155</v>
      </c>
      <c r="L6">
        <v>0.85321438922865322</v>
      </c>
      <c r="M6">
        <v>1</v>
      </c>
      <c r="N6">
        <v>0.64000553637922508</v>
      </c>
      <c r="O6">
        <v>5.216133642274786E-2</v>
      </c>
      <c r="P6">
        <v>1.2732557792738686E-3</v>
      </c>
      <c r="Q6">
        <v>7.5864260185597943E-2</v>
      </c>
      <c r="R6">
        <v>-1.9351034410384612E-4</v>
      </c>
      <c r="S6">
        <v>0.23088912157725905</v>
      </c>
      <c r="T6">
        <v>1</v>
      </c>
    </row>
    <row r="7" spans="1:20">
      <c r="A7" t="s">
        <v>313</v>
      </c>
      <c r="B7">
        <v>2.3618679999999999</v>
      </c>
      <c r="C7">
        <v>7.4970998635766422E-8</v>
      </c>
      <c r="D7">
        <v>1</v>
      </c>
      <c r="E7">
        <v>0.40280116051037823</v>
      </c>
      <c r="F7">
        <v>1.7940281499630475E-2</v>
      </c>
      <c r="G7">
        <v>0.21838182763970621</v>
      </c>
      <c r="H7">
        <v>1.8166468244327916E-6</v>
      </c>
      <c r="I7">
        <v>4.7416707020657713E-5</v>
      </c>
      <c r="J7">
        <v>2.4783910369938823E-3</v>
      </c>
      <c r="K7">
        <v>1174.12204602155</v>
      </c>
      <c r="L7">
        <v>0.85321438922865322</v>
      </c>
      <c r="M7">
        <v>1</v>
      </c>
      <c r="N7">
        <v>0.64000553637922508</v>
      </c>
      <c r="O7">
        <v>5.216133642274786E-2</v>
      </c>
      <c r="P7">
        <v>1.2732557792738686E-3</v>
      </c>
      <c r="Q7">
        <v>7.5864260185597943E-2</v>
      </c>
      <c r="R7">
        <v>-1.9351034410384612E-4</v>
      </c>
      <c r="S7">
        <v>0.23088912157725905</v>
      </c>
      <c r="T7">
        <v>1</v>
      </c>
    </row>
    <row r="8" spans="1:20">
      <c r="A8" t="s">
        <v>153</v>
      </c>
      <c r="B8">
        <v>49.510877000000001</v>
      </c>
      <c r="C8">
        <v>7.9283040943649637E-8</v>
      </c>
      <c r="D8">
        <v>1</v>
      </c>
      <c r="E8">
        <v>0.44424072072785387</v>
      </c>
      <c r="F8">
        <v>1.9751489567928965E-2</v>
      </c>
      <c r="G8">
        <v>0.35750833257313286</v>
      </c>
      <c r="H8">
        <v>2.9253848126577782E-6</v>
      </c>
      <c r="I8">
        <v>7.7779958719314822E-5</v>
      </c>
      <c r="J8">
        <v>2.7943612688380178E-3</v>
      </c>
      <c r="K8">
        <v>1927.8265613066344</v>
      </c>
      <c r="L8">
        <v>1.0066084139205305</v>
      </c>
      <c r="M8">
        <v>1</v>
      </c>
      <c r="N8">
        <v>0.62939408323162438</v>
      </c>
      <c r="O8">
        <v>2.7040739178707328E-2</v>
      </c>
      <c r="P8">
        <v>1.436795779278654E-3</v>
      </c>
      <c r="Q8">
        <v>8.5374923527448784E-2</v>
      </c>
      <c r="R8">
        <v>-8.8983895475041271E-5</v>
      </c>
      <c r="S8">
        <v>0.25684244217841584</v>
      </c>
      <c r="T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Processes</vt:lpstr>
      <vt:lpstr>Materials</vt:lpstr>
      <vt:lpstr>Mines Northey1</vt:lpstr>
      <vt:lpstr>Mines Northey2</vt:lpstr>
      <vt:lpstr>Mines Total</vt:lpstr>
      <vt:lpstr>Conc Ecoinvent</vt:lpstr>
      <vt:lpstr>SX-EW Ecoinvent</vt:lpstr>
      <vt:lpstr>Conc Mult</vt:lpstr>
      <vt:lpstr>SX-EW Mult</vt:lpstr>
      <vt:lpstr>Ref_Metals</vt:lpstr>
      <vt:lpstr>Scrap Refining1</vt:lpstr>
      <vt:lpstr>Scrap Ecoinvent</vt:lpstr>
      <vt:lpstr>Primary Refinery Ecoinvent</vt:lpstr>
      <vt:lpstr>Semis</vt:lpstr>
      <vt:lpstr>Semis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JR</cp:lastModifiedBy>
  <dcterms:created xsi:type="dcterms:W3CDTF">2019-12-06T17:12:25Z</dcterms:created>
  <dcterms:modified xsi:type="dcterms:W3CDTF">2021-03-12T01:34:32Z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{08B4FA11-FF9E-4760-818A-1EC5B2AD4FEC}</vt:lpwstr>
  </property>
</Properties>
</file>