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BF5C5F8C-063E-5147-A73B-A3B122D7F66E}" xr6:coauthVersionLast="47" xr6:coauthVersionMax="47" xr10:uidLastSave="{00000000-0000-0000-0000-000000000000}"/>
  <bookViews>
    <workbookView xWindow="0" yWindow="500" windowWidth="28800" windowHeight="16040" activeTab="3"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6" l="1"/>
  <c r="D7" i="6"/>
  <c r="D12" i="6"/>
  <c r="D14" i="6"/>
  <c r="D15" i="6"/>
  <c r="D16" i="6"/>
  <c r="D19" i="6"/>
  <c r="D20" i="6"/>
  <c r="D22" i="6"/>
  <c r="D23" i="6"/>
  <c r="D24" i="6"/>
  <c r="D27" i="6"/>
  <c r="D28" i="6"/>
  <c r="D30" i="6"/>
  <c r="D31" i="6"/>
  <c r="D32" i="6"/>
  <c r="L3" i="6"/>
  <c r="L4" i="6"/>
  <c r="D5" i="6" s="1"/>
  <c r="L5" i="6"/>
  <c r="D6" i="6" s="1"/>
  <c r="L6" i="6"/>
  <c r="L7" i="6"/>
  <c r="D8" i="6" s="1"/>
  <c r="L8" i="6"/>
  <c r="D9" i="6" s="1"/>
  <c r="L9" i="6"/>
  <c r="D10" i="6" s="1"/>
  <c r="L10" i="6"/>
  <c r="D11" i="6" s="1"/>
  <c r="L11" i="6"/>
  <c r="L12" i="6"/>
  <c r="D13" i="6" s="1"/>
  <c r="L13" i="6"/>
  <c r="L14" i="6"/>
  <c r="L15" i="6"/>
  <c r="L16" i="6"/>
  <c r="D17" i="6" s="1"/>
  <c r="L17" i="6"/>
  <c r="D18" i="6" s="1"/>
  <c r="L18" i="6"/>
  <c r="L19" i="6"/>
  <c r="L20" i="6"/>
  <c r="D21" i="6" s="1"/>
  <c r="L21" i="6"/>
  <c r="L22" i="6"/>
  <c r="L23" i="6"/>
  <c r="L24" i="6"/>
  <c r="D25" i="6" s="1"/>
  <c r="L25" i="6"/>
  <c r="D26" i="6" s="1"/>
  <c r="L26" i="6"/>
  <c r="L27" i="6"/>
  <c r="L28" i="6"/>
  <c r="D29" i="6" s="1"/>
  <c r="L29" i="6"/>
  <c r="L30" i="6"/>
  <c r="L31" i="6"/>
  <c r="L2" i="6"/>
  <c r="D3" i="6" s="1"/>
  <c r="F4" i="3"/>
  <c r="F5" i="3"/>
  <c r="F6" i="3"/>
  <c r="F7" i="3"/>
  <c r="F8" i="3"/>
  <c r="F9" i="3"/>
  <c r="F10" i="3"/>
  <c r="F11" i="3"/>
  <c r="F12" i="3"/>
  <c r="F13" i="3"/>
  <c r="F14" i="3"/>
  <c r="F15" i="3"/>
  <c r="F16" i="3"/>
  <c r="F17" i="3"/>
  <c r="F18" i="3"/>
  <c r="F19" i="3"/>
  <c r="F20" i="3"/>
  <c r="F21" i="3"/>
  <c r="F3" i="3"/>
  <c r="E32" i="7" l="1"/>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C39" i="17"/>
  <c r="D39" i="17"/>
  <c r="D41" i="17"/>
  <c r="C41" i="17"/>
  <c r="Q39" i="17"/>
  <c r="P39" i="17"/>
  <c r="O39" i="17"/>
  <c r="N39" i="17"/>
  <c r="M39" i="17"/>
  <c r="L39" i="17"/>
  <c r="K39" i="17"/>
  <c r="E39" i="17"/>
  <c r="Q41" i="17"/>
  <c r="P41" i="17"/>
  <c r="O41" i="17"/>
  <c r="N41" i="17"/>
  <c r="M41" i="17"/>
  <c r="E32" i="17"/>
  <c r="E31" i="17"/>
  <c r="O10" i="17"/>
  <c r="I11" i="17"/>
  <c r="I10" i="17"/>
  <c r="I7" i="17" s="1"/>
  <c r="I9" i="17"/>
  <c r="I8" i="17"/>
  <c r="J7" i="17"/>
  <c r="M7" i="17"/>
  <c r="M11" i="17"/>
  <c r="M32" i="17" s="1"/>
  <c r="M10" i="17"/>
  <c r="M9" i="17"/>
  <c r="M42" i="17"/>
  <c r="M43" i="17" s="1"/>
  <c r="O6" i="17"/>
  <c r="C40" i="17"/>
  <c r="M31" i="17" l="1"/>
  <c r="C21" i="5"/>
  <c r="M21" i="5"/>
  <c r="Q43" i="17" l="1"/>
  <c r="O43" i="17"/>
  <c r="N43" i="17"/>
  <c r="E43" i="17"/>
  <c r="C38" i="17"/>
  <c r="C35" i="17"/>
  <c r="S10" i="17"/>
  <c r="E10" i="17"/>
  <c r="C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<sst xmlns="http://schemas.openxmlformats.org/spreadsheetml/2006/main" count="786" uniqueCount="430">
  <si>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</si>
  <si>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</si>
  <si>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</si>
  <si>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</si>
  <si>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</si>
  <si>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</si>
  <si>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</si>
  <si>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</si>
  <si>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</si>
  <si>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</si>
  <si>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</si>
  <si>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</si>
  <si>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</si>
  <si>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</si>
  <si>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</si>
  <si>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</si>
  <si>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</si>
  <si>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</si>
  <si>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</si>
  <si>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</si>
  <si>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</si>
  <si>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</si>
  <si>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</si>
  <si>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</si>
  <si>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</si>
  <si>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</si>
  <si>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</si>
  <si>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</si>
  <si>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</si>
  <si>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</si>
  <si>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</si>
  <si>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</si>
  <si>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</si>
  <si>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</si>
  <si>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</si>
  <si>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</si>
  <si>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</si>
  <si>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</si>
  <si>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</si>
  <si>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</si>
  <si>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</si>
  <si>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</si>
  <si>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</si>
  <si>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</si>
  <si>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</si>
  <si>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</si>
  <si>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</si>
  <si>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</si>
  <si>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</si>
  <si>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</si>
  <si>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</si>
  <si>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</si>
  <si>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</si>
  <si>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</si>
  <si>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</si>
  <si>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</si>
  <si>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</si>
  <si>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</si>
  <si>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</si>
  <si>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</si>
  <si>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</si>
  <si>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</si>
  <si>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</si>
  <si>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</si>
  <si>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</si>
  <si>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</si>
  <si>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</si>
  <si>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</si>
  <si>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</si>
  <si>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</si>
  <si>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</si>
  <si>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</si>
  <si>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</si>
  <si>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</si>
  <si>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</si>
  <si>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</si>
  <si>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</si>
  <si>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</si>
  <si>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</si>
  <si>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</si>
  <si>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</si>
  <si>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</si>
  <si>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</si>
  <si>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</si>
  <si>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</si>
  <si>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</si>
  <si>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</si>
  <si>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</si>
  <si>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</si>
  <si>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</si>
  <si>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</si>
  <si>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</si>
  <si>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</si>
  <si>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</si>
  <si>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</si>
  <si>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</si>
  <si>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</si>
  <si>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</si>
  <si>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</si>
  <si>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</si>
  <si>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</si>
  <si>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</si>
  <si>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</si>
  <si>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</si>
  <si>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</si>
  <si>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</si>
  <si>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</si>
  <si>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</si>
  <si>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</si>
  <si>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</si>
  <si>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</si>
  <si>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</si>
  <si>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</si>
  <si>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</si>
  <si>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</si>
  <si>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</si>
  <si>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</si>
  <si>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</si>
  <si>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</si>
  <si>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</si>
  <si>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</si>
  <si>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</si>
  <si>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</si>
  <si>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</si>
  <si>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</si>
  <si>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</si>
  <si>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</si>
  <si>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</si>
  <si>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</si>
  <si>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</si>
  <si>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</si>
  <si>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</si>
  <si>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</si>
  <si>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</si>
  <si>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</si>
  <si>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</si>
  <si>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</si>
  <si>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</si>
  <si>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</si>
  <si>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</si>
  <si>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</si>
  <si>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</si>
  <si>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</si>
  <si>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</si>
  <si>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</si>
  <si>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</si>
  <si>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</si>
  <si>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</si>
  <si>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</si>
  <si>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</si>
  <si>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</si>
  <si>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</si>
  <si>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</si>
  <si>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</si>
  <si>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</si>
  <si>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</si>
  <si>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</si>
  <si>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</si>
  <si>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</si>
  <si>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</si>
  <si>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</si>
  <si>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</si>
  <si>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</si>
  <si>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</si>
  <si>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</si>
  <si>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</si>
  <si>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</si>
  <si>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</si>
  <si>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</si>
  <si>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</si>
  <si>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</si>
  <si>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</si>
  <si>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</si>
  <si>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</si>
  <si>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</si>
  <si>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</si>
  <si>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</si>
  <si>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</si>
  <si>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</si>
  <si>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</si>
  <si>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</si>
  <si>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</si>
  <si>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</si>
  <si>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</si>
  <si>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</si>
  <si>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</si>
  <si>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</si>
  <si>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</si>
  <si>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</si>
  <si>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</si>
  <si>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</si>
  <si>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</si>
  <si>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</si>
  <si>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</si>
  <si>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</si>
  <si>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</si>
  <si>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</si>
  <si>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</si>
  <si>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</si>
  <si>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</si>
  <si>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</si>
  <si>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</si>
  <si>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</si>
  <si>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</si>
  <si>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</si>
  <si>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</si>
  <si>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</si>
  <si>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</si>
  <si>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</si>
  <si>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</si>
  <si>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</si>
  <si>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</si>
  <si>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</si>
  <si>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</si>
  <si>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</si>
  <si>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</si>
  <si>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</si>
  <si>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</si>
  <si>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</si>
  <si>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</si>
  <si>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https://www.statista.com/statistics/1131866/china-zinc-slab-consumption-volume/</t>
  </si>
  <si>
    <t>https://www.imoa.info/molybdenum/molybdenum-global-production-use.php</t>
  </si>
  <si>
    <t>tungsten carbide products 2016</t>
  </si>
  <si>
    <t>sputtering targets</t>
  </si>
  <si>
    <t>jewelry</t>
  </si>
  <si>
    <t>solar</t>
  </si>
  <si>
    <t>steels &amp; superalloys 2016</t>
  </si>
  <si>
    <t>alloy additives //https://www.sciencedirect.com/science/article/pii/S0921344917301556</t>
  </si>
  <si>
    <t>foundries</t>
  </si>
  <si>
    <t>tungsten metal products 2016</t>
  </si>
  <si>
    <t>chemicals and carbides</t>
  </si>
  <si>
    <t>silverware</t>
  </si>
  <si>
    <t>mo-metals</t>
  </si>
  <si>
    <t>chemicals &amp; others 2016</t>
  </si>
  <si>
    <t>mill produts</t>
  </si>
  <si>
    <t xml:space="preserve">chemicals </t>
  </si>
  <si>
    <t>capacitors</t>
  </si>
  <si>
    <t>https://www.sprott.com/media/2268/world-silver-survey-2019.pdf</t>
  </si>
  <si>
    <t>nickel alloys</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</si>
  <si>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</si>
  <si>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</si>
  <si>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</si>
  <si>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</si>
  <si>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</si>
  <si>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</si>
  <si>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</si>
  <si>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</si>
  <si>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</si>
  <si>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</si>
  <si>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</si>
  <si>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</si>
  <si>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</si>
  <si>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</si>
  <si>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</si>
  <si>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</si>
  <si>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</si>
  <si>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</si>
  <si>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</si>
  <si>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</si>
  <si>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</si>
  <si>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</si>
  <si>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</si>
  <si>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</si>
  <si>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</si>
  <si>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</si>
  <si>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</si>
  <si>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</si>
  <si>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</si>
  <si>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</si>
  <si>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</si>
  <si>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</si>
  <si>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</si>
  <si>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</si>
  <si>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</si>
  <si>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</si>
  <si>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</si>
  <si>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</si>
  <si>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</si>
  <si>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</si>
  <si>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</si>
  <si>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</si>
  <si>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</si>
  <si>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</si>
  <si>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</si>
  <si>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</si>
  <si>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</si>
  <si>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</si>
  <si>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</si>
  <si>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</si>
  <si>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</si>
  <si>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</si>
  <si>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</si>
  <si>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</si>
  <si>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</si>
  <si>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</si>
  <si>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</si>
  <si>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</si>
  <si>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</si>
  <si>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</si>
  <si>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</si>
  <si>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</si>
  <si>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</si>
  <si>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</si>
  <si>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</si>
  <si>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</si>
  <si>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</si>
  <si>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</si>
  <si>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</si>
  <si>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</si>
  <si>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</si>
  <si>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</si>
  <si>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</si>
  <si>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</si>
  <si>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</si>
  <si>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</si>
  <si>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</si>
  <si>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</si>
  <si>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</si>
  <si>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</si>
  <si>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</si>
  <si>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International Zinc Association Publication: Zinc Recycling 2050 Demand and Supply, https://www.zinc.org/wp-content/uploads/sites/24/2022/03/2050-Demand-Supply_VF_3_22.pdf, figure 4</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</si>
  <si>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</si>
  <si>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</si>
  <si>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</si>
  <si>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</si>
  <si>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</si>
  <si>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</si>
  <si>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</si>
  <si>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</si>
  <si>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https://www.argusmedia.com/en/news/2222244-eu-tantalum-prices-rebound-on-higher-input-costs, https://www.statista.com/statistics/1009173/tantalum-price/, reported 161 USD/kg</t>
  </si>
  <si>
    <t>https://www.argusmedia.com/en/news/2222244-eu-tantalum-prices-rebound-on-higher-input-costs, reported 135 USD/lb</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</si>
  <si>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</si>
  <si>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</si>
  <si>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</si>
  <si>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</si>
  <si>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</si>
  <si>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</si>
  <si>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</si>
  <si>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</si>
  <si>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</si>
  <si>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</si>
  <si>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</si>
  <si>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</si>
  <si>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</si>
  <si>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</si>
  <si>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</si>
  <si>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</si>
  <si>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</si>
  <si>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</si>
  <si>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</si>
  <si>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</si>
  <si>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</si>
  <si>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</si>
  <si>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</si>
  <si>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</si>
  <si>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</si>
  <si>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</si>
  <si>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</si>
  <si>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</si>
  <si>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</si>
  <si>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Description</t>
  </si>
  <si>
    <t>Future average growth rate of the underlying volume drivers</t>
  </si>
  <si>
    <t>Historical average growth rate of the underlying volume drivers</t>
  </si>
  <si>
    <t>Total commodity demand (consumption) in 2019</t>
  </si>
  <si>
    <t>Fraction of total demand (consumption) coming from China</t>
  </si>
  <si>
    <t>Fabrication efficiency of semifabrication - transport</t>
  </si>
  <si>
    <t>Fabrication efficiency of semifabrication - other</t>
  </si>
  <si>
    <t>Mean product lifetime of sector - construction</t>
  </si>
  <si>
    <t>Sectoral fraction of scrap generated available for use, or the product of collection rate and sorting efficiency - other</t>
  </si>
  <si>
    <t>Global recycling input rate (fraction of consumption coming from scrap, including post-consumer, post-industrial, and refined scrap</t>
  </si>
  <si>
    <t>China recycling input rate (fraction of consumption coming from scrap, including post-consumer, post-industrial, and refined scrap</t>
  </si>
  <si>
    <t>Fraction of total refined commodity production, global (will always be 1)</t>
  </si>
  <si>
    <t>China fraction of total refined commodity production</t>
  </si>
  <si>
    <t xml:space="preserve">Fraction of China's scrap consumption that first undergoes a refining process to remove impurities (the remainder being directly remelted/blended with primary to reach target composition). Currently not a very relevant metric since we don't have the composition-based model integrated. </t>
  </si>
  <si>
    <t xml:space="preserve">Fraction of global scrap consumption that first undergoes a refining process to remove impurities (the remainder being directly remelted/blended with primary to reach target composition). Currently not a very relevant metric since we don't have the composition-based model integrated. </t>
  </si>
  <si>
    <t>Fraction of global mine production coming from SX-EW process, or any other process that produces the refined product directly (e.g. lithium brines)</t>
  </si>
  <si>
    <t>Fraction of China's mine production coming from SX-EW process, or any other process that produces the refined product directly (e.g. lithium brines)</t>
  </si>
  <si>
    <t>Total commodity production in 2019 (mine production plus scrap supply)</t>
  </si>
  <si>
    <t>Fraction of post-industrial scrap that is sold on the open market as new scrap, where the remainder of fabrication efficiency losses are runaround/home scrap</t>
  </si>
  <si>
    <t>The natural log of mine production is normally distributed; this is the exponentiated mean of that distribution.</t>
  </si>
  <si>
    <t>The natural log of mine production is normally distributed; this is the standard deviation of that distribution.</t>
  </si>
  <si>
    <t>The natural log of ore grade is normally distributed; this is the exponentiated mean of that distribution.</t>
  </si>
  <si>
    <t>The mean scrap spread (difference between refined price and scrap price) in 2019, choosing the highest-grade scrap for which data were available. See commodity-specific notes for more details.</t>
  </si>
  <si>
    <t>The mean price of the refined commodity in 2019 (see commodity-level notes for deviations from elemental composition)</t>
  </si>
  <si>
    <t>Fraction of mines that are primarily categorized as stockpile mines</t>
  </si>
  <si>
    <t>Fraction of mines that are primarily categorized as placer mines</t>
  </si>
  <si>
    <t>Fraction of mines that are primarily categorized as underground mines</t>
  </si>
  <si>
    <t>Fraction of mines that are primarily categorized as open pit mines</t>
  </si>
  <si>
    <t>Fraction of mines that are primarily categorized as tailings mines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</si>
  <si>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</si>
  <si>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Sector distribution of demand - construction (industrial for gold/silver)</t>
  </si>
  <si>
    <t>Sector distribution of demand - electrical (electronics for gold/silver)</t>
  </si>
  <si>
    <t>Sector distribution of demand - industrial (bar and coin for gold/silver)</t>
  </si>
  <si>
    <t xml:space="preserve">Sector distribution of demand - other </t>
  </si>
  <si>
    <t>Sector distribution of demand - transport (jewelry for gold/silver)</t>
  </si>
  <si>
    <t>Mean product lifetime of sector - transport (jewelry for gold/silver)</t>
  </si>
  <si>
    <t>Sectoral fraction of scrap generated available for use, or the product of collection rate and sorting efficiency - transport (jewelry for gold/silver)</t>
  </si>
  <si>
    <t>Fabrication efficiency of semifabrication - industrial (bar and coin for gold/silver)</t>
  </si>
  <si>
    <t>Mean product lifetime of sector - industrial (bar and coin for gold/silver)</t>
  </si>
  <si>
    <t>Sectoral fraction of scrap generated available for use, or the product of collection rate and sorting efficiency - industrial (bar and coin for gold/silver)</t>
  </si>
  <si>
    <t>Fabrication efficiency of semifabrication - electrical (electronics for gold/silver)</t>
  </si>
  <si>
    <t>Mean product lifetime of sector - electrical (electronics for gold/silver)</t>
  </si>
  <si>
    <t>Sectoral fraction of scrap generated available for use, or the product of collection rate and sorting efficiency - electrical (electronics for gold/silver)</t>
  </si>
  <si>
    <t>Fabrication efficiency of semifabrication - construction (industrial for gold/silver)</t>
  </si>
  <si>
    <t>Mean product lifetime of sector - construction (industrial for gold/silver)</t>
  </si>
  <si>
    <t>Sectoral fraction of scrap generated available for use, or the product of collection rate and sorting efficiency - construction (industrial for gold/silver)</t>
  </si>
  <si>
    <t>Jewelry. Mean value from Gunn (2014), Critical Metals Handbook, Figure 3.5 (pg 50)</t>
  </si>
  <si>
    <t>Other. Assumed low, fits with approximation of other categories from Gunn (2014), Critical Metals Handbook, Figure 3.5 (pg 50)</t>
  </si>
  <si>
    <t>Bar and Coin. Mean value from Gunn (2014), Critical Metals Handbook, Figure 3.5 (pg 50)</t>
  </si>
  <si>
    <t>Electronics. Mean value from Gunn (2014), Critical Metals Handbook, Figure 3.5 (pg 50)</t>
  </si>
  <si>
    <t>Not a necesssary sector. Mean value from Gunn (2014), Critical Metals Handbook, Figure 3.5 (pg 50)</t>
  </si>
  <si>
    <t>Mean value from Gunn (2014), Critical Metals Handbook, Figure 3.5 (pg 50)</t>
  </si>
  <si>
    <t>The weighted mean of our volume drivers developed for copper</t>
  </si>
  <si>
    <t xml:space="preserve">Variable name in the Python model. All reported for 2019 where available or most recent year. </t>
  </si>
  <si>
    <t>Total minus primary</t>
  </si>
  <si>
    <t>Fit a lognormal distribution such that the min/max would be 0.12-0.2, as described by http://news.chinatungsten.com/en/tungsten-information/95194-ti-12232.html#:~:text=Tungsten%20ore%20grade%20is%20tungsten%20trioxide%20%28WO3%29%20content,ore%2C%20low%20grade%20one%20is%20called%20poor%20ore. Worth noting that grades and prices for tungsten are in WO3 equivalent. Additional concern - highest grade is mentioned to be 1.9%, with many high-grade ores 0.7%. Generally confirmed by https://www.911metallurgist.com/blog/tungsten-metallurgy</t>
  </si>
  <si>
    <t>kt W</t>
  </si>
  <si>
    <t>kt WO3</t>
  </si>
  <si>
    <t>t W</t>
  </si>
  <si>
    <t>https://www.usgs.gov/media/files/tungsten-historical-statistics-data-series-140, using 0.793 W fraction of WO3 to convert from W content to WO3</t>
  </si>
  <si>
    <t>Barruecopardo mine in Spain is ~1.5 kt/yr (https://www.refractorymetal.org/barruecopardo-tungsten-mine/), two different mines claiming to be the largest at 5% of global production (5.285) (https://almonty.com/2020/11/04/construction-of-the-worlds-largest-tungsten-mine-has-begun/#GmediaGallery_35-all-0, https://miningdigital.com/smart-mining/masan-resources-nui-phao-mine-worlds-largest-tungsten-mine), the one claims 30% but I assume they mean 30% of ex-China, dolphin would be 2.92 kt WO3 (https://www.mining-technology.com/projects/dolphin-tungsten-project/, reserve grade 0.73%*400 kt/yr capacity), Drakelands is producing 5 kt concentrate at 65% WO3 so 3.25 kt/yr (https://www.mining-technology.com/projects/hemerdon-ball/), la parilla is 2.5 kt/yr concentrate at 60% WO3 so 1.5 kt WO3 (https://www.mining-technology.com/projects/la-parrilla-tungsten-mine/), Molyhill expected to product 1.24 kt/yr WO3 from 0.31% grade and 400 kt ore/yr (https://www.mining-technology.com/projects/molyhil-tungsten-molybdenum-project-australia/), Sisson will be 5.57 kt APT/yr so 4.95 kt WO3 (https://www.mining-technology.com/projects/sisson-tungsten-molybdenum-project-new-brunswick/, W is 70.4%wt in APT, 79.3%wt of WO3). Values determined by making a distribution from the values reported here and appending a uniform distribution (0,1.5) such that the total sum matched 2019 mine production, then visually fitting a lognromal distribution to the resulting distribution with the same number of data points.</t>
  </si>
  <si>
    <t>61% Cu, rem. Self</t>
  </si>
  <si>
    <t>20% Cu, 13% Au, 35% Pb/Zn, 32% Ag</t>
  </si>
  <si>
    <t>2% Pb, 5% Ni, 0.1% Ag, 92.9% Cu</t>
  </si>
  <si>
    <t>35% Cu, 50% Ni, 15% Co</t>
  </si>
  <si>
    <t>12% Cu, 0.5% Ag, 0.1% Ni, 1% Pb/Zn, 0.32% PGM, 86.08% Au</t>
  </si>
  <si>
    <t>33% Sn, 27% Nb, 40% Ta</t>
  </si>
  <si>
    <t>8% Pb, 77% Cu, 15% Te</t>
  </si>
  <si>
    <t>4% Cu, 2% Au, 3% Ag, 91% Zn</t>
  </si>
  <si>
    <t>Fu et al. 2018. High-resolution insight into material criticality: quantifying risk for byproduct metals, https://onlinelibrary.wiley.com/action/downloadSupplement?doi=10.1111%2Fjiec.12757&amp;file=jiec12757-sup-0001-SuppMat.pdf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</si>
</sst>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Te"/>
    <numFmt numFmtId="165" formatCode="0.0000"/>
    <numFmt numFmtId="166" formatCode="0.00000"/>
  </numFmts>
  <fonts count="15">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
      <sz val="10"/>
      <name val="Times New Roman"/>
      <family val="1"/>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1">
    <xf numFmtId="0" fontId="0" fillId="0" borderId="0" xfId="0"/>
    <xf numFmtId="0" fontId="2" fillId="0" borderId="0" xfId="2"/>
    <xf numFmtId="0" fontId="3" fillId="0" borderId="0" xfId="0"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ill="1"/>
    <xf numFmtId="0" fontId="0" fillId="3" borderId="0" xfId="0" applyFill="1" applyAlignment="1">
      <alignment wrapText="1"/>
    </xf>
    <xf numFmtId="0" fontId="0" fillId="0" borderId="0" xfId="0" applyAlignment="1">
      <alignment wrapText="1"/>
    </xf>
    <xf numFmtId="3" fontId="0" fillId="0" borderId="0" xfId="0" applyNumberFormat="1" applyAlignment="1">
      <alignment horizontal="right"/>
    </xf>
    <xf numFmtId="3" fontId="0" fillId="3" borderId="0" xfId="0" applyNumberFormat="1" applyFill="1" applyAlignment="1">
      <alignment horizontal="right"/>
    </xf>
    <xf numFmtId="11" fontId="0" fillId="0" borderId="0" xfId="0" applyNumberFormat="1"/>
    <xf numFmtId="11" fontId="0" fillId="3" borderId="0" xfId="0" applyNumberFormat="1" applyFill="1"/>
    <xf numFmtId="0" fontId="1" fillId="2" borderId="0" xfId="1"/>
    <xf numFmtId="0" fontId="1" fillId="2" borderId="0" xfId="1" applyAlignment="1">
      <alignment wrapText="1"/>
    </xf>
    <xf numFmtId="0" fontId="0" fillId="3" borderId="0" xfId="0" quotePrefix="1" applyFill="1"/>
    <xf numFmtId="3" fontId="0" fillId="0" borderId="0" xfId="0" applyNumberFormat="1"/>
    <xf numFmtId="0" fontId="0" fillId="0" borderId="0" xfId="0" quotePrefix="1"/>
    <xf numFmtId="0" fontId="2" fillId="0" borderId="0" xfId="2" applyAlignment="1">
      <alignment wrapText="1"/>
    </xf>
    <xf numFmtId="0" fontId="7" fillId="0" borderId="0" xfId="0" applyFont="1"/>
    <xf numFmtId="0" fontId="2" fillId="3" borderId="0" xfId="2" applyFill="1" applyAlignment="1">
      <alignment wrapText="1"/>
    </xf>
    <xf numFmtId="164" fontId="0" fillId="3" borderId="0" xfId="0" applyNumberFormat="1" applyFill="1"/>
    <xf numFmtId="164" fontId="0" fillId="0" borderId="0" xfId="0" applyNumberForma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xf numFmtId="164" fontId="1" fillId="2" borderId="0" xfId="1" applyNumberFormat="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13" fillId="0" borderId="0" xfId="0" applyFont="1"/>
    <xf numFmtId="2" fontId="0" fillId="3" borderId="0" xfId="0" applyNumberFormat="1" applyFill="1"/>
    <xf numFmtId="166" fontId="0" fillId="0" borderId="0" xfId="0" applyNumberFormat="1"/>
    <xf numFmtId="166" fontId="0" fillId="3" borderId="0" xfId="0" applyNumberFormat="1" applyFill="1"/>
    <xf numFmtId="3" fontId="14" fillId="0" borderId="1" xfId="0" applyNumberFormat="1" applyFont="1" applyBorder="1"/>
    <xf numFmtId="3" fontId="14" fillId="0" borderId="1" xfId="0" applyNumberFormat="1" applyFont="1" applyBorder="1" applyAlignment="1">
      <alignment horizontal="right" vertical="justify"/>
    </xf>
  </cellXfs>
  <cellStyles count="3">
    <cellStyle name="Hyperlink" xfId="2" builtinId="8"/>
    <cellStyle name="Neutral" xfId="1" builtinId="28"/>
    <cellStyle name="Normal" xfId="0" builtinId="0"/>
  </cellStyles>
  <dxfs count="41">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0</xdr:colOff>
      <xdr:row>86</xdr:row>
      <xdr:rowOff>0</xdr:rowOff>
    </xdr:from>
    <xdr:to>
      <xdr:col>23</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L74" totalsRowShown="0" headerRowDxfId="40" dataDxfId="39" tableBorderDxfId="38">
  <autoFilter ref="A1:AL74" xr:uid="{B92E5DA3-703D-0047-BF49-56E3494702E7}"/>
  <tableColumns count="38">
    <tableColumn id="1" xr3:uid="{40ADE3C0-5A2A-EF4F-8C0A-E78782D82E02}" name="Variable name in the Python model. All reported for 2019 where available or most recent year. " dataDxfId="37"/>
    <tableColumn id="38" xr3:uid="{F1CC51E3-9D58-CB4E-B592-23659F5AD648}" name="Description" dataDxfId="36"/>
    <tableColumn id="2" xr3:uid="{615A6B59-EBEC-C844-A1FB-87796630DC11}" name="Al" dataDxfId="35"/>
    <tableColumn id="3" xr3:uid="{8BEB2A1A-6045-C140-997C-34C452B1D3D0}" name="Steel" dataDxfId="34"/>
    <tableColumn id="4" xr3:uid="{5C86A66D-6EE9-B146-B55C-D8757F17B037}" name="Au" dataDxfId="33"/>
    <tableColumn id="5" xr3:uid="{A6078A25-9A0C-A64B-9EE1-BA43315A365F}" name="Co" dataDxfId="32"/>
    <tableColumn id="6" xr3:uid="{E0CEDA03-DC55-3B44-A7E5-0053003CDB10}" name="REEs" dataDxfId="31"/>
    <tableColumn id="7" xr3:uid="{5865B79F-C134-2C40-BDEB-BBEAD1CBA704}" name="W" dataDxfId="30"/>
    <tableColumn id="8" xr3:uid="{2C843D4E-B4BF-1B45-83BE-B63E46646133}" name="Sn" dataDxfId="29"/>
    <tableColumn id="9" xr3:uid="{A5579C27-C0E7-FB46-A381-F1A4B88888E9}" name="Ta" dataDxfId="28"/>
    <tableColumn id="10" xr3:uid="{57F0C03A-F849-764C-9937-672AC7FA7056}" name="Cu" dataDxfId="27"/>
    <tableColumn id="11" xr3:uid="{58BB8033-7C57-D848-942D-0BA35942A4E5}" name="Ni" dataDxfId="26"/>
    <tableColumn id="12" xr3:uid="{7D2E504B-DE0F-5048-8A9E-3349B8C91362}" name="Ag" dataDxfId="25"/>
    <tableColumn id="13" xr3:uid="{20ADECBC-5BD7-1F43-B665-1C03CE65BE68}" name="Zn" dataDxfId="24"/>
    <tableColumn id="14" xr3:uid="{F86548EA-FD6C-A542-8346-EE943D12FCEB}" name="Pb" dataDxfId="23"/>
    <tableColumn id="15" xr3:uid="{D9E7B89D-2742-EE4A-A97B-9AA324E90CDA}" name="Mo" dataDxfId="22"/>
    <tableColumn id="16" xr3:uid="{393A35BC-6237-DC47-B65B-B89C8241358C}" name="Pt" dataDxfId="21"/>
    <tableColumn id="17" xr3:uid="{05D2296D-799C-314E-8B01-0CF90882530E}" name="Te" dataDxfId="20"/>
    <tableColumn id="18" xr3:uid="{557B8136-A6CC-1240-B516-243DE5E1D903}" name="Li"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26" Type="http://schemas.openxmlformats.org/officeDocument/2006/relationships/hyperlink" Target="https://www.sciencedirect.com/science/article/pii/S0048969718312373" TargetMode="External"/><Relationship Id="rId39" Type="http://schemas.openxmlformats.org/officeDocument/2006/relationships/hyperlink" Target="https://www.sciencedirect.com/science/article/pii/S0921344917301817,%20table%202" TargetMode="External"/><Relationship Id="rId21" Type="http://schemas.openxmlformats.org/officeDocument/2006/relationships/hyperlink" Target="https://www.sprott.com/media/2268/world-silver-survey-2019.pdf,%20using%20this%20sector%20as%20industrial;%20renamed%20as%20per%20gold" TargetMode="External"/><Relationship Id="rId34" Type="http://schemas.openxmlformats.org/officeDocument/2006/relationships/hyperlink" Target="https://www.sciencedirect.com/science/article/pii/S0921344917301817,%20table%202" TargetMode="External"/><Relationship Id="rId42"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7" Type="http://schemas.openxmlformats.org/officeDocument/2006/relationships/hyperlink" Target="https://www.sciencedirect.com/science/article/pii/S0921344916300064,%20table%201%20,%20The%20anthropogenic%20cycle%20of%20zinc:%20Status%20quo%20and%20perspectives,%20Meylan%202017" TargetMode="External"/><Relationship Id="rId50" Type="http://schemas.openxmlformats.org/officeDocument/2006/relationships/hyperlink" Target="https://www.sciencedirect.com/science/article/pii/S0921344916300064,%20table%201%20,%20The%20anthropogenic%20cycle%20of%20zinc:%20Status%20quo%20and%20perspectives,%20Meylan%202017" TargetMode="External"/><Relationship Id="rId7" Type="http://schemas.openxmlformats.org/officeDocument/2006/relationships/hyperlink" Target="https://www.statista.com/statistics/1009446/tungsten-price/"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9"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11" Type="http://schemas.openxmlformats.org/officeDocument/2006/relationships/hyperlink" Target="https://www.argusmedia.com/en/news/2222244-eu-tantalum-prices-rebound-on-higher-input-costs" TargetMode="External"/><Relationship Id="rId24" Type="http://schemas.openxmlformats.org/officeDocument/2006/relationships/hyperlink" Target="https://www.sciencedirect.com/science/article/pii/S0048969718312373"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921344917301817,%20table%202" TargetMode="External"/><Relationship Id="rId40" Type="http://schemas.openxmlformats.org/officeDocument/2006/relationships/hyperlink" Target="https://www.sciencedirect.com/science/article/pii/S0921344917301817,%20table%202" TargetMode="External"/><Relationship Id="rId4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3" Type="http://schemas.openxmlformats.org/officeDocument/2006/relationships/table" Target="../tables/table1.xml"/><Relationship Id="rId5" Type="http://schemas.openxmlformats.org/officeDocument/2006/relationships/hyperlink" Target="https://www.sciencedirect.com/science/article/pii/S0263436821000780" TargetMode="External"/><Relationship Id="rId10" Type="http://schemas.openxmlformats.org/officeDocument/2006/relationships/hyperlink" Target="https://www.argusmedia.com/en/news/2222244-eu-tantalum-prices-rebound-on-higher-input-costs,%20reported%20135%20USD/lb"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31" Type="http://schemas.openxmlformats.org/officeDocument/2006/relationships/hyperlink" Target="https://www.sciencedirect.com/science/article/pii/S0921344916300064,%20table%201%20,%20The%20anthropogenic%20cycle%20of%20zinc:%20Status%20quo%20and%20perspectives,%20Meylan%202017" TargetMode="External"/><Relationship Id="rId4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2" Type="http://schemas.openxmlformats.org/officeDocument/2006/relationships/printerSettings" Target="../printerSettings/printerSettings1.bin"/><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 Id="rId22" Type="http://schemas.openxmlformats.org/officeDocument/2006/relationships/hyperlink" Target="https://www.sciencedirect.com/science/article/pii/S0921344916300064,%20table%201%20,%20The%20anthropogenic%20cycle%20of%20zinc:%20Status%20quo%20and%20perspectives,%20Meylan%202017" TargetMode="External"/><Relationship Id="rId27" Type="http://schemas.openxmlformats.org/officeDocument/2006/relationships/hyperlink" Target="https://www.sciencedirect.com/science/article/pii/S0048969718312373" TargetMode="External"/><Relationship Id="rId30" Type="http://schemas.openxmlformats.org/officeDocument/2006/relationships/hyperlink" Target="https://www.recyclingtoday.com/article/battery-council-international-lead-battery-recycling/" TargetMode="External"/><Relationship Id="rId35" Type="http://schemas.openxmlformats.org/officeDocument/2006/relationships/hyperlink" Target="https://www.sciencedirect.com/science/article/pii/S0921344917301817,%20table%202" TargetMode="External"/><Relationship Id="rId43"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8" Type="http://schemas.openxmlformats.org/officeDocument/2006/relationships/hyperlink" Target="https://countertop.mit.edu:3048/notebooks/SQL/Second%20round%20generalization%20mine%20parameters.ipynb,%20section%20Getting%20all%20the%20values%20to%20check%20with" TargetMode="External"/><Relationship Id="rId8" Type="http://schemas.openxmlformats.org/officeDocument/2006/relationships/hyperlink" Target="https://pubs.usgs.gov/periodicals/mcs2020/mcs2020-tin.pdf" TargetMode="External"/><Relationship Id="rId51" Type="http://schemas.openxmlformats.org/officeDocument/2006/relationships/hyperlink" Target="https://www.sciencedirect.com/science/article/pii/S0921344916300064,%20table%201%20,%20The%20anthropogenic%20cycle%20of%20zinc:%20Status%20quo%20and%20perspectives,%20Meylan%202017" TargetMode="External"/><Relationship Id="rId3" Type="http://schemas.openxmlformats.org/officeDocument/2006/relationships/hyperlink" Target="https://www.electronicsweekly.com/news/now-alternative-solid-tantalum-capacitors-2017-03/"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5" Type="http://schemas.openxmlformats.org/officeDocument/2006/relationships/hyperlink" Target="https://www.sciencedirect.com/science/article/pii/S0048969718312373"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921344917301817,%20table%202" TargetMode="External"/><Relationship Id="rId4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20" Type="http://schemas.openxmlformats.org/officeDocument/2006/relationships/hyperlink" Target="https://www.statista.com/statistics/1131647/china-refined-lead-consumption-volume/,%205.08/12.162" TargetMode="External"/><Relationship Id="rId41" Type="http://schemas.openxmlformats.org/officeDocument/2006/relationships/hyperlink" Target="https://www.sciencedirect.com/science/article/pii/S0921344917301817,%20table%202" TargetMode="Externa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5" Type="http://schemas.openxmlformats.org/officeDocument/2006/relationships/hyperlink" Target="https://www.scrapmonster.com/scrap-yard/price/lead-scrap/5%20%20%20%20%20%20/0.39%20dollars%20per%20pound" TargetMode="External"/><Relationship Id="rId23" Type="http://schemas.openxmlformats.org/officeDocument/2006/relationships/hyperlink" Target="https://www.sciencedirect.com/science/article/pii/S0921344917301817" TargetMode="External"/><Relationship Id="rId28" Type="http://schemas.openxmlformats.org/officeDocument/2006/relationships/hyperlink" Target="https://www.sciencedirect.com/science/article/pii/S0048969718312373" TargetMode="External"/><Relationship Id="rId36" Type="http://schemas.openxmlformats.org/officeDocument/2006/relationships/hyperlink" Target="https://www.sciencedirect.com/science/article/pii/S0921344917301817,%20table%202" TargetMode="External"/><Relationship Id="rId49" Type="http://schemas.openxmlformats.org/officeDocument/2006/relationships/hyperlink" Target="https://www.sciencedirect.com/science/article/pii/S0921344916300064,%20table%201%20,%20The%20anthropogenic%20cycle%20of%20zinc:%20Status%20quo%20and%20perspectives,%20Meylan%202017"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usgs.gov/media/files/tungsten-historical-statistics-data-series-140,%20using%200.793%20W%20fraction%20of%20WO3%20to%20convert%20from%20W%20content%20to%20WO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2.bgs.ac.uk/mineralsuk/statistics/wms.cfc?method=searchWMS"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L74"/>
  <sheetViews>
    <sheetView workbookViewId="0">
      <pane ySplit="1" topLeftCell="A2" activePane="bottomLeft" state="frozen"/>
      <selection pane="bottomLeft" activeCell="Z5" sqref="Z5"/>
    </sheetView>
  </sheetViews>
  <sheetFormatPr baseColWidth="10" defaultColWidth="8.83203125" defaultRowHeight="15"/>
  <cols>
    <col min="1" max="1" width="47.1640625" bestFit="1" customWidth="1"/>
    <col min="2" max="2" width="47.1640625" customWidth="1"/>
    <col min="3" max="19" width="8.83203125" customWidth="1"/>
    <col min="20" max="20" width="9.6640625" customWidth="1"/>
    <col min="21" max="21" width="8.83203125" customWidth="1"/>
    <col min="22" max="22" width="9.83203125" customWidth="1"/>
    <col min="23" max="23" width="12.1640625" customWidth="1"/>
    <col min="24" max="24" width="10.33203125" customWidth="1"/>
    <col min="25" max="25" width="10.1640625" customWidth="1"/>
    <col min="26" max="26" width="11.5" customWidth="1"/>
    <col min="27" max="27" width="9.83203125" customWidth="1"/>
    <col min="28" max="28" width="10" customWidth="1"/>
    <col min="29" max="29" width="9.83203125" customWidth="1"/>
    <col min="30" max="30" width="10.1640625" customWidth="1"/>
    <col min="31" max="31" width="9.83203125" customWidth="1"/>
    <col min="32" max="32" width="10.1640625" customWidth="1"/>
    <col min="33" max="33" width="10" customWidth="1"/>
    <col min="34" max="34" width="10.1640625" customWidth="1"/>
    <col min="35" max="35" width="10.83203125" customWidth="1"/>
    <col min="36" max="36" width="9.83203125" customWidth="1"/>
    <col min="37" max="37" width="9.5" customWidth="1"/>
    <col min="38" max="38" width="10" customWidth="1"/>
  </cols>
  <sheetData>
    <row r="1" spans="1:38" s="28" customFormat="1" ht="34" customHeight="1">
      <c r="A1" s="28" t="s">
        <v>413</v>
      </c>
      <c r="B1" s="28" t="s">
        <v>360</v>
      </c>
      <c r="C1" s="28" t="s">
        <v>0</v>
      </c>
      <c r="D1" s="28" t="s">
        <v>1</v>
      </c>
      <c r="E1" s="28" t="s">
        <v>2</v>
      </c>
      <c r="F1" s="28" t="s">
        <v>3</v>
      </c>
      <c r="G1" s="28" t="s">
        <v>4</v>
      </c>
      <c r="H1" s="28" t="s">
        <v>5</v>
      </c>
      <c r="I1" s="28" t="s">
        <v>6</v>
      </c>
      <c r="J1" s="28" t="s">
        <v>7</v>
      </c>
      <c r="K1" s="28" t="s">
        <v>8</v>
      </c>
      <c r="L1" s="28" t="s">
        <v>112</v>
      </c>
      <c r="M1" s="28" t="s">
        <v>114</v>
      </c>
      <c r="N1" s="28" t="s">
        <v>115</v>
      </c>
      <c r="O1" s="28" t="s">
        <v>113</v>
      </c>
      <c r="P1" s="28" t="s">
        <v>121</v>
      </c>
      <c r="Q1" s="28" t="s">
        <v>94</v>
      </c>
      <c r="R1" s="29" t="s">
        <v>301</v>
      </c>
      <c r="S1" s="28" t="s">
        <v>95</v>
      </c>
      <c r="T1" s="28" t="s">
        <v>23</v>
      </c>
      <c r="U1" s="30" t="s">
        <v>12</v>
      </c>
      <c r="V1" s="28" t="s">
        <v>79</v>
      </c>
      <c r="W1" s="28" t="s">
        <v>80</v>
      </c>
      <c r="X1" s="28" t="s">
        <v>81</v>
      </c>
      <c r="Y1" s="28" t="s">
        <v>82</v>
      </c>
      <c r="Z1" s="28" t="s">
        <v>83</v>
      </c>
      <c r="AA1" s="28" t="s">
        <v>84</v>
      </c>
      <c r="AB1" s="28" t="s">
        <v>85</v>
      </c>
      <c r="AC1" s="28" t="s">
        <v>86</v>
      </c>
      <c r="AD1" s="28" t="s">
        <v>87</v>
      </c>
      <c r="AE1" s="28" t="s">
        <v>116</v>
      </c>
      <c r="AF1" s="28" t="s">
        <v>117</v>
      </c>
      <c r="AG1" s="28" t="s">
        <v>118</v>
      </c>
      <c r="AH1" s="28" t="s">
        <v>119</v>
      </c>
      <c r="AI1" s="28" t="s">
        <v>120</v>
      </c>
      <c r="AJ1" s="28" t="s">
        <v>107</v>
      </c>
      <c r="AK1" s="28" t="s">
        <v>108</v>
      </c>
      <c r="AL1" s="28" t="s">
        <v>302</v>
      </c>
    </row>
    <row r="2" spans="1:38" ht="14.5" customHeight="1">
      <c r="A2" s="5" t="s">
        <v>9</v>
      </c>
      <c r="B2" s="5" t="s">
        <v>389</v>
      </c>
      <c r="C2" s="5" t="s">
        <v>10</v>
      </c>
      <c r="D2" s="5" t="s">
        <v>10</v>
      </c>
      <c r="E2" s="5" t="s">
        <v>425</v>
      </c>
      <c r="F2" s="5" t="s">
        <v>424</v>
      </c>
      <c r="G2" s="5" t="s">
        <v>11</v>
      </c>
      <c r="H2" s="5" t="s">
        <v>10</v>
      </c>
      <c r="I2" s="5" t="s">
        <v>10</v>
      </c>
      <c r="J2" s="5" t="s">
        <v>426</v>
      </c>
      <c r="K2" s="5" t="s">
        <v>423</v>
      </c>
      <c r="L2" s="5" t="s">
        <v>10</v>
      </c>
      <c r="M2" s="5" t="s">
        <v>422</v>
      </c>
      <c r="N2" s="5" t="s">
        <v>428</v>
      </c>
      <c r="O2" s="5"/>
      <c r="P2" s="5" t="s">
        <v>421</v>
      </c>
      <c r="Q2" s="5" t="s">
        <v>10</v>
      </c>
      <c r="R2" s="14" t="s">
        <v>427</v>
      </c>
      <c r="S2" s="5" t="s">
        <v>10</v>
      </c>
      <c r="T2" s="5"/>
      <c r="U2" s="6" t="s">
        <v>13</v>
      </c>
      <c r="V2" s="6"/>
      <c r="W2" s="6"/>
      <c r="X2" s="6" t="s">
        <v>429</v>
      </c>
      <c r="Y2" s="6" t="s">
        <v>429</v>
      </c>
      <c r="Z2" s="6"/>
      <c r="AA2" s="6"/>
      <c r="AB2" s="6"/>
      <c r="AC2" s="6" t="s">
        <v>429</v>
      </c>
      <c r="AD2" s="6" t="s">
        <v>429</v>
      </c>
      <c r="AE2" s="6"/>
      <c r="AF2" s="6" t="s">
        <v>429</v>
      </c>
      <c r="AG2" s="6" t="s">
        <v>429</v>
      </c>
      <c r="AH2" s="6"/>
      <c r="AI2" s="6" t="s">
        <v>429</v>
      </c>
      <c r="AJ2" s="6"/>
      <c r="AK2" s="6"/>
      <c r="AL2" s="6" t="s">
        <v>429</v>
      </c>
    </row>
    <row r="3" spans="1:38" ht="14.5" customHeight="1">
      <c r="A3" t="s">
        <v>17</v>
      </c>
      <c r="B3" t="s">
        <v>363</v>
      </c>
      <c r="C3">
        <v>99671</v>
      </c>
      <c r="D3">
        <v>1767000</v>
      </c>
      <c r="E3">
        <v>4.3593999999999999</v>
      </c>
      <c r="H3">
        <v>97.8</v>
      </c>
      <c r="I3">
        <v>371.81700000000001</v>
      </c>
      <c r="J3">
        <v>2.4049999999999998</v>
      </c>
      <c r="K3" s="15">
        <v>23600</v>
      </c>
      <c r="L3">
        <v>3226.8622280817385</v>
      </c>
      <c r="M3">
        <v>26.7</v>
      </c>
      <c r="N3">
        <v>17448.642054092597</v>
      </c>
      <c r="O3">
        <v>12244</v>
      </c>
      <c r="P3">
        <v>261.40530000000001</v>
      </c>
      <c r="Q3">
        <v>0.18</v>
      </c>
      <c r="R3" s="16">
        <v>0.52</v>
      </c>
      <c r="S3">
        <v>298.08800000000002</v>
      </c>
      <c r="T3" t="s">
        <v>24</v>
      </c>
      <c r="U3" s="7" t="s">
        <v>18</v>
      </c>
      <c r="V3" s="7" t="s">
        <v>162</v>
      </c>
      <c r="W3" s="7" t="s">
        <v>133</v>
      </c>
      <c r="X3" s="6" t="s">
        <v>146</v>
      </c>
      <c r="Y3" s="7"/>
      <c r="Z3" s="7"/>
      <c r="AA3" s="17" t="s">
        <v>198</v>
      </c>
      <c r="AB3" s="7" t="s">
        <v>199</v>
      </c>
      <c r="AC3" s="17" t="s">
        <v>200</v>
      </c>
      <c r="AD3" s="7"/>
      <c r="AE3" s="7" t="s">
        <v>201</v>
      </c>
      <c r="AF3" s="17" t="s">
        <v>202</v>
      </c>
      <c r="AG3" s="7" t="s">
        <v>203</v>
      </c>
      <c r="AH3" s="7" t="s">
        <v>204</v>
      </c>
      <c r="AI3" s="7" t="s">
        <v>205</v>
      </c>
      <c r="AJ3" s="7" t="s">
        <v>206</v>
      </c>
      <c r="AK3" s="7"/>
      <c r="AL3" s="7"/>
    </row>
    <row r="4" spans="1:38" ht="14.5" customHeight="1">
      <c r="A4" s="5" t="s">
        <v>19</v>
      </c>
      <c r="B4" s="5" t="s">
        <v>361</v>
      </c>
      <c r="C4" s="5"/>
      <c r="D4" s="5"/>
      <c r="E4" s="5"/>
      <c r="F4" s="5"/>
      <c r="G4" s="5"/>
      <c r="H4" s="5"/>
      <c r="I4" s="5"/>
      <c r="J4" s="5"/>
      <c r="K4" s="5">
        <v>2.5399999999999999E-2</v>
      </c>
      <c r="L4" s="5"/>
      <c r="M4" s="5"/>
      <c r="N4" s="5"/>
      <c r="O4" s="5"/>
      <c r="P4" s="5"/>
      <c r="Q4" s="5"/>
      <c r="R4" s="14">
        <v>1</v>
      </c>
      <c r="S4" s="5"/>
      <c r="T4" s="5" t="s">
        <v>24</v>
      </c>
      <c r="U4" s="6" t="s">
        <v>20</v>
      </c>
      <c r="V4" s="6"/>
      <c r="W4" s="6"/>
      <c r="X4" s="6"/>
      <c r="Y4" s="6"/>
      <c r="Z4" s="6"/>
      <c r="AA4" s="6"/>
      <c r="AB4" s="6"/>
      <c r="AC4" s="6"/>
      <c r="AD4" s="6" t="s">
        <v>412</v>
      </c>
      <c r="AE4" s="6"/>
      <c r="AF4" s="6"/>
      <c r="AG4" s="6"/>
      <c r="AH4" s="6"/>
      <c r="AI4" s="6"/>
      <c r="AJ4" s="6"/>
      <c r="AK4" s="6"/>
      <c r="AL4" s="6"/>
    </row>
    <row r="5" spans="1:38" ht="14.5" customHeight="1">
      <c r="A5" t="s">
        <v>22</v>
      </c>
      <c r="B5" t="s">
        <v>362</v>
      </c>
      <c r="C5">
        <v>0.04</v>
      </c>
      <c r="D5">
        <v>3.3765999999999997E-2</v>
      </c>
      <c r="E5">
        <v>1.7332E-2</v>
      </c>
      <c r="H5">
        <v>0.08</v>
      </c>
      <c r="I5">
        <v>0.02</v>
      </c>
      <c r="J5">
        <v>7.2999999999999995E-2</v>
      </c>
      <c r="K5">
        <v>0.03</v>
      </c>
      <c r="L5">
        <v>0.06</v>
      </c>
      <c r="M5">
        <v>2.4E-2</v>
      </c>
      <c r="N5">
        <v>2.8000000000000001E-2</v>
      </c>
      <c r="O5">
        <v>7.4999999999999997E-2</v>
      </c>
      <c r="P5">
        <v>0.05</v>
      </c>
      <c r="Q5">
        <v>1.4999999999999999E-2</v>
      </c>
      <c r="R5" s="16">
        <v>0.08</v>
      </c>
      <c r="T5" t="s">
        <v>24</v>
      </c>
      <c r="U5" s="7" t="s">
        <v>21</v>
      </c>
      <c r="V5" s="7" t="s">
        <v>207</v>
      </c>
      <c r="W5" s="7" t="s">
        <v>132</v>
      </c>
      <c r="X5" s="7" t="s">
        <v>309</v>
      </c>
      <c r="Y5" s="7"/>
      <c r="Z5" s="7"/>
      <c r="AA5" s="7" t="s">
        <v>208</v>
      </c>
      <c r="AB5" s="17" t="s">
        <v>209</v>
      </c>
      <c r="AC5" s="7" t="s">
        <v>210</v>
      </c>
      <c r="AD5" s="7"/>
      <c r="AE5" s="7" t="s">
        <v>211</v>
      </c>
      <c r="AF5" s="7" t="s">
        <v>212</v>
      </c>
      <c r="AG5" s="35" t="s">
        <v>335</v>
      </c>
      <c r="AH5" s="7" t="s">
        <v>213</v>
      </c>
      <c r="AI5" s="7" t="s">
        <v>214</v>
      </c>
      <c r="AJ5" s="7" t="s">
        <v>215</v>
      </c>
      <c r="AK5" s="7"/>
      <c r="AL5" s="7"/>
    </row>
    <row r="6" spans="1:38" ht="14.5" customHeight="1">
      <c r="A6" s="5" t="s">
        <v>25</v>
      </c>
      <c r="B6" s="5" t="s">
        <v>364</v>
      </c>
      <c r="C6" s="5">
        <v>0.45100000000000001</v>
      </c>
      <c r="D6" s="5">
        <v>0.51300000000000001</v>
      </c>
      <c r="E6" s="5">
        <v>0.41267999999999999</v>
      </c>
      <c r="F6" s="5"/>
      <c r="G6" s="5"/>
      <c r="H6" s="5">
        <v>0.6</v>
      </c>
      <c r="I6" s="5">
        <v>0.56000000000000005</v>
      </c>
      <c r="J6" s="5"/>
      <c r="K6" s="5">
        <v>0.52644999999999997</v>
      </c>
      <c r="L6" s="5">
        <v>0.53</v>
      </c>
      <c r="M6" s="5">
        <v>0.17499999999999999</v>
      </c>
      <c r="N6" s="5">
        <v>0.48980000000000001</v>
      </c>
      <c r="O6" s="5">
        <f>5.08/12.162</f>
        <v>0.41769445814833084</v>
      </c>
      <c r="P6" s="5">
        <v>0.35589999999999999</v>
      </c>
      <c r="Q6" s="5">
        <v>0.26</v>
      </c>
      <c r="R6" s="14">
        <v>0.625</v>
      </c>
      <c r="S6" s="5">
        <v>0</v>
      </c>
      <c r="T6" s="5" t="s">
        <v>24</v>
      </c>
      <c r="U6" s="6"/>
      <c r="V6" s="6" t="s">
        <v>159</v>
      </c>
      <c r="W6" s="6" t="s">
        <v>131</v>
      </c>
      <c r="X6" s="6" t="s">
        <v>149</v>
      </c>
      <c r="Y6" s="6"/>
      <c r="Z6" s="6"/>
      <c r="AA6" s="6" t="s">
        <v>216</v>
      </c>
      <c r="AB6" s="6" t="s">
        <v>217</v>
      </c>
      <c r="AC6" s="6" t="s">
        <v>218</v>
      </c>
      <c r="AD6" s="6" t="s">
        <v>78</v>
      </c>
      <c r="AE6" s="6" t="s">
        <v>219</v>
      </c>
      <c r="AF6" s="6" t="s">
        <v>336</v>
      </c>
      <c r="AG6" s="6" t="s">
        <v>220</v>
      </c>
      <c r="AH6" s="19" t="s">
        <v>325</v>
      </c>
      <c r="AI6" s="6" t="s">
        <v>221</v>
      </c>
      <c r="AJ6" s="35" t="s">
        <v>333</v>
      </c>
      <c r="AK6" s="6"/>
      <c r="AL6" s="35" t="s">
        <v>334</v>
      </c>
    </row>
    <row r="7" spans="1:38" ht="14.5" customHeight="1">
      <c r="A7" t="s">
        <v>26</v>
      </c>
      <c r="B7" t="s">
        <v>390</v>
      </c>
      <c r="C7">
        <v>0.251</v>
      </c>
      <c r="D7">
        <v>0.52</v>
      </c>
      <c r="E7" s="10">
        <v>9.9999999999999995E-7</v>
      </c>
      <c r="H7">
        <v>0.65</v>
      </c>
      <c r="I7">
        <f>1-SUM(I8:I11)</f>
        <v>0.19100000000000006</v>
      </c>
      <c r="J7">
        <f>14.5/100</f>
        <v>0.14499999999999999</v>
      </c>
      <c r="K7">
        <v>0.3</v>
      </c>
      <c r="L7" s="5">
        <v>0.17605633802816922</v>
      </c>
      <c r="M7">
        <f>(578.6/1033.5)-0.000001</f>
        <v>0.55984418626028054</v>
      </c>
      <c r="N7">
        <v>0.33</v>
      </c>
      <c r="O7">
        <v>0.05</v>
      </c>
      <c r="P7">
        <v>0.71</v>
      </c>
      <c r="Q7">
        <v>0.06</v>
      </c>
      <c r="R7" s="16">
        <v>0.4</v>
      </c>
      <c r="S7">
        <v>0.14000000000000001</v>
      </c>
      <c r="T7" t="s">
        <v>24</v>
      </c>
      <c r="U7" s="7"/>
      <c r="V7" s="7" t="s">
        <v>160</v>
      </c>
      <c r="W7" s="7" t="s">
        <v>131</v>
      </c>
      <c r="X7" s="7" t="s">
        <v>141</v>
      </c>
      <c r="Y7" s="7"/>
      <c r="Z7" s="7"/>
      <c r="AA7" s="7" t="s">
        <v>222</v>
      </c>
      <c r="AB7" s="1" t="s">
        <v>341</v>
      </c>
      <c r="AC7" s="7" t="s">
        <v>223</v>
      </c>
      <c r="AD7" s="7" t="s">
        <v>78</v>
      </c>
      <c r="AE7" s="1" t="s">
        <v>340</v>
      </c>
      <c r="AF7" s="17" t="s">
        <v>343</v>
      </c>
      <c r="AG7" s="17" t="s">
        <v>339</v>
      </c>
      <c r="AH7" s="17" t="s">
        <v>344</v>
      </c>
      <c r="AI7" s="7" t="s">
        <v>221</v>
      </c>
      <c r="AJ7" s="7" t="s">
        <v>206</v>
      </c>
      <c r="AK7" s="7"/>
      <c r="AL7" s="7" t="s">
        <v>225</v>
      </c>
    </row>
    <row r="8" spans="1:38" ht="14.5" customHeight="1">
      <c r="A8" s="5" t="s">
        <v>27</v>
      </c>
      <c r="B8" t="s">
        <v>391</v>
      </c>
      <c r="C8" s="5">
        <v>0.11899999999999999</v>
      </c>
      <c r="D8" s="5">
        <v>0.03</v>
      </c>
      <c r="E8" s="5">
        <v>0.09</v>
      </c>
      <c r="F8" s="5"/>
      <c r="G8" s="5"/>
      <c r="H8" s="5">
        <v>0.1</v>
      </c>
      <c r="I8">
        <f>(48.3/2+1+5.2/2)/100</f>
        <v>0.27750000000000002</v>
      </c>
      <c r="J8" s="5">
        <v>0.191</v>
      </c>
      <c r="K8" s="5">
        <v>0.24</v>
      </c>
      <c r="L8" s="5">
        <v>0.12103873239436645</v>
      </c>
      <c r="M8" s="11">
        <v>9.9999999999999995E-7</v>
      </c>
      <c r="N8" s="5">
        <v>0.19</v>
      </c>
      <c r="O8" s="11">
        <v>9.9999999999999995E-7</v>
      </c>
      <c r="P8" s="5">
        <v>0.05</v>
      </c>
      <c r="Q8" s="5">
        <v>0.03</v>
      </c>
      <c r="R8" s="14">
        <v>0.15</v>
      </c>
      <c r="S8" s="5">
        <v>0.05</v>
      </c>
      <c r="T8" s="5" t="s">
        <v>24</v>
      </c>
      <c r="U8" s="6"/>
      <c r="V8" s="6" t="s">
        <v>160</v>
      </c>
      <c r="W8" s="6" t="s">
        <v>131</v>
      </c>
      <c r="X8" s="6" t="s">
        <v>142</v>
      </c>
      <c r="Y8" s="6"/>
      <c r="Z8" s="6"/>
      <c r="AA8" s="6" t="s">
        <v>226</v>
      </c>
      <c r="AB8" s="1" t="s">
        <v>341</v>
      </c>
      <c r="AC8" s="6" t="s">
        <v>227</v>
      </c>
      <c r="AD8" s="6" t="s">
        <v>78</v>
      </c>
      <c r="AE8" s="6"/>
      <c r="AF8" s="6"/>
      <c r="AG8" s="6"/>
      <c r="AH8" s="6"/>
      <c r="AI8" s="6" t="s">
        <v>228</v>
      </c>
      <c r="AJ8" s="6"/>
      <c r="AK8" s="6"/>
      <c r="AL8" s="6"/>
    </row>
    <row r="9" spans="1:38" ht="14.5" customHeight="1">
      <c r="A9" t="s">
        <v>28</v>
      </c>
      <c r="B9" t="s">
        <v>392</v>
      </c>
      <c r="C9">
        <v>0.11899999999999999</v>
      </c>
      <c r="D9">
        <v>0.26</v>
      </c>
      <c r="E9">
        <v>0.27</v>
      </c>
      <c r="H9">
        <v>0.08</v>
      </c>
      <c r="I9">
        <f>48.3/2/100</f>
        <v>0.24149999999999999</v>
      </c>
      <c r="J9">
        <v>0.25919999999999999</v>
      </c>
      <c r="K9">
        <v>0.1</v>
      </c>
      <c r="L9" s="5">
        <v>0.30589788732394352</v>
      </c>
      <c r="M9">
        <f>181.2/1033.5</f>
        <v>0.1753265602322206</v>
      </c>
      <c r="N9">
        <v>0.08</v>
      </c>
      <c r="O9" s="18">
        <v>0.09</v>
      </c>
      <c r="P9">
        <v>0.08</v>
      </c>
      <c r="Q9">
        <v>0.39</v>
      </c>
      <c r="R9" s="16">
        <v>0.2</v>
      </c>
      <c r="S9">
        <v>0</v>
      </c>
      <c r="T9" t="s">
        <v>24</v>
      </c>
      <c r="U9" s="7"/>
      <c r="V9" s="7" t="s">
        <v>160</v>
      </c>
      <c r="W9" s="7" t="s">
        <v>131</v>
      </c>
      <c r="X9" s="7" t="s">
        <v>143</v>
      </c>
      <c r="Y9" s="7"/>
      <c r="Z9" s="7"/>
      <c r="AA9" s="7" t="s">
        <v>229</v>
      </c>
      <c r="AB9" s="1" t="s">
        <v>341</v>
      </c>
      <c r="AC9" s="7" t="s">
        <v>230</v>
      </c>
      <c r="AD9" s="7" t="s">
        <v>78</v>
      </c>
      <c r="AE9" s="7"/>
      <c r="AF9" s="7" t="s">
        <v>337</v>
      </c>
      <c r="AG9" s="7"/>
      <c r="AH9" s="7"/>
      <c r="AI9" s="7" t="s">
        <v>232</v>
      </c>
      <c r="AJ9" s="7"/>
      <c r="AK9" s="7"/>
      <c r="AL9" s="7"/>
    </row>
    <row r="10" spans="1:38" ht="14.5" customHeight="1">
      <c r="A10" s="5" t="s">
        <v>29</v>
      </c>
      <c r="B10" t="s">
        <v>393</v>
      </c>
      <c r="C10" s="5">
        <f>1-C11-C7-C9-C8</f>
        <v>0.23799999999999999</v>
      </c>
      <c r="D10" s="5">
        <v>0.02</v>
      </c>
      <c r="E10" s="5">
        <f>1-E11-E9-E8</f>
        <v>0.11999999999999997</v>
      </c>
      <c r="F10" s="5"/>
      <c r="G10" s="5"/>
      <c r="H10" s="5">
        <v>1</v>
      </c>
      <c r="I10">
        <f>(7+14.7)/100</f>
        <v>0.217</v>
      </c>
      <c r="J10" s="5">
        <v>0.107</v>
      </c>
      <c r="K10" s="5">
        <v>0.25</v>
      </c>
      <c r="L10">
        <v>0.23019366197183075</v>
      </c>
      <c r="M10" s="5">
        <f>61.1/1033.5</f>
        <v>5.9119496855345913E-2</v>
      </c>
      <c r="N10" s="5">
        <v>0.15</v>
      </c>
      <c r="O10" s="36">
        <f>1-O11-O9-O8-O7</f>
        <v>5.9998999999999955E-2</v>
      </c>
      <c r="P10" s="5">
        <v>0.13</v>
      </c>
      <c r="Q10" s="5">
        <v>0.11</v>
      </c>
      <c r="R10" s="14">
        <v>0.2</v>
      </c>
      <c r="S10" s="5">
        <f>1-S11-S7-S8</f>
        <v>0.31</v>
      </c>
      <c r="T10" s="5" t="s">
        <v>24</v>
      </c>
      <c r="U10" s="6"/>
      <c r="V10" s="6" t="s">
        <v>160</v>
      </c>
      <c r="W10" s="6" t="s">
        <v>131</v>
      </c>
      <c r="X10" s="6" t="s">
        <v>144</v>
      </c>
      <c r="Y10" s="6"/>
      <c r="Z10" s="6"/>
      <c r="AA10" s="6" t="s">
        <v>233</v>
      </c>
      <c r="AB10" s="1" t="s">
        <v>341</v>
      </c>
      <c r="AC10" s="6" t="s">
        <v>234</v>
      </c>
      <c r="AD10" s="6" t="s">
        <v>78</v>
      </c>
      <c r="AE10" s="6"/>
      <c r="AF10" s="7" t="s">
        <v>231</v>
      </c>
      <c r="AG10" s="6"/>
      <c r="AH10" s="6"/>
      <c r="AI10" s="6" t="s">
        <v>235</v>
      </c>
      <c r="AJ10" s="6"/>
      <c r="AK10" s="6"/>
      <c r="AL10" s="6"/>
    </row>
    <row r="11" spans="1:38" ht="14.5" customHeight="1">
      <c r="A11" t="s">
        <v>30</v>
      </c>
      <c r="B11" t="s">
        <v>394</v>
      </c>
      <c r="C11">
        <v>0.27300000000000002</v>
      </c>
      <c r="D11">
        <v>0.17</v>
      </c>
      <c r="E11">
        <v>0.52</v>
      </c>
      <c r="H11">
        <v>0.17</v>
      </c>
      <c r="I11">
        <f>7.3/100</f>
        <v>7.2999999999999995E-2</v>
      </c>
      <c r="J11">
        <v>0.29799999999999999</v>
      </c>
      <c r="K11">
        <v>0.11</v>
      </c>
      <c r="L11">
        <v>0.16681338028169013</v>
      </c>
      <c r="M11">
        <f>212.5/1033.5</f>
        <v>0.20561199806482824</v>
      </c>
      <c r="N11">
        <v>0.25</v>
      </c>
      <c r="O11">
        <v>0.8</v>
      </c>
      <c r="P11">
        <v>0.03</v>
      </c>
      <c r="Q11">
        <v>0.41</v>
      </c>
      <c r="R11" s="16">
        <v>0.05</v>
      </c>
      <c r="S11">
        <v>0.5</v>
      </c>
      <c r="T11" t="s">
        <v>24</v>
      </c>
      <c r="U11" s="7"/>
      <c r="V11" s="7" t="s">
        <v>160</v>
      </c>
      <c r="W11" s="7" t="s">
        <v>131</v>
      </c>
      <c r="X11" s="7" t="s">
        <v>145</v>
      </c>
      <c r="Y11" s="7"/>
      <c r="Z11" s="7"/>
      <c r="AA11" s="7"/>
      <c r="AB11" s="1" t="s">
        <v>341</v>
      </c>
      <c r="AC11" s="7" t="s">
        <v>236</v>
      </c>
      <c r="AD11" s="7" t="s">
        <v>78</v>
      </c>
      <c r="AE11" s="7"/>
      <c r="AF11" s="7" t="s">
        <v>224</v>
      </c>
      <c r="AG11" s="7"/>
      <c r="AH11" s="7"/>
      <c r="AI11" s="7" t="s">
        <v>238</v>
      </c>
      <c r="AJ11" s="7"/>
      <c r="AK11" s="7"/>
      <c r="AL11" s="7"/>
    </row>
    <row r="12" spans="1:38" ht="14.5" customHeight="1">
      <c r="A12" s="5" t="s">
        <v>96</v>
      </c>
      <c r="B12" s="5" t="s">
        <v>403</v>
      </c>
      <c r="C12" s="5">
        <v>0.9</v>
      </c>
      <c r="D12" s="5">
        <v>0.9</v>
      </c>
      <c r="E12" s="5">
        <v>0.95</v>
      </c>
      <c r="F12" s="5"/>
      <c r="G12" s="5"/>
      <c r="H12" s="5">
        <v>0.90300000000000002</v>
      </c>
      <c r="I12" s="5">
        <v>0.9</v>
      </c>
      <c r="J12" s="5">
        <v>0.65</v>
      </c>
      <c r="K12" s="5">
        <v>0.95</v>
      </c>
      <c r="L12" s="5">
        <v>0.996</v>
      </c>
      <c r="M12" s="5">
        <v>0.82399999999999995</v>
      </c>
      <c r="N12" s="5">
        <v>0.98799999999999999</v>
      </c>
      <c r="O12" s="5">
        <v>0.79700000000000004</v>
      </c>
      <c r="P12" s="5">
        <v>0.96</v>
      </c>
      <c r="Q12" s="5">
        <v>0.61</v>
      </c>
      <c r="R12" s="14">
        <v>1</v>
      </c>
      <c r="S12" s="5">
        <v>0.95</v>
      </c>
      <c r="T12" s="5" t="s">
        <v>24</v>
      </c>
      <c r="U12" s="6"/>
      <c r="V12" s="6" t="s">
        <v>110</v>
      </c>
      <c r="W12" s="6" t="s">
        <v>129</v>
      </c>
      <c r="X12" s="6" t="s">
        <v>170</v>
      </c>
      <c r="Y12" s="6"/>
      <c r="Z12" s="6"/>
      <c r="AA12" s="6"/>
      <c r="AB12" s="6" t="s">
        <v>342</v>
      </c>
      <c r="AC12" s="6" t="s">
        <v>239</v>
      </c>
      <c r="AD12" s="6" t="s">
        <v>106</v>
      </c>
      <c r="AE12" s="6" t="s">
        <v>240</v>
      </c>
      <c r="AF12" s="6" t="s">
        <v>241</v>
      </c>
      <c r="AG12" s="6" t="s">
        <v>242</v>
      </c>
      <c r="AH12" s="6" t="s">
        <v>243</v>
      </c>
      <c r="AI12" s="6" t="s">
        <v>244</v>
      </c>
      <c r="AJ12" s="6" t="s">
        <v>206</v>
      </c>
      <c r="AK12" s="6"/>
      <c r="AL12" s="6" t="s">
        <v>245</v>
      </c>
    </row>
    <row r="13" spans="1:38" ht="14.5" customHeight="1">
      <c r="A13" t="s">
        <v>97</v>
      </c>
      <c r="B13" s="5" t="s">
        <v>400</v>
      </c>
      <c r="C13">
        <v>0.95</v>
      </c>
      <c r="D13">
        <v>0.95</v>
      </c>
      <c r="E13">
        <v>0.95</v>
      </c>
      <c r="H13">
        <v>0.90300000000000002</v>
      </c>
      <c r="I13">
        <v>0.95</v>
      </c>
      <c r="J13">
        <v>0.65</v>
      </c>
      <c r="K13">
        <v>0.9</v>
      </c>
      <c r="L13">
        <v>0.996</v>
      </c>
      <c r="M13">
        <v>0.82399999999999995</v>
      </c>
      <c r="N13">
        <v>0.98799999999999999</v>
      </c>
      <c r="O13">
        <v>0.79700000000000004</v>
      </c>
      <c r="P13">
        <v>0.96</v>
      </c>
      <c r="Q13">
        <v>0.61</v>
      </c>
      <c r="R13" s="16">
        <v>1</v>
      </c>
      <c r="S13">
        <v>0.95</v>
      </c>
      <c r="T13" t="s">
        <v>24</v>
      </c>
      <c r="U13" s="7"/>
      <c r="V13" s="7" t="s">
        <v>110</v>
      </c>
      <c r="W13" s="7" t="s">
        <v>129</v>
      </c>
      <c r="X13" s="7" t="s">
        <v>170</v>
      </c>
      <c r="Y13" s="7"/>
      <c r="Z13" s="7"/>
      <c r="AA13" s="7"/>
      <c r="AB13" s="7"/>
      <c r="AC13" s="7"/>
      <c r="AD13" s="7" t="s">
        <v>106</v>
      </c>
      <c r="AE13" s="7" t="s">
        <v>246</v>
      </c>
      <c r="AF13" s="7" t="s">
        <v>237</v>
      </c>
      <c r="AG13" s="7"/>
      <c r="AH13" s="7"/>
      <c r="AI13" s="7" t="s">
        <v>247</v>
      </c>
      <c r="AJ13" s="7"/>
      <c r="AK13" s="7"/>
      <c r="AL13" s="7" t="s">
        <v>248</v>
      </c>
    </row>
    <row r="14" spans="1:38" ht="14.5" customHeight="1">
      <c r="A14" s="5" t="s">
        <v>98</v>
      </c>
      <c r="B14" s="5" t="s">
        <v>397</v>
      </c>
      <c r="C14" s="5">
        <v>0.9</v>
      </c>
      <c r="D14" s="5">
        <v>0.9</v>
      </c>
      <c r="E14" s="5">
        <v>0.95</v>
      </c>
      <c r="F14" s="5"/>
      <c r="G14" s="5"/>
      <c r="H14" s="5">
        <v>0.90300000000000002</v>
      </c>
      <c r="I14" s="5">
        <v>0.9</v>
      </c>
      <c r="J14" s="5">
        <v>0.65000000000000013</v>
      </c>
      <c r="K14" s="5">
        <v>0.85</v>
      </c>
      <c r="L14" s="5">
        <v>0.996</v>
      </c>
      <c r="M14" s="5">
        <v>0.82399999999999995</v>
      </c>
      <c r="N14" s="5">
        <v>0.98799999999999999</v>
      </c>
      <c r="O14" s="5">
        <v>0.79700000000000004</v>
      </c>
      <c r="P14" s="5">
        <v>0.96</v>
      </c>
      <c r="Q14" s="5">
        <v>0.61</v>
      </c>
      <c r="R14" s="14">
        <v>1</v>
      </c>
      <c r="S14" s="5">
        <v>0.95</v>
      </c>
      <c r="T14" s="5" t="s">
        <v>24</v>
      </c>
      <c r="U14" s="6"/>
      <c r="V14" s="6" t="s">
        <v>110</v>
      </c>
      <c r="W14" s="6" t="s">
        <v>129</v>
      </c>
      <c r="X14" s="6" t="s">
        <v>170</v>
      </c>
      <c r="Y14" s="6"/>
      <c r="Z14" s="6"/>
      <c r="AA14" s="6"/>
      <c r="AB14" s="6"/>
      <c r="AC14" s="6"/>
      <c r="AD14" s="6" t="s">
        <v>106</v>
      </c>
      <c r="AE14" s="6"/>
      <c r="AF14" s="6"/>
      <c r="AG14" s="6"/>
      <c r="AH14" s="6"/>
      <c r="AI14" s="6"/>
      <c r="AJ14" s="6"/>
      <c r="AK14" s="6"/>
      <c r="AL14" s="6" t="s">
        <v>249</v>
      </c>
    </row>
    <row r="15" spans="1:38" ht="14.5" customHeight="1">
      <c r="A15" t="s">
        <v>99</v>
      </c>
      <c r="B15" s="5" t="s">
        <v>366</v>
      </c>
      <c r="C15">
        <v>0.95</v>
      </c>
      <c r="D15">
        <v>0.95</v>
      </c>
      <c r="E15">
        <v>0.95</v>
      </c>
      <c r="G15" s="8"/>
      <c r="H15">
        <v>0.90300000000000002</v>
      </c>
      <c r="I15">
        <v>0.95</v>
      </c>
      <c r="J15">
        <v>0.65</v>
      </c>
      <c r="K15">
        <v>0.75</v>
      </c>
      <c r="L15">
        <v>0.996</v>
      </c>
      <c r="M15">
        <v>0.82399999999999995</v>
      </c>
      <c r="N15">
        <v>0.98799999999999999</v>
      </c>
      <c r="O15">
        <v>0.79700000000000004</v>
      </c>
      <c r="P15">
        <v>0.96</v>
      </c>
      <c r="Q15">
        <v>0.61</v>
      </c>
      <c r="R15" s="16">
        <v>1</v>
      </c>
      <c r="S15">
        <v>0.95</v>
      </c>
      <c r="T15" t="s">
        <v>24</v>
      </c>
      <c r="U15" s="7"/>
      <c r="V15" s="7" t="s">
        <v>110</v>
      </c>
      <c r="W15" s="7" t="s">
        <v>129</v>
      </c>
      <c r="X15" s="7"/>
      <c r="Y15" s="7"/>
      <c r="Z15" s="7"/>
      <c r="AA15" s="7"/>
      <c r="AB15" s="7"/>
      <c r="AC15" s="7"/>
      <c r="AD15" s="7" t="s">
        <v>106</v>
      </c>
      <c r="AE15" s="7"/>
      <c r="AF15" s="7"/>
      <c r="AG15" s="7"/>
      <c r="AH15" s="7"/>
      <c r="AI15" s="7"/>
      <c r="AJ15" s="7"/>
      <c r="AK15" s="7"/>
      <c r="AL15" s="7"/>
    </row>
    <row r="16" spans="1:38" ht="14.5" customHeight="1">
      <c r="A16" s="5" t="s">
        <v>100</v>
      </c>
      <c r="B16" s="5" t="s">
        <v>365</v>
      </c>
      <c r="C16" s="5">
        <v>0.9</v>
      </c>
      <c r="D16" s="5">
        <v>0.9</v>
      </c>
      <c r="E16" s="5">
        <v>0.95</v>
      </c>
      <c r="F16" s="5"/>
      <c r="G16" s="9"/>
      <c r="H16" s="5">
        <v>0.90300000000000002</v>
      </c>
      <c r="I16" s="5">
        <v>0.9</v>
      </c>
      <c r="J16" s="5">
        <v>0.65</v>
      </c>
      <c r="K16" s="5">
        <v>0.8</v>
      </c>
      <c r="L16" s="5">
        <v>0.996</v>
      </c>
      <c r="M16" s="5">
        <v>0.82399999999999995</v>
      </c>
      <c r="N16" s="5">
        <v>0.98799999999999999</v>
      </c>
      <c r="O16" s="5">
        <v>0.79700000000000004</v>
      </c>
      <c r="P16" s="5">
        <v>0.96</v>
      </c>
      <c r="Q16" s="5">
        <v>0.61</v>
      </c>
      <c r="R16" s="14">
        <v>1</v>
      </c>
      <c r="S16" s="5">
        <v>0.95</v>
      </c>
      <c r="T16" s="5" t="s">
        <v>24</v>
      </c>
      <c r="U16" s="6"/>
      <c r="V16" s="6" t="s">
        <v>110</v>
      </c>
      <c r="W16" s="6" t="s">
        <v>129</v>
      </c>
      <c r="X16" s="6"/>
      <c r="Y16" s="6"/>
      <c r="Z16" s="6"/>
      <c r="AA16" s="6"/>
      <c r="AB16" s="6"/>
      <c r="AC16" s="6"/>
      <c r="AD16" s="6" t="s">
        <v>106</v>
      </c>
      <c r="AE16" s="6"/>
      <c r="AF16" s="6"/>
      <c r="AG16" s="6"/>
      <c r="AH16" s="6"/>
      <c r="AI16" s="6"/>
      <c r="AJ16" s="6"/>
      <c r="AK16" s="6"/>
      <c r="AL16" s="6" t="s">
        <v>250</v>
      </c>
    </row>
    <row r="17" spans="1:38" ht="14.5" customHeight="1">
      <c r="A17" t="s">
        <v>101</v>
      </c>
      <c r="B17" t="s">
        <v>404</v>
      </c>
      <c r="C17">
        <v>50</v>
      </c>
      <c r="D17">
        <v>50</v>
      </c>
      <c r="E17">
        <v>50</v>
      </c>
      <c r="G17" s="8"/>
      <c r="H17">
        <v>1</v>
      </c>
      <c r="I17">
        <v>50</v>
      </c>
      <c r="J17">
        <v>40</v>
      </c>
      <c r="K17">
        <v>40</v>
      </c>
      <c r="L17">
        <v>50</v>
      </c>
      <c r="M17">
        <v>50</v>
      </c>
      <c r="N17">
        <v>50</v>
      </c>
      <c r="O17">
        <v>50</v>
      </c>
      <c r="P17">
        <v>75</v>
      </c>
      <c r="Q17">
        <v>25</v>
      </c>
      <c r="R17" s="16">
        <v>5</v>
      </c>
      <c r="S17">
        <v>0</v>
      </c>
      <c r="T17" t="s">
        <v>24</v>
      </c>
      <c r="U17" s="7"/>
      <c r="V17" s="7" t="s">
        <v>109</v>
      </c>
      <c r="W17" s="7" t="s">
        <v>129</v>
      </c>
      <c r="X17" s="7" t="s">
        <v>150</v>
      </c>
      <c r="Y17" s="7"/>
      <c r="Z17" s="7"/>
      <c r="AA17" s="7"/>
      <c r="AB17" s="7" t="s">
        <v>251</v>
      </c>
      <c r="AC17" s="7" t="s">
        <v>252</v>
      </c>
      <c r="AD17" s="7" t="s">
        <v>106</v>
      </c>
      <c r="AE17" s="17" t="s">
        <v>347</v>
      </c>
      <c r="AF17" s="7" t="s">
        <v>352</v>
      </c>
      <c r="AG17" s="7" t="s">
        <v>351</v>
      </c>
      <c r="AH17" s="7" t="s">
        <v>253</v>
      </c>
      <c r="AI17" s="7" t="s">
        <v>254</v>
      </c>
      <c r="AJ17" s="7" t="s">
        <v>255</v>
      </c>
      <c r="AK17" s="7"/>
      <c r="AL17" s="7"/>
    </row>
    <row r="18" spans="1:38" ht="14.5" customHeight="1">
      <c r="A18" s="5" t="s">
        <v>102</v>
      </c>
      <c r="B18" t="s">
        <v>401</v>
      </c>
      <c r="C18" s="5">
        <v>25</v>
      </c>
      <c r="D18" s="5">
        <v>25</v>
      </c>
      <c r="E18" s="5">
        <v>3</v>
      </c>
      <c r="F18" s="5"/>
      <c r="G18" s="9"/>
      <c r="H18" s="5">
        <v>3</v>
      </c>
      <c r="I18" s="5">
        <v>15</v>
      </c>
      <c r="J18" s="5">
        <v>20</v>
      </c>
      <c r="K18" s="5">
        <v>30</v>
      </c>
      <c r="L18" s="5">
        <v>15</v>
      </c>
      <c r="M18" s="5">
        <v>3</v>
      </c>
      <c r="N18" s="5">
        <v>25</v>
      </c>
      <c r="O18" s="5">
        <v>5</v>
      </c>
      <c r="P18" s="5">
        <v>50</v>
      </c>
      <c r="Q18" s="5">
        <v>15</v>
      </c>
      <c r="R18" s="14">
        <v>30</v>
      </c>
      <c r="S18" s="5">
        <v>0</v>
      </c>
      <c r="T18" s="5" t="s">
        <v>24</v>
      </c>
      <c r="U18" s="6"/>
      <c r="V18" s="6" t="s">
        <v>109</v>
      </c>
      <c r="W18" s="6" t="s">
        <v>129</v>
      </c>
      <c r="X18" s="6" t="s">
        <v>151</v>
      </c>
      <c r="Y18" s="6"/>
      <c r="Z18" s="6"/>
      <c r="AA18" s="19" t="s">
        <v>256</v>
      </c>
      <c r="AB18" s="6" t="s">
        <v>257</v>
      </c>
      <c r="AC18" s="19" t="s">
        <v>258</v>
      </c>
      <c r="AD18" s="6" t="s">
        <v>106</v>
      </c>
      <c r="AE18" s="17" t="s">
        <v>347</v>
      </c>
      <c r="AF18" s="7" t="s">
        <v>352</v>
      </c>
      <c r="AG18" s="6" t="s">
        <v>351</v>
      </c>
      <c r="AH18" s="6"/>
      <c r="AI18" s="6" t="s">
        <v>260</v>
      </c>
      <c r="AJ18" s="6" t="s">
        <v>261</v>
      </c>
      <c r="AK18" s="6"/>
      <c r="AL18" s="6"/>
    </row>
    <row r="19" spans="1:38" ht="14.5" customHeight="1">
      <c r="A19" t="s">
        <v>103</v>
      </c>
      <c r="B19" t="s">
        <v>398</v>
      </c>
      <c r="C19">
        <v>20</v>
      </c>
      <c r="D19">
        <v>20</v>
      </c>
      <c r="E19">
        <v>30</v>
      </c>
      <c r="G19" s="8"/>
      <c r="H19">
        <v>25</v>
      </c>
      <c r="I19">
        <v>50</v>
      </c>
      <c r="J19">
        <v>40</v>
      </c>
      <c r="K19">
        <v>20</v>
      </c>
      <c r="L19">
        <v>25</v>
      </c>
      <c r="M19">
        <v>30</v>
      </c>
      <c r="N19">
        <v>20</v>
      </c>
      <c r="O19">
        <v>20</v>
      </c>
      <c r="P19">
        <v>25</v>
      </c>
      <c r="Q19">
        <v>100</v>
      </c>
      <c r="R19" s="16">
        <v>10</v>
      </c>
      <c r="S19">
        <v>0</v>
      </c>
      <c r="T19" t="s">
        <v>24</v>
      </c>
      <c r="U19" s="7"/>
      <c r="V19" s="7" t="s">
        <v>109</v>
      </c>
      <c r="W19" s="7" t="s">
        <v>129</v>
      </c>
      <c r="X19" s="7" t="s">
        <v>153</v>
      </c>
      <c r="Y19" s="7"/>
      <c r="Z19" s="7"/>
      <c r="AA19" s="7"/>
      <c r="AB19" s="7"/>
      <c r="AC19" s="7"/>
      <c r="AD19" s="7" t="s">
        <v>106</v>
      </c>
      <c r="AE19" s="17" t="s">
        <v>347</v>
      </c>
      <c r="AF19" s="7" t="s">
        <v>352</v>
      </c>
      <c r="AG19" s="7" t="s">
        <v>351</v>
      </c>
      <c r="AH19" s="7" t="s">
        <v>262</v>
      </c>
      <c r="AI19" s="7" t="s">
        <v>263</v>
      </c>
      <c r="AJ19" s="1" t="s">
        <v>264</v>
      </c>
      <c r="AK19" s="7"/>
      <c r="AL19" s="7"/>
    </row>
    <row r="20" spans="1:38" ht="14.5" customHeight="1">
      <c r="A20" s="5" t="s">
        <v>104</v>
      </c>
      <c r="B20" t="s">
        <v>367</v>
      </c>
      <c r="C20" s="5">
        <v>15</v>
      </c>
      <c r="D20" s="5">
        <v>15</v>
      </c>
      <c r="E20" s="5">
        <v>15</v>
      </c>
      <c r="F20" s="5"/>
      <c r="G20" s="9"/>
      <c r="H20" s="5">
        <v>1</v>
      </c>
      <c r="I20" s="5">
        <v>15</v>
      </c>
      <c r="J20" s="5">
        <v>40</v>
      </c>
      <c r="K20" s="5">
        <v>10</v>
      </c>
      <c r="L20" s="5">
        <v>15</v>
      </c>
      <c r="M20" s="5">
        <v>15</v>
      </c>
      <c r="N20" s="5">
        <v>15</v>
      </c>
      <c r="O20" s="5">
        <v>5</v>
      </c>
      <c r="P20" s="5"/>
      <c r="Q20" s="5"/>
      <c r="R20" s="14"/>
      <c r="S20" s="5">
        <v>4</v>
      </c>
      <c r="T20" s="5" t="s">
        <v>24</v>
      </c>
      <c r="U20" s="6"/>
      <c r="V20" s="6" t="s">
        <v>109</v>
      </c>
      <c r="W20" s="6" t="s">
        <v>129</v>
      </c>
      <c r="X20" s="6" t="s">
        <v>154</v>
      </c>
      <c r="Y20" s="6"/>
      <c r="Z20" s="6"/>
      <c r="AA20" s="6" t="s">
        <v>265</v>
      </c>
      <c r="AB20" s="6"/>
      <c r="AC20" s="6"/>
      <c r="AD20" s="6" t="s">
        <v>106</v>
      </c>
      <c r="AE20" s="17" t="s">
        <v>347</v>
      </c>
      <c r="AF20" s="7" t="s">
        <v>352</v>
      </c>
      <c r="AG20" s="6" t="s">
        <v>351</v>
      </c>
      <c r="AH20" s="6" t="s">
        <v>259</v>
      </c>
      <c r="AI20" s="6"/>
      <c r="AJ20" s="6"/>
      <c r="AK20" s="6"/>
      <c r="AL20" s="6"/>
    </row>
    <row r="21" spans="1:38" ht="14.5" customHeight="1">
      <c r="A21" t="s">
        <v>105</v>
      </c>
      <c r="B21" t="s">
        <v>395</v>
      </c>
      <c r="C21">
        <v>15</v>
      </c>
      <c r="D21">
        <v>15</v>
      </c>
      <c r="E21">
        <v>35</v>
      </c>
      <c r="G21" s="8"/>
      <c r="H21">
        <v>20</v>
      </c>
      <c r="I21">
        <v>15</v>
      </c>
      <c r="J21">
        <v>20</v>
      </c>
      <c r="K21">
        <v>15</v>
      </c>
      <c r="L21">
        <v>22</v>
      </c>
      <c r="M21">
        <v>35</v>
      </c>
      <c r="N21">
        <v>15</v>
      </c>
      <c r="O21">
        <v>17</v>
      </c>
      <c r="P21">
        <v>5</v>
      </c>
      <c r="Q21">
        <v>3</v>
      </c>
      <c r="R21" s="16">
        <v>20</v>
      </c>
      <c r="S21">
        <v>16</v>
      </c>
      <c r="T21" t="s">
        <v>24</v>
      </c>
      <c r="U21" s="7"/>
      <c r="V21" s="7" t="s">
        <v>109</v>
      </c>
      <c r="W21" s="7" t="s">
        <v>129</v>
      </c>
      <c r="X21" s="7" t="s">
        <v>152</v>
      </c>
      <c r="Y21" s="7"/>
      <c r="Z21" s="7"/>
      <c r="AA21" s="7"/>
      <c r="AB21" s="7" t="s">
        <v>266</v>
      </c>
      <c r="AD21" s="7" t="s">
        <v>106</v>
      </c>
      <c r="AE21" s="17" t="s">
        <v>347</v>
      </c>
      <c r="AF21" s="7" t="s">
        <v>352</v>
      </c>
      <c r="AG21" s="7" t="s">
        <v>351</v>
      </c>
      <c r="AH21" s="7" t="s">
        <v>267</v>
      </c>
      <c r="AI21" s="7" t="s">
        <v>268</v>
      </c>
      <c r="AJ21" s="7" t="s">
        <v>269</v>
      </c>
      <c r="AK21" s="7"/>
      <c r="AL21" s="7"/>
    </row>
    <row r="22" spans="1:38" ht="14.5" customHeight="1">
      <c r="A22" s="5" t="s">
        <v>134</v>
      </c>
      <c r="B22" s="5" t="s">
        <v>405</v>
      </c>
      <c r="C22" s="5">
        <v>0.64749999999999996</v>
      </c>
      <c r="D22" s="5">
        <v>0.64749999999999996</v>
      </c>
      <c r="E22" s="5">
        <v>0.8</v>
      </c>
      <c r="F22" s="5"/>
      <c r="G22" s="5"/>
      <c r="H22" s="5">
        <v>0.46</v>
      </c>
      <c r="I22" s="5">
        <v>0.25</v>
      </c>
      <c r="J22" s="5"/>
      <c r="K22" s="5">
        <v>0.64800000000000002</v>
      </c>
      <c r="L22" s="5">
        <v>0.87</v>
      </c>
      <c r="M22" s="5">
        <v>0.5</v>
      </c>
      <c r="N22" s="5">
        <v>0.23</v>
      </c>
      <c r="O22" s="5">
        <v>0.1</v>
      </c>
      <c r="P22" s="5"/>
      <c r="Q22" s="5"/>
      <c r="R22" s="20"/>
      <c r="S22" s="5">
        <v>0</v>
      </c>
      <c r="T22" s="5" t="s">
        <v>24</v>
      </c>
      <c r="U22" s="6"/>
      <c r="V22" s="6" t="s">
        <v>174</v>
      </c>
      <c r="W22" s="6"/>
      <c r="X22" s="6" t="s">
        <v>410</v>
      </c>
      <c r="Y22" s="6"/>
      <c r="AA22" s="7"/>
      <c r="AB22" s="17" t="s">
        <v>348</v>
      </c>
      <c r="AC22" s="5"/>
      <c r="AD22" s="6" t="s">
        <v>175</v>
      </c>
      <c r="AE22" s="17" t="s">
        <v>347</v>
      </c>
      <c r="AF22" s="6" t="s">
        <v>411</v>
      </c>
      <c r="AG22" s="19" t="s">
        <v>339</v>
      </c>
      <c r="AH22" s="6" t="s">
        <v>345</v>
      </c>
      <c r="AI22" s="6"/>
      <c r="AJ22" s="6"/>
      <c r="AK22" s="6"/>
      <c r="AL22" s="5"/>
    </row>
    <row r="23" spans="1:38" ht="14.5" customHeight="1">
      <c r="A23" t="s">
        <v>135</v>
      </c>
      <c r="B23" s="5" t="s">
        <v>402</v>
      </c>
      <c r="C23">
        <v>0.72899999999999998</v>
      </c>
      <c r="D23">
        <v>0.72899999999999998</v>
      </c>
      <c r="E23">
        <v>12.5</v>
      </c>
      <c r="H23">
        <v>0.22</v>
      </c>
      <c r="I23">
        <v>0.75</v>
      </c>
      <c r="K23">
        <v>0.495</v>
      </c>
      <c r="L23">
        <v>0.87</v>
      </c>
      <c r="M23">
        <v>12.5</v>
      </c>
      <c r="N23">
        <v>0.22</v>
      </c>
      <c r="O23">
        <v>0.1</v>
      </c>
      <c r="R23" s="21"/>
      <c r="S23">
        <v>0</v>
      </c>
      <c r="T23" t="s">
        <v>24</v>
      </c>
      <c r="U23" s="7"/>
      <c r="V23" s="7" t="s">
        <v>174</v>
      </c>
      <c r="W23" s="7"/>
      <c r="X23" s="7" t="s">
        <v>409</v>
      </c>
      <c r="Y23" s="7"/>
      <c r="AA23" s="6"/>
      <c r="AB23" s="17" t="s">
        <v>348</v>
      </c>
      <c r="AC23" s="7"/>
      <c r="AD23" s="7" t="s">
        <v>175</v>
      </c>
      <c r="AE23" s="17" t="s">
        <v>347</v>
      </c>
      <c r="AF23" s="6" t="s">
        <v>411</v>
      </c>
      <c r="AG23" s="19" t="s">
        <v>339</v>
      </c>
      <c r="AH23" s="6" t="s">
        <v>345</v>
      </c>
      <c r="AI23" s="7"/>
      <c r="AJ23" s="7"/>
      <c r="AK23" s="7"/>
    </row>
    <row r="24" spans="1:38" ht="14.5" customHeight="1">
      <c r="A24" s="5" t="s">
        <v>136</v>
      </c>
      <c r="B24" s="5" t="s">
        <v>399</v>
      </c>
      <c r="C24" s="5">
        <v>0.76690000000000003</v>
      </c>
      <c r="D24" s="5">
        <v>0.76690000000000003</v>
      </c>
      <c r="E24" s="5">
        <v>0.95</v>
      </c>
      <c r="F24" s="5"/>
      <c r="G24" s="5"/>
      <c r="H24" s="5">
        <v>0.05</v>
      </c>
      <c r="I24" s="5">
        <v>0.05</v>
      </c>
      <c r="J24" s="5"/>
      <c r="K24" s="5">
        <v>0.13600000000000001</v>
      </c>
      <c r="L24" s="5">
        <v>0.87</v>
      </c>
      <c r="M24" s="5">
        <v>0.95</v>
      </c>
      <c r="N24" s="5">
        <v>0.19</v>
      </c>
      <c r="O24" s="5">
        <v>0.1</v>
      </c>
      <c r="P24" s="5"/>
      <c r="Q24" s="5"/>
      <c r="R24" s="20"/>
      <c r="S24" s="5">
        <v>0</v>
      </c>
      <c r="T24" s="5" t="s">
        <v>24</v>
      </c>
      <c r="U24" s="6"/>
      <c r="V24" s="6" t="s">
        <v>174</v>
      </c>
      <c r="W24" s="6"/>
      <c r="X24" s="6" t="s">
        <v>408</v>
      </c>
      <c r="Y24" s="6"/>
      <c r="AA24" s="7"/>
      <c r="AB24" s="17" t="s">
        <v>348</v>
      </c>
      <c r="AC24" s="5"/>
      <c r="AD24" s="6" t="s">
        <v>175</v>
      </c>
      <c r="AE24" s="17" t="s">
        <v>347</v>
      </c>
      <c r="AF24" s="6" t="s">
        <v>411</v>
      </c>
      <c r="AG24" s="19" t="s">
        <v>339</v>
      </c>
      <c r="AH24" s="6" t="s">
        <v>345</v>
      </c>
      <c r="AI24" s="6"/>
      <c r="AJ24" s="6"/>
      <c r="AK24" s="6"/>
      <c r="AL24" s="5"/>
    </row>
    <row r="25" spans="1:38" ht="14.5" customHeight="1">
      <c r="A25" t="s">
        <v>137</v>
      </c>
      <c r="B25" s="5" t="s">
        <v>368</v>
      </c>
      <c r="C25">
        <v>0.46850000000000003</v>
      </c>
      <c r="D25">
        <v>0.46850000000000003</v>
      </c>
      <c r="E25">
        <v>0.2</v>
      </c>
      <c r="H25" s="10">
        <v>9.9999999999999995E-7</v>
      </c>
      <c r="I25">
        <v>0.75</v>
      </c>
      <c r="K25">
        <v>0.34649999999999997</v>
      </c>
      <c r="L25">
        <v>0.48</v>
      </c>
      <c r="M25">
        <v>0.2</v>
      </c>
      <c r="N25">
        <v>0.11</v>
      </c>
      <c r="O25">
        <v>0.1</v>
      </c>
      <c r="R25" s="21"/>
      <c r="S25">
        <v>0</v>
      </c>
      <c r="T25" t="s">
        <v>24</v>
      </c>
      <c r="U25" s="7"/>
      <c r="V25" s="7" t="s">
        <v>174</v>
      </c>
      <c r="W25" s="7"/>
      <c r="X25" s="7" t="s">
        <v>407</v>
      </c>
      <c r="Y25" s="7"/>
      <c r="AA25" s="6"/>
      <c r="AB25" s="17" t="s">
        <v>348</v>
      </c>
      <c r="AD25" s="7" t="s">
        <v>175</v>
      </c>
      <c r="AE25" s="17" t="s">
        <v>347</v>
      </c>
      <c r="AF25" s="6" t="s">
        <v>411</v>
      </c>
      <c r="AG25" s="19" t="s">
        <v>339</v>
      </c>
      <c r="AH25" s="6" t="s">
        <v>345</v>
      </c>
      <c r="AI25" s="7"/>
      <c r="AJ25" s="7"/>
      <c r="AK25" s="7"/>
    </row>
    <row r="26" spans="1:38" ht="14.5" customHeight="1">
      <c r="A26" s="5" t="s">
        <v>138</v>
      </c>
      <c r="B26" s="5" t="s">
        <v>396</v>
      </c>
      <c r="C26" s="5">
        <v>0.75</v>
      </c>
      <c r="D26" s="5">
        <v>0.75</v>
      </c>
      <c r="E26" s="5">
        <v>0.95</v>
      </c>
      <c r="F26" s="5"/>
      <c r="G26" s="5"/>
      <c r="H26" s="5">
        <v>0.17</v>
      </c>
      <c r="I26" s="5">
        <v>0.5</v>
      </c>
      <c r="J26" s="5"/>
      <c r="K26" s="5">
        <v>0.63700000000000001</v>
      </c>
      <c r="L26" s="5">
        <v>0.74</v>
      </c>
      <c r="M26" s="5">
        <v>0.95</v>
      </c>
      <c r="N26" s="5">
        <v>0.26</v>
      </c>
      <c r="O26" s="5">
        <v>0.99299999999999999</v>
      </c>
      <c r="P26" s="5"/>
      <c r="Q26" s="5"/>
      <c r="R26" s="20"/>
      <c r="S26" s="5">
        <v>0.45</v>
      </c>
      <c r="T26" s="5" t="s">
        <v>24</v>
      </c>
      <c r="U26" s="6"/>
      <c r="V26" s="6" t="s">
        <v>174</v>
      </c>
      <c r="W26" s="6"/>
      <c r="X26" s="6" t="s">
        <v>406</v>
      </c>
      <c r="Y26" s="6"/>
      <c r="AA26" s="7"/>
      <c r="AB26" s="17" t="s">
        <v>348</v>
      </c>
      <c r="AD26" s="6" t="s">
        <v>175</v>
      </c>
      <c r="AE26" s="17" t="s">
        <v>347</v>
      </c>
      <c r="AF26" s="6" t="s">
        <v>411</v>
      </c>
      <c r="AG26" s="19" t="s">
        <v>339</v>
      </c>
      <c r="AH26" s="1" t="s">
        <v>346</v>
      </c>
      <c r="AI26" s="6"/>
      <c r="AJ26" s="6"/>
      <c r="AK26" s="6"/>
      <c r="AL26" s="5"/>
    </row>
    <row r="27" spans="1:38" ht="14.5" customHeight="1">
      <c r="A27" t="s">
        <v>70</v>
      </c>
      <c r="B27" t="s">
        <v>369</v>
      </c>
      <c r="C27">
        <v>0.34250000000000003</v>
      </c>
      <c r="D27">
        <v>0.33800000000000002</v>
      </c>
      <c r="E27">
        <v>0.26156000000000001</v>
      </c>
      <c r="G27" s="8"/>
      <c r="H27">
        <v>0.38300000000000001</v>
      </c>
      <c r="I27">
        <v>3.5000000000000003E-2</v>
      </c>
      <c r="J27">
        <v>0.35699999999999998</v>
      </c>
      <c r="K27">
        <v>0.3624</v>
      </c>
      <c r="L27">
        <v>0.47</v>
      </c>
      <c r="M27">
        <v>0.17</v>
      </c>
      <c r="N27">
        <v>0.39</v>
      </c>
      <c r="O27">
        <v>0.73</v>
      </c>
      <c r="P27">
        <v>0.21</v>
      </c>
      <c r="Q27">
        <v>0.28999999999999998</v>
      </c>
      <c r="R27" s="16">
        <v>2.7500000000000002E-4</v>
      </c>
      <c r="T27" t="s">
        <v>31</v>
      </c>
      <c r="U27" s="7" t="s">
        <v>71</v>
      </c>
      <c r="V27" s="7" t="s">
        <v>156</v>
      </c>
      <c r="W27" s="7" t="s">
        <v>128</v>
      </c>
      <c r="X27" s="7" t="s">
        <v>139</v>
      </c>
      <c r="Y27" s="7"/>
      <c r="Z27" s="7"/>
      <c r="AA27" s="17" t="s">
        <v>270</v>
      </c>
      <c r="AB27" s="7"/>
      <c r="AC27" s="17" t="s">
        <v>271</v>
      </c>
      <c r="AD27" s="7" t="s">
        <v>77</v>
      </c>
      <c r="AE27" s="7"/>
      <c r="AF27" s="7" t="s">
        <v>338</v>
      </c>
      <c r="AG27" s="7"/>
      <c r="AH27" s="7"/>
      <c r="AI27" s="7" t="s">
        <v>272</v>
      </c>
      <c r="AJ27" s="7"/>
      <c r="AK27" s="7"/>
      <c r="AL27" s="7"/>
    </row>
    <row r="28" spans="1:38" ht="14.5" customHeight="1">
      <c r="A28" s="5" t="s">
        <v>69</v>
      </c>
      <c r="B28" t="s">
        <v>370</v>
      </c>
      <c r="C28" s="5">
        <v>0.24399999999999999</v>
      </c>
      <c r="D28" s="5">
        <v>0.33800000000000002</v>
      </c>
      <c r="E28" s="5">
        <v>0.26156000000000001</v>
      </c>
      <c r="F28" s="5"/>
      <c r="G28" s="9"/>
      <c r="H28" s="5">
        <v>0.46</v>
      </c>
      <c r="I28" s="5">
        <v>6.2E-2</v>
      </c>
      <c r="J28">
        <v>0.35699999999999998</v>
      </c>
      <c r="K28" s="5">
        <v>0.38300000000000001</v>
      </c>
      <c r="L28" s="5">
        <v>0.47</v>
      </c>
      <c r="M28" s="5">
        <v>0.17</v>
      </c>
      <c r="N28" s="5">
        <v>0.39</v>
      </c>
      <c r="O28" s="5">
        <v>0.73</v>
      </c>
      <c r="P28" s="5">
        <v>0.21</v>
      </c>
      <c r="Q28" s="5">
        <v>0.28999999999999998</v>
      </c>
      <c r="R28" s="14">
        <v>2.7500000000000002E-4</v>
      </c>
      <c r="S28" s="5"/>
      <c r="T28" s="5" t="s">
        <v>31</v>
      </c>
      <c r="U28" s="6"/>
      <c r="V28" s="6" t="s">
        <v>157</v>
      </c>
      <c r="W28" s="6" t="s">
        <v>127</v>
      </c>
      <c r="X28" s="6" t="s">
        <v>140</v>
      </c>
      <c r="Y28" s="6"/>
      <c r="Z28" s="6"/>
      <c r="AA28" s="6" t="s">
        <v>273</v>
      </c>
      <c r="AB28" s="6"/>
      <c r="AC28" s="19" t="s">
        <v>271</v>
      </c>
      <c r="AD28" s="6" t="s">
        <v>77</v>
      </c>
      <c r="AE28" s="6"/>
      <c r="AF28" s="6" t="s">
        <v>338</v>
      </c>
      <c r="AG28" s="6" t="s">
        <v>274</v>
      </c>
      <c r="AH28" s="6"/>
      <c r="AI28" s="6" t="s">
        <v>275</v>
      </c>
      <c r="AJ28" s="6"/>
      <c r="AK28" s="6"/>
      <c r="AL28" s="6"/>
    </row>
    <row r="29" spans="1:38" ht="14.5" customHeight="1">
      <c r="A29" t="s">
        <v>75</v>
      </c>
      <c r="B29" t="s">
        <v>371</v>
      </c>
      <c r="C29">
        <v>1</v>
      </c>
      <c r="D29">
        <v>1</v>
      </c>
      <c r="E29">
        <v>1</v>
      </c>
      <c r="F29">
        <v>1</v>
      </c>
      <c r="G29" s="8">
        <v>1</v>
      </c>
      <c r="H29">
        <v>1</v>
      </c>
      <c r="I29">
        <v>1</v>
      </c>
      <c r="J29">
        <v>1</v>
      </c>
      <c r="K29">
        <v>1</v>
      </c>
      <c r="L29">
        <v>1</v>
      </c>
      <c r="M29">
        <v>1</v>
      </c>
      <c r="N29">
        <v>1</v>
      </c>
      <c r="O29">
        <v>1</v>
      </c>
      <c r="P29">
        <v>1</v>
      </c>
      <c r="Q29">
        <v>1</v>
      </c>
      <c r="R29" s="16">
        <v>1</v>
      </c>
      <c r="S29">
        <v>1</v>
      </c>
      <c r="T29" t="s">
        <v>31</v>
      </c>
      <c r="U29" s="7"/>
      <c r="V29" s="7"/>
      <c r="W29" s="7"/>
      <c r="X29" s="6" t="s">
        <v>140</v>
      </c>
      <c r="Y29" s="7"/>
      <c r="Z29" s="7"/>
      <c r="AA29" s="7"/>
      <c r="AB29" s="7"/>
      <c r="AC29" s="7"/>
      <c r="AD29" s="7" t="s">
        <v>77</v>
      </c>
      <c r="AE29" s="7"/>
      <c r="AF29" s="7"/>
      <c r="AG29" s="7"/>
      <c r="AH29" s="7"/>
      <c r="AI29" s="7"/>
      <c r="AJ29" s="7"/>
      <c r="AK29" s="7"/>
      <c r="AL29" s="7"/>
    </row>
    <row r="30" spans="1:38" ht="14.5" customHeight="1">
      <c r="A30" s="5" t="s">
        <v>74</v>
      </c>
      <c r="B30" t="s">
        <v>372</v>
      </c>
      <c r="C30" s="5">
        <v>0.57769999999999999</v>
      </c>
      <c r="D30" s="5">
        <v>0.53300000000000003</v>
      </c>
      <c r="E30" s="5">
        <v>0.1065</v>
      </c>
      <c r="F30" s="5"/>
      <c r="G30" s="9"/>
      <c r="H30" s="5">
        <v>0.64</v>
      </c>
      <c r="I30" s="5">
        <v>0.28999999999999998</v>
      </c>
      <c r="J30" s="5"/>
      <c r="K30" s="5">
        <v>0.43180000000000002</v>
      </c>
      <c r="L30" s="5">
        <v>4.8000000000000001E-2</v>
      </c>
      <c r="M30" s="5">
        <v>0.13</v>
      </c>
      <c r="N30" s="5">
        <v>0.33</v>
      </c>
      <c r="O30" s="5">
        <v>0.42</v>
      </c>
      <c r="P30" s="5">
        <v>0.498</v>
      </c>
      <c r="Q30" s="5">
        <v>0.11700000000000001</v>
      </c>
      <c r="R30" s="14">
        <v>0.625</v>
      </c>
      <c r="S30" s="5"/>
      <c r="T30" s="5" t="s">
        <v>31</v>
      </c>
      <c r="U30" s="6"/>
      <c r="V30" s="6" t="s">
        <v>158</v>
      </c>
      <c r="W30" s="6" t="s">
        <v>131</v>
      </c>
      <c r="X30" s="6" t="s">
        <v>147</v>
      </c>
      <c r="Y30" s="6"/>
      <c r="Z30" s="6"/>
      <c r="AA30" s="19" t="s">
        <v>276</v>
      </c>
      <c r="AB30" s="6"/>
      <c r="AC30" s="6"/>
      <c r="AD30" s="6" t="s">
        <v>77</v>
      </c>
      <c r="AE30" s="6" t="s">
        <v>277</v>
      </c>
      <c r="AF30" s="6"/>
      <c r="AG30" s="6"/>
      <c r="AH30" s="6"/>
      <c r="AI30" s="22" t="s">
        <v>278</v>
      </c>
      <c r="AJ30" s="6"/>
      <c r="AK30" s="6"/>
      <c r="AL30" s="6"/>
    </row>
    <row r="31" spans="1:38" ht="14.5" customHeight="1">
      <c r="A31" t="s">
        <v>72</v>
      </c>
      <c r="B31" t="s">
        <v>374</v>
      </c>
      <c r="C31">
        <v>0</v>
      </c>
      <c r="D31">
        <v>0</v>
      </c>
      <c r="E31">
        <f>1-0.52/2</f>
        <v>0.74</v>
      </c>
      <c r="G31" s="8"/>
      <c r="H31">
        <v>1</v>
      </c>
      <c r="I31">
        <v>1</v>
      </c>
      <c r="J31">
        <v>1</v>
      </c>
      <c r="K31">
        <v>0.38869999999999999</v>
      </c>
      <c r="L31">
        <v>1</v>
      </c>
      <c r="M31">
        <f>1-$M$11/2</f>
        <v>0.89719400096758584</v>
      </c>
      <c r="N31">
        <v>1</v>
      </c>
      <c r="O31">
        <v>1</v>
      </c>
      <c r="P31">
        <v>1</v>
      </c>
      <c r="Q31">
        <v>1</v>
      </c>
      <c r="R31" s="16">
        <v>1</v>
      </c>
      <c r="T31" t="s">
        <v>31</v>
      </c>
      <c r="U31" s="7"/>
      <c r="V31" s="7"/>
      <c r="W31" s="7" t="s">
        <v>130</v>
      </c>
      <c r="X31" s="7" t="s">
        <v>349</v>
      </c>
      <c r="Y31" s="7"/>
      <c r="Z31" s="7"/>
      <c r="AA31" s="7"/>
      <c r="AB31" s="7"/>
      <c r="AC31" s="7"/>
      <c r="AD31" s="7" t="s">
        <v>77</v>
      </c>
      <c r="AE31" s="7"/>
      <c r="AF31" s="7" t="s">
        <v>350</v>
      </c>
      <c r="AG31" s="7"/>
      <c r="AH31" s="7"/>
      <c r="AI31" s="7"/>
      <c r="AJ31" s="7"/>
      <c r="AK31" s="7"/>
      <c r="AL31" s="7"/>
    </row>
    <row r="32" spans="1:38" ht="14.5" customHeight="1">
      <c r="A32" s="5" t="s">
        <v>32</v>
      </c>
      <c r="B32" t="s">
        <v>373</v>
      </c>
      <c r="C32" s="5">
        <v>0</v>
      </c>
      <c r="D32" s="5">
        <v>0</v>
      </c>
      <c r="E32">
        <f>1-0.52/2</f>
        <v>0.74</v>
      </c>
      <c r="F32" s="5"/>
      <c r="G32" s="9"/>
      <c r="H32" s="5">
        <v>1</v>
      </c>
      <c r="I32" s="5">
        <v>1</v>
      </c>
      <c r="J32" s="5">
        <v>1</v>
      </c>
      <c r="K32" s="5">
        <v>0.312</v>
      </c>
      <c r="L32" s="5">
        <v>1</v>
      </c>
      <c r="M32">
        <f>1-$M$11/2</f>
        <v>0.89719400096758584</v>
      </c>
      <c r="N32" s="5">
        <v>1</v>
      </c>
      <c r="O32" s="5">
        <v>1</v>
      </c>
      <c r="P32" s="5">
        <v>1</v>
      </c>
      <c r="Q32" s="5">
        <v>1</v>
      </c>
      <c r="R32" s="14">
        <v>1</v>
      </c>
      <c r="S32" s="5"/>
      <c r="T32" s="5" t="s">
        <v>31</v>
      </c>
      <c r="U32" s="6"/>
      <c r="V32" s="6"/>
      <c r="W32" s="6" t="s">
        <v>130</v>
      </c>
      <c r="X32" s="7" t="s">
        <v>349</v>
      </c>
      <c r="Y32" s="6"/>
      <c r="Z32" s="6"/>
      <c r="AA32" s="6"/>
      <c r="AB32" s="6"/>
      <c r="AC32" s="6"/>
      <c r="AD32" s="6" t="s">
        <v>77</v>
      </c>
      <c r="AE32" s="6"/>
      <c r="AF32" s="7" t="s">
        <v>350</v>
      </c>
      <c r="AG32" s="6"/>
      <c r="AH32" s="6"/>
      <c r="AI32" s="6" t="s">
        <v>205</v>
      </c>
      <c r="AJ32" s="6"/>
      <c r="AK32" s="6"/>
      <c r="AL32" s="6"/>
    </row>
    <row r="33" spans="1:38" ht="14.5" customHeight="1">
      <c r="A33" t="s">
        <v>73</v>
      </c>
      <c r="B33" t="s">
        <v>375</v>
      </c>
      <c r="C33">
        <v>0</v>
      </c>
      <c r="D33">
        <v>0</v>
      </c>
      <c r="E33">
        <v>0.14099999999999999</v>
      </c>
      <c r="F33">
        <v>0.69099999999999995</v>
      </c>
      <c r="G33" s="8"/>
      <c r="H33">
        <v>0</v>
      </c>
      <c r="I33">
        <v>0</v>
      </c>
      <c r="J33">
        <v>0</v>
      </c>
      <c r="K33">
        <v>0.13800000000000001</v>
      </c>
      <c r="L33">
        <v>0.34300000000000003</v>
      </c>
      <c r="M33">
        <v>8.0999999999999996E-4</v>
      </c>
      <c r="N33">
        <v>7.7000000000000002E-3</v>
      </c>
      <c r="O33">
        <v>0</v>
      </c>
      <c r="P33">
        <v>8.0999999999999996E-3</v>
      </c>
      <c r="Q33">
        <v>0.55900000000000005</v>
      </c>
      <c r="R33" s="16">
        <v>1</v>
      </c>
      <c r="T33" t="s">
        <v>31</v>
      </c>
      <c r="U33" s="7"/>
      <c r="V33" s="7"/>
      <c r="W33" s="7"/>
      <c r="X33" s="7"/>
      <c r="Y33" s="7"/>
      <c r="Z33" s="7"/>
      <c r="AA33" s="7"/>
      <c r="AB33" s="7"/>
      <c r="AC33" s="7" t="s">
        <v>279</v>
      </c>
      <c r="AD33" s="7" t="s">
        <v>77</v>
      </c>
      <c r="AE33" s="7" t="s">
        <v>326</v>
      </c>
      <c r="AF33" s="7"/>
      <c r="AG33" s="7"/>
      <c r="AH33" s="7"/>
      <c r="AI33" s="17" t="s">
        <v>281</v>
      </c>
      <c r="AJ33" s="7"/>
      <c r="AK33" s="7"/>
      <c r="AL33" s="7" t="s">
        <v>282</v>
      </c>
    </row>
    <row r="34" spans="1:38" ht="14.5" customHeight="1">
      <c r="A34" s="5" t="s">
        <v>33</v>
      </c>
      <c r="B34" t="s">
        <v>376</v>
      </c>
      <c r="C34" s="5">
        <v>0</v>
      </c>
      <c r="D34" s="5">
        <v>0</v>
      </c>
      <c r="E34" s="5">
        <v>0.14099999999999999</v>
      </c>
      <c r="F34" s="5">
        <v>0.69099999999999995</v>
      </c>
      <c r="G34" s="9"/>
      <c r="H34" s="5">
        <v>0</v>
      </c>
      <c r="I34" s="5">
        <v>0</v>
      </c>
      <c r="J34" s="5">
        <v>0</v>
      </c>
      <c r="K34" s="5">
        <v>1.2E-2</v>
      </c>
      <c r="L34" s="5">
        <v>0.34300000000000003</v>
      </c>
      <c r="M34" s="5">
        <v>8.0999999999999996E-4</v>
      </c>
      <c r="N34" s="5">
        <v>7.7000000000000002E-3</v>
      </c>
      <c r="O34" s="5">
        <v>0</v>
      </c>
      <c r="P34" s="5">
        <v>8.0999999999999996E-3</v>
      </c>
      <c r="Q34" s="5">
        <v>0.55900000000000005</v>
      </c>
      <c r="R34" s="14">
        <v>1</v>
      </c>
      <c r="S34" s="5"/>
      <c r="T34" s="5" t="s">
        <v>31</v>
      </c>
      <c r="U34" s="6"/>
      <c r="V34" s="6"/>
      <c r="W34" s="6"/>
      <c r="X34" s="6"/>
      <c r="Y34" s="6"/>
      <c r="Z34" s="6"/>
      <c r="AA34" s="6"/>
      <c r="AB34" s="6"/>
      <c r="AC34" s="6"/>
      <c r="AD34" s="6" t="s">
        <v>77</v>
      </c>
      <c r="AE34" s="19" t="s">
        <v>327</v>
      </c>
      <c r="AF34" s="6"/>
      <c r="AG34" s="6" t="s">
        <v>280</v>
      </c>
      <c r="AH34" s="6"/>
      <c r="AI34" s="6"/>
      <c r="AJ34" s="6"/>
      <c r="AK34" s="6"/>
      <c r="AL34" s="6"/>
    </row>
    <row r="35" spans="1:38" ht="14.5" customHeight="1">
      <c r="A35" t="s">
        <v>76</v>
      </c>
      <c r="B35" t="s">
        <v>377</v>
      </c>
      <c r="C35">
        <f>64866+33789</f>
        <v>98655</v>
      </c>
      <c r="D35">
        <v>1869000</v>
      </c>
      <c r="E35">
        <v>4.87</v>
      </c>
      <c r="G35" s="8"/>
      <c r="H35">
        <v>108.5</v>
      </c>
      <c r="I35">
        <v>307</v>
      </c>
      <c r="J35">
        <v>2.8</v>
      </c>
      <c r="K35">
        <v>30613</v>
      </c>
      <c r="L35">
        <v>3461.4</v>
      </c>
      <c r="M35">
        <v>31968.75</v>
      </c>
      <c r="N35">
        <v>13518</v>
      </c>
      <c r="O35">
        <v>5920</v>
      </c>
      <c r="P35">
        <v>260997</v>
      </c>
      <c r="Q35">
        <v>260</v>
      </c>
      <c r="R35" s="16">
        <v>260</v>
      </c>
      <c r="T35" t="s">
        <v>31</v>
      </c>
      <c r="U35" s="7"/>
      <c r="V35" s="7" t="s">
        <v>155</v>
      </c>
      <c r="W35" s="7" t="s">
        <v>131</v>
      </c>
      <c r="X35" s="7" t="s">
        <v>148</v>
      </c>
      <c r="Y35" s="7"/>
      <c r="Z35" s="7"/>
      <c r="AA35" s="7" t="s">
        <v>283</v>
      </c>
      <c r="AB35" s="7" t="s">
        <v>284</v>
      </c>
      <c r="AC35" s="7" t="s">
        <v>285</v>
      </c>
      <c r="AD35" s="7" t="s">
        <v>91</v>
      </c>
      <c r="AE35" s="7"/>
      <c r="AF35" s="7"/>
      <c r="AG35" s="7" t="s">
        <v>286</v>
      </c>
      <c r="AH35" s="7"/>
      <c r="AI35" s="7" t="s">
        <v>205</v>
      </c>
      <c r="AJ35" s="7"/>
      <c r="AK35" s="7"/>
      <c r="AL35" s="7"/>
    </row>
    <row r="36" spans="1:38" ht="14.5" customHeight="1">
      <c r="A36" s="5" t="s">
        <v>287</v>
      </c>
      <c r="B36" s="5" t="s">
        <v>378</v>
      </c>
      <c r="C36" s="5">
        <v>0.5</v>
      </c>
      <c r="D36" s="5">
        <v>0.5</v>
      </c>
      <c r="E36" s="5">
        <v>0.5</v>
      </c>
      <c r="F36" s="5">
        <v>0.5</v>
      </c>
      <c r="G36" s="5">
        <v>0.5</v>
      </c>
      <c r="H36" s="5">
        <v>0.5</v>
      </c>
      <c r="I36" s="5">
        <v>0.5</v>
      </c>
      <c r="J36" s="5">
        <v>0.5</v>
      </c>
      <c r="K36" s="5">
        <v>0.5</v>
      </c>
      <c r="L36" s="5">
        <v>0.5</v>
      </c>
      <c r="M36" s="5">
        <v>0.5</v>
      </c>
      <c r="N36" s="5">
        <v>0.5</v>
      </c>
      <c r="O36" s="5">
        <v>0.5</v>
      </c>
      <c r="P36" s="5">
        <v>0.23</v>
      </c>
      <c r="Q36" s="5">
        <v>0.5</v>
      </c>
      <c r="R36" s="5">
        <v>0.5</v>
      </c>
      <c r="S36" s="5">
        <v>0.5</v>
      </c>
      <c r="T36" s="5"/>
      <c r="U36" s="5"/>
      <c r="V36" s="5"/>
      <c r="W36" s="5"/>
      <c r="X36" s="5"/>
      <c r="Y36" s="5"/>
      <c r="Z36" s="5"/>
      <c r="AA36" s="5"/>
      <c r="AB36" s="5"/>
      <c r="AC36" s="5"/>
      <c r="AD36" s="5"/>
      <c r="AE36" s="5"/>
      <c r="AF36" s="5"/>
      <c r="AG36" s="5"/>
      <c r="AH36" s="5"/>
      <c r="AI36" s="5" t="s">
        <v>288</v>
      </c>
      <c r="AJ36" s="5"/>
      <c r="AK36" s="5"/>
      <c r="AL36" s="5"/>
    </row>
    <row r="37" spans="1:38" ht="14.5" customHeight="1">
      <c r="A37" t="s">
        <v>14</v>
      </c>
      <c r="B37" t="s">
        <v>323</v>
      </c>
      <c r="C37">
        <v>64866</v>
      </c>
      <c r="D37">
        <v>1351500</v>
      </c>
      <c r="E37">
        <v>3.5972</v>
      </c>
      <c r="G37" s="8"/>
      <c r="H37" s="15">
        <v>83.8</v>
      </c>
      <c r="I37">
        <v>296</v>
      </c>
      <c r="J37">
        <v>1.85</v>
      </c>
      <c r="K37">
        <v>20400</v>
      </c>
      <c r="L37">
        <v>2610</v>
      </c>
      <c r="M37">
        <v>26.5</v>
      </c>
      <c r="N37">
        <v>12700</v>
      </c>
      <c r="O37">
        <v>4720</v>
      </c>
      <c r="P37">
        <v>294</v>
      </c>
      <c r="Q37">
        <v>0.186</v>
      </c>
      <c r="R37" s="16">
        <v>0.52</v>
      </c>
      <c r="T37" t="s">
        <v>34</v>
      </c>
      <c r="U37" s="7"/>
      <c r="V37" s="7"/>
      <c r="W37" s="7" t="s">
        <v>92</v>
      </c>
      <c r="X37" s="7" t="s">
        <v>147</v>
      </c>
      <c r="Y37" s="7" t="s">
        <v>93</v>
      </c>
      <c r="Z37" s="7"/>
      <c r="AA37" s="7" t="s">
        <v>289</v>
      </c>
      <c r="AB37" s="17" t="s">
        <v>290</v>
      </c>
      <c r="AC37" s="7" t="s">
        <v>200</v>
      </c>
      <c r="AD37" s="7"/>
      <c r="AE37" s="7"/>
      <c r="AF37" s="7"/>
      <c r="AG37" s="7"/>
      <c r="AH37" s="7"/>
      <c r="AI37" s="7"/>
      <c r="AJ37" s="7" t="s">
        <v>291</v>
      </c>
      <c r="AK37" s="7"/>
      <c r="AL37" s="7"/>
    </row>
    <row r="38" spans="1:38" ht="14.5" customHeight="1">
      <c r="A38" s="23" t="s">
        <v>15</v>
      </c>
      <c r="B38" s="23" t="s">
        <v>379</v>
      </c>
      <c r="C38" s="5">
        <f>2353/5.1</f>
        <v>461.3725490196079</v>
      </c>
      <c r="D38" s="5">
        <v>745.14</v>
      </c>
      <c r="E38" s="5">
        <v>3.5370000000000002E-3</v>
      </c>
      <c r="F38" s="5"/>
      <c r="G38" s="9"/>
      <c r="H38" s="5">
        <v>1</v>
      </c>
      <c r="I38" s="5">
        <v>4.5032618547779402</v>
      </c>
      <c r="J38" s="5"/>
      <c r="K38" s="5">
        <v>12.449078</v>
      </c>
      <c r="L38" s="5">
        <v>24.843557000000001</v>
      </c>
      <c r="M38" s="5">
        <v>8.0507999999999996E-2</v>
      </c>
      <c r="N38" s="5">
        <v>16.420480999999999</v>
      </c>
      <c r="O38" s="5">
        <v>4.8053819999999998</v>
      </c>
      <c r="P38" s="5">
        <v>8.8008670000000002</v>
      </c>
      <c r="Q38" s="5">
        <v>5.6010000000000001E-3</v>
      </c>
      <c r="R38" s="14"/>
      <c r="S38" s="5"/>
      <c r="T38" s="5" t="s">
        <v>34</v>
      </c>
      <c r="U38" s="6"/>
      <c r="V38" s="6" t="s">
        <v>172</v>
      </c>
      <c r="W38" s="6" t="s">
        <v>90</v>
      </c>
      <c r="X38" s="19" t="s">
        <v>111</v>
      </c>
      <c r="Y38" s="6"/>
      <c r="Z38" s="6"/>
      <c r="AA38" s="6" t="s">
        <v>420</v>
      </c>
      <c r="AB38" s="6" t="s">
        <v>359</v>
      </c>
      <c r="AC38" s="6"/>
      <c r="AD38" s="6" t="s">
        <v>111</v>
      </c>
      <c r="AE38" s="6" t="s">
        <v>111</v>
      </c>
      <c r="AF38" s="6" t="s">
        <v>111</v>
      </c>
      <c r="AG38" s="6" t="s">
        <v>111</v>
      </c>
      <c r="AH38" s="6" t="s">
        <v>111</v>
      </c>
      <c r="AI38" s="6" t="s">
        <v>111</v>
      </c>
      <c r="AJ38" s="6" t="s">
        <v>111</v>
      </c>
      <c r="AK38" s="6"/>
      <c r="AL38" s="6"/>
    </row>
    <row r="39" spans="1:38" ht="14.5" customHeight="1">
      <c r="A39" s="24" t="s">
        <v>16</v>
      </c>
      <c r="B39" s="23" t="s">
        <v>380</v>
      </c>
      <c r="C39">
        <f>0.995^0.5</f>
        <v>0.99749686716300012</v>
      </c>
      <c r="D39">
        <f>1.75414^0.5</f>
        <v>1.3244395040922028</v>
      </c>
      <c r="E39">
        <f>1.119928^0.5</f>
        <v>1.0582665070765493</v>
      </c>
      <c r="G39" s="8"/>
      <c r="H39">
        <v>0.7</v>
      </c>
      <c r="I39" s="37">
        <v>0.74194119079264453</v>
      </c>
      <c r="K39">
        <f>4.506331^0.5</f>
        <v>2.1228120500882786</v>
      </c>
      <c r="L39">
        <f>0.730054^0.5</f>
        <v>0.85443197505711355</v>
      </c>
      <c r="M39">
        <f>1.164431^0.5</f>
        <v>1.0790880408937911</v>
      </c>
      <c r="N39">
        <f>2.619654^0.5</f>
        <v>1.6185345223380316</v>
      </c>
      <c r="O39">
        <f>2.612836^0.5</f>
        <v>1.6164269238044757</v>
      </c>
      <c r="P39">
        <f>0.082201^0.5</f>
        <v>0.2867071676815911</v>
      </c>
      <c r="Q39">
        <f>0.603488^0.5</f>
        <v>0.77684490086503111</v>
      </c>
      <c r="R39" s="16"/>
      <c r="T39" t="s">
        <v>34</v>
      </c>
      <c r="U39" s="7"/>
      <c r="V39" s="7" t="s">
        <v>161</v>
      </c>
      <c r="W39" s="7" t="s">
        <v>89</v>
      </c>
      <c r="X39" s="7" t="s">
        <v>111</v>
      </c>
      <c r="Y39" s="7"/>
      <c r="Z39" s="7"/>
      <c r="AA39" s="6" t="s">
        <v>420</v>
      </c>
      <c r="AB39" s="7" t="s">
        <v>355</v>
      </c>
      <c r="AC39" s="7"/>
      <c r="AD39" s="7" t="s">
        <v>111</v>
      </c>
      <c r="AE39" s="7" t="s">
        <v>111</v>
      </c>
      <c r="AF39" s="7" t="s">
        <v>111</v>
      </c>
      <c r="AG39" s="7" t="s">
        <v>111</v>
      </c>
      <c r="AH39" s="7" t="s">
        <v>111</v>
      </c>
      <c r="AI39" s="7" t="s">
        <v>111</v>
      </c>
      <c r="AJ39" s="7" t="s">
        <v>111</v>
      </c>
      <c r="AK39" s="7"/>
      <c r="AL39" s="7"/>
    </row>
    <row r="40" spans="1:38" ht="14.5" customHeight="1">
      <c r="A40" s="23" t="s">
        <v>35</v>
      </c>
      <c r="B40" s="23" t="s">
        <v>381</v>
      </c>
      <c r="C40" s="5">
        <f>39.886/1.93</f>
        <v>20.666321243523317</v>
      </c>
      <c r="D40" s="5">
        <v>63.37</v>
      </c>
      <c r="E40" s="5">
        <v>2.2100000000000001E-4</v>
      </c>
      <c r="F40" s="5"/>
      <c r="H40" s="5">
        <v>0.7</v>
      </c>
      <c r="I40" s="38">
        <v>1.0968131213886334</v>
      </c>
      <c r="J40" s="5"/>
      <c r="K40" s="5">
        <v>0.64898900000000004</v>
      </c>
      <c r="L40" s="5">
        <v>1.2763679999999999</v>
      </c>
      <c r="M40" s="5">
        <v>1.6863E-2</v>
      </c>
      <c r="N40" s="5">
        <v>3.8657819999999998</v>
      </c>
      <c r="O40" s="5">
        <v>2.2956560000000001</v>
      </c>
      <c r="P40" s="5">
        <v>0.19573199999999999</v>
      </c>
      <c r="Q40" s="5">
        <v>1.7799999999999999E-4</v>
      </c>
      <c r="R40" s="14"/>
      <c r="S40" s="5"/>
      <c r="T40" s="5" t="s">
        <v>34</v>
      </c>
      <c r="U40" s="6"/>
      <c r="V40" s="6" t="s">
        <v>171</v>
      </c>
      <c r="W40" s="6" t="s">
        <v>89</v>
      </c>
      <c r="X40" s="6" t="s">
        <v>111</v>
      </c>
      <c r="Y40" s="6"/>
      <c r="Z40" s="6"/>
      <c r="AA40" s="6" t="s">
        <v>415</v>
      </c>
      <c r="AB40" s="6" t="s">
        <v>356</v>
      </c>
      <c r="AC40" s="6"/>
      <c r="AD40" s="6" t="s">
        <v>111</v>
      </c>
      <c r="AE40" s="6" t="s">
        <v>111</v>
      </c>
      <c r="AF40" s="6" t="s">
        <v>111</v>
      </c>
      <c r="AG40" s="6" t="s">
        <v>111</v>
      </c>
      <c r="AH40" s="6" t="s">
        <v>111</v>
      </c>
      <c r="AI40" s="6" t="s">
        <v>111</v>
      </c>
      <c r="AJ40" s="6" t="s">
        <v>111</v>
      </c>
      <c r="AK40" s="6"/>
      <c r="AL40" s="6"/>
    </row>
    <row r="41" spans="1:38" ht="14.5" customHeight="1">
      <c r="A41" s="24" t="s">
        <v>36</v>
      </c>
      <c r="B41" s="23" t="s">
        <v>380</v>
      </c>
      <c r="C41">
        <f>0.1332^0.5</f>
        <v>0.3649657518178932</v>
      </c>
      <c r="D41">
        <f>0.0601^0.5</f>
        <v>0.24515301344262524</v>
      </c>
      <c r="E41">
        <v>0.95105399999999995</v>
      </c>
      <c r="G41" s="8"/>
      <c r="H41">
        <v>0.35</v>
      </c>
      <c r="I41" s="37">
        <v>0.57791694994750731</v>
      </c>
      <c r="K41">
        <v>0.72167400000000004</v>
      </c>
      <c r="L41">
        <v>0.627772</v>
      </c>
      <c r="M41">
        <f>0.592826^0.5</f>
        <v>0.76995194655251054</v>
      </c>
      <c r="N41">
        <f>0.385681^0.5</f>
        <v>0.62103220528407377</v>
      </c>
      <c r="O41">
        <f>0.551519^0.5</f>
        <v>0.74264325217428584</v>
      </c>
      <c r="P41">
        <f>0.001142^0.5</f>
        <v>3.3793490497431605E-2</v>
      </c>
      <c r="Q41">
        <f>0.119309^0.5</f>
        <v>0.34541134897394438</v>
      </c>
      <c r="R41" s="16"/>
      <c r="T41" t="s">
        <v>34</v>
      </c>
      <c r="U41" s="7" t="s">
        <v>311</v>
      </c>
      <c r="V41" s="7" t="s">
        <v>310</v>
      </c>
      <c r="W41" s="7" t="s">
        <v>89</v>
      </c>
      <c r="X41" s="7" t="s">
        <v>111</v>
      </c>
      <c r="Y41" s="7"/>
      <c r="Z41" s="7"/>
      <c r="AA41" s="6" t="s">
        <v>415</v>
      </c>
      <c r="AB41" s="6" t="s">
        <v>357</v>
      </c>
      <c r="AC41" s="7"/>
      <c r="AD41" s="7" t="s">
        <v>111</v>
      </c>
      <c r="AE41" s="7" t="s">
        <v>111</v>
      </c>
      <c r="AF41" s="7" t="s">
        <v>111</v>
      </c>
      <c r="AG41" s="7" t="s">
        <v>111</v>
      </c>
      <c r="AH41" s="7" t="s">
        <v>111</v>
      </c>
      <c r="AI41" s="7" t="s">
        <v>111</v>
      </c>
      <c r="AJ41" s="7" t="s">
        <v>111</v>
      </c>
      <c r="AK41" s="7"/>
      <c r="AL41" s="7"/>
    </row>
    <row r="42" spans="1:38" ht="14.5" customHeight="1">
      <c r="A42" s="5" t="s">
        <v>37</v>
      </c>
      <c r="B42" s="5" t="s">
        <v>383</v>
      </c>
      <c r="C42" s="5">
        <v>1807.7719999999999</v>
      </c>
      <c r="D42" s="5">
        <v>670</v>
      </c>
      <c r="E42" s="11">
        <v>44806598</v>
      </c>
      <c r="F42" s="11">
        <v>35736</v>
      </c>
      <c r="G42" s="9"/>
      <c r="H42" s="5">
        <v>30800</v>
      </c>
      <c r="I42" s="11">
        <v>19444</v>
      </c>
      <c r="J42" s="5">
        <v>161000</v>
      </c>
      <c r="K42" s="5">
        <v>6018.558</v>
      </c>
      <c r="L42" s="5">
        <v>14285.808000000001</v>
      </c>
      <c r="M42" s="9">
        <f>16.22*35274</f>
        <v>572144.27999999991</v>
      </c>
      <c r="N42" s="5">
        <v>2535.29</v>
      </c>
      <c r="O42" s="5">
        <v>2006.1859999999999</v>
      </c>
      <c r="P42" s="11">
        <v>24647.428</v>
      </c>
      <c r="Q42" s="11">
        <v>27710303</v>
      </c>
      <c r="R42" s="14">
        <v>58419.6</v>
      </c>
      <c r="S42" s="25">
        <v>11120.835754394531</v>
      </c>
      <c r="T42" s="5" t="s">
        <v>34</v>
      </c>
      <c r="U42" s="6" t="s">
        <v>125</v>
      </c>
      <c r="V42" s="6"/>
      <c r="W42" s="6"/>
      <c r="X42" s="6"/>
      <c r="Y42" s="6"/>
      <c r="Z42" s="6"/>
      <c r="AA42" s="19" t="s">
        <v>328</v>
      </c>
      <c r="AB42" s="6"/>
      <c r="AC42" s="19" t="s">
        <v>329</v>
      </c>
      <c r="AD42" s="6" t="s">
        <v>292</v>
      </c>
      <c r="AE42" s="6"/>
      <c r="AF42" s="35" t="s">
        <v>331</v>
      </c>
      <c r="AG42" s="6"/>
      <c r="AH42" s="19" t="s">
        <v>293</v>
      </c>
      <c r="AI42" s="6"/>
      <c r="AJ42" s="6"/>
      <c r="AK42" s="6"/>
      <c r="AL42" s="6" t="s">
        <v>294</v>
      </c>
    </row>
    <row r="43" spans="1:38" ht="14.5" customHeight="1">
      <c r="A43" t="s">
        <v>124</v>
      </c>
      <c r="B43" t="s">
        <v>382</v>
      </c>
      <c r="C43">
        <v>706</v>
      </c>
      <c r="D43">
        <v>25</v>
      </c>
      <c r="E43" s="10">
        <f>E42-1000*35274</f>
        <v>9532598</v>
      </c>
      <c r="G43" s="8"/>
      <c r="H43">
        <v>15.968999999999999</v>
      </c>
      <c r="I43">
        <v>4661</v>
      </c>
      <c r="J43">
        <v>-27033</v>
      </c>
      <c r="K43">
        <v>211</v>
      </c>
      <c r="L43">
        <v>1394</v>
      </c>
      <c r="M43" s="10">
        <f>M42-14.86*35274</f>
        <v>47972.639999999956</v>
      </c>
      <c r="N43">
        <f>N42-0.88*2204.6</f>
        <v>595.24199999999996</v>
      </c>
      <c r="O43">
        <f>O42-0.77*2204.6</f>
        <v>308.64400000000001</v>
      </c>
      <c r="P43">
        <v>23820</v>
      </c>
      <c r="Q43" s="10">
        <f>Q42-696.31*35274</f>
        <v>3148664.0600000024</v>
      </c>
      <c r="R43" s="16"/>
      <c r="V43" t="s">
        <v>164</v>
      </c>
      <c r="W43" t="s">
        <v>166</v>
      </c>
      <c r="X43" t="s">
        <v>165</v>
      </c>
      <c r="Y43" t="s">
        <v>126</v>
      </c>
      <c r="AA43" s="1" t="s">
        <v>295</v>
      </c>
      <c r="AB43" t="s">
        <v>296</v>
      </c>
      <c r="AC43" s="1" t="s">
        <v>330</v>
      </c>
      <c r="AD43" t="s">
        <v>297</v>
      </c>
      <c r="AE43" t="s">
        <v>298</v>
      </c>
      <c r="AF43" t="s">
        <v>332</v>
      </c>
      <c r="AG43" t="s">
        <v>169</v>
      </c>
      <c r="AH43" t="s">
        <v>168</v>
      </c>
      <c r="AI43" t="s">
        <v>126</v>
      </c>
      <c r="AJ43" t="s">
        <v>167</v>
      </c>
      <c r="AL43" s="7"/>
    </row>
    <row r="44" spans="1:38" ht="14.5" customHeight="1">
      <c r="A44" s="23" t="s">
        <v>38</v>
      </c>
      <c r="B44" s="23" t="s">
        <v>386</v>
      </c>
      <c r="C44" s="5">
        <v>0</v>
      </c>
      <c r="D44" s="5">
        <v>3.5595105672969966E-2</v>
      </c>
      <c r="E44" s="5">
        <v>0.41146924083769632</v>
      </c>
      <c r="F44" s="5">
        <v>0.23853211009174313</v>
      </c>
      <c r="G44" s="9"/>
      <c r="H44" s="5"/>
      <c r="I44" s="5">
        <v>0.43914889552565523</v>
      </c>
      <c r="J44" s="5"/>
      <c r="K44" s="5">
        <v>0.33660000000000001</v>
      </c>
      <c r="L44" s="5">
        <v>0.29027355623100304</v>
      </c>
      <c r="M44" s="5">
        <v>0.56660119287056465</v>
      </c>
      <c r="N44" s="5">
        <v>0.60416666666666663</v>
      </c>
      <c r="O44" s="5">
        <v>0.68702522029778179</v>
      </c>
      <c r="P44" s="5">
        <v>0.26022304832713755</v>
      </c>
      <c r="Q44" s="5">
        <v>0.54192825112107623</v>
      </c>
      <c r="R44" s="14"/>
      <c r="S44" s="5">
        <v>0.22445561139028475</v>
      </c>
      <c r="T44" s="5" t="s">
        <v>34</v>
      </c>
      <c r="U44" s="5"/>
      <c r="V44" s="5" t="s">
        <v>163</v>
      </c>
      <c r="W44" s="6" t="s">
        <v>88</v>
      </c>
      <c r="X44" s="6" t="s">
        <v>88</v>
      </c>
      <c r="Y44" s="6"/>
      <c r="Z44" s="6"/>
      <c r="AA44" s="6" t="s">
        <v>299</v>
      </c>
      <c r="AB44" s="6" t="s">
        <v>358</v>
      </c>
      <c r="AC44" s="6"/>
      <c r="AD44" s="6" t="s">
        <v>123</v>
      </c>
      <c r="AE44" s="6" t="s">
        <v>123</v>
      </c>
      <c r="AF44" s="6" t="s">
        <v>123</v>
      </c>
      <c r="AG44" s="6" t="s">
        <v>123</v>
      </c>
      <c r="AH44" s="6" t="s">
        <v>123</v>
      </c>
      <c r="AI44" s="6" t="s">
        <v>123</v>
      </c>
      <c r="AJ44" s="6" t="s">
        <v>123</v>
      </c>
      <c r="AK44" s="6" t="s">
        <v>122</v>
      </c>
      <c r="AL44" s="6"/>
    </row>
    <row r="45" spans="1:38" ht="14.5" customHeight="1">
      <c r="A45" s="24" t="s">
        <v>39</v>
      </c>
      <c r="B45" s="23" t="s">
        <v>387</v>
      </c>
      <c r="C45">
        <v>1</v>
      </c>
      <c r="D45">
        <v>0.46329254727474972</v>
      </c>
      <c r="E45">
        <v>0.49825752617801045</v>
      </c>
      <c r="F45">
        <v>0.67889908256880738</v>
      </c>
      <c r="G45" s="8"/>
      <c r="I45">
        <v>0.51673572270432799</v>
      </c>
      <c r="K45">
        <v>0.61550000000000005</v>
      </c>
      <c r="L45">
        <v>0.68844984802431608</v>
      </c>
      <c r="M45">
        <v>0.37476819923156995</v>
      </c>
      <c r="N45">
        <v>0.35165550595238093</v>
      </c>
      <c r="O45">
        <v>0.2707383773928897</v>
      </c>
      <c r="P45">
        <v>0.64312267657992561</v>
      </c>
      <c r="Q45">
        <v>0.33004484304932735</v>
      </c>
      <c r="R45" s="21"/>
      <c r="S45">
        <v>0.45561139028475711</v>
      </c>
      <c r="T45" t="s">
        <v>34</v>
      </c>
      <c r="V45" t="s">
        <v>163</v>
      </c>
      <c r="W45" s="7" t="s">
        <v>88</v>
      </c>
      <c r="X45" s="7" t="s">
        <v>88</v>
      </c>
      <c r="Y45" s="7"/>
      <c r="Z45" s="7"/>
      <c r="AA45" s="7" t="s">
        <v>300</v>
      </c>
      <c r="AB45" s="6"/>
      <c r="AC45" s="7"/>
      <c r="AD45" s="7" t="s">
        <v>123</v>
      </c>
      <c r="AE45" s="7" t="s">
        <v>123</v>
      </c>
      <c r="AF45" s="7" t="s">
        <v>123</v>
      </c>
      <c r="AG45" s="7" t="s">
        <v>123</v>
      </c>
      <c r="AH45" s="7" t="s">
        <v>123</v>
      </c>
      <c r="AI45" s="7" t="s">
        <v>123</v>
      </c>
      <c r="AJ45" s="7" t="s">
        <v>123</v>
      </c>
      <c r="AK45" s="7" t="s">
        <v>122</v>
      </c>
      <c r="AL45" s="7"/>
    </row>
    <row r="46" spans="1:38" ht="14.5" customHeight="1">
      <c r="A46" s="23" t="s">
        <v>40</v>
      </c>
      <c r="B46" s="23" t="s">
        <v>388</v>
      </c>
      <c r="C46" s="5">
        <v>0</v>
      </c>
      <c r="D46" s="5">
        <v>1.1123470522803114E-3</v>
      </c>
      <c r="E46" s="5">
        <v>2.6333442408376963E-2</v>
      </c>
      <c r="F46" s="5">
        <v>4.5871559633027525E-2</v>
      </c>
      <c r="G46" s="9"/>
      <c r="H46" s="5"/>
      <c r="I46" s="5">
        <v>0</v>
      </c>
      <c r="J46" s="5"/>
      <c r="K46" s="5">
        <v>2.8199999999999999E-2</v>
      </c>
      <c r="L46" s="5">
        <v>2.1276595744680851E-2</v>
      </c>
      <c r="M46" s="5">
        <v>3.2714861804723751E-2</v>
      </c>
      <c r="N46" s="5">
        <v>2.7994791666666668E-2</v>
      </c>
      <c r="O46" s="5">
        <v>2.3701002734731084E-2</v>
      </c>
      <c r="P46" s="5">
        <v>9.6654275092936809E-2</v>
      </c>
      <c r="Q46" s="5">
        <v>0.12645739910313902</v>
      </c>
      <c r="R46" s="20"/>
      <c r="S46" s="5">
        <v>8.3752093802345051E-3</v>
      </c>
      <c r="T46" s="5" t="s">
        <v>34</v>
      </c>
      <c r="U46" s="5"/>
      <c r="V46" s="5" t="s">
        <v>163</v>
      </c>
      <c r="W46" s="6" t="s">
        <v>88</v>
      </c>
      <c r="X46" s="6" t="s">
        <v>88</v>
      </c>
      <c r="Y46" s="6"/>
      <c r="Z46" s="6"/>
      <c r="AA46" s="6"/>
      <c r="AB46" s="6"/>
      <c r="AC46" s="6"/>
      <c r="AD46" s="6" t="s">
        <v>123</v>
      </c>
      <c r="AE46" s="6" t="s">
        <v>123</v>
      </c>
      <c r="AF46" s="6" t="s">
        <v>123</v>
      </c>
      <c r="AG46" s="6" t="s">
        <v>123</v>
      </c>
      <c r="AH46" s="6" t="s">
        <v>123</v>
      </c>
      <c r="AI46" s="6" t="s">
        <v>123</v>
      </c>
      <c r="AJ46" s="6" t="s">
        <v>123</v>
      </c>
      <c r="AK46" s="6" t="s">
        <v>122</v>
      </c>
      <c r="AL46" s="6"/>
    </row>
    <row r="47" spans="1:38" ht="14.5" customHeight="1">
      <c r="A47" s="24" t="s">
        <v>41</v>
      </c>
      <c r="B47" s="23" t="s">
        <v>384</v>
      </c>
      <c r="C47">
        <v>0</v>
      </c>
      <c r="D47">
        <v>0.5</v>
      </c>
      <c r="E47">
        <v>6.1420157068062829E-2</v>
      </c>
      <c r="F47">
        <v>3.669724770642202E-2</v>
      </c>
      <c r="I47" s="4">
        <v>4.4115380000000003E-2</v>
      </c>
      <c r="K47">
        <v>1.9699999999999999E-2</v>
      </c>
      <c r="L47">
        <v>0</v>
      </c>
      <c r="M47">
        <v>2.5156055840595024E-2</v>
      </c>
      <c r="N47">
        <v>1.6183035714285716E-2</v>
      </c>
      <c r="O47">
        <v>1.8535399574597388E-2</v>
      </c>
      <c r="P47">
        <v>0</v>
      </c>
      <c r="Q47">
        <v>1.569506726457399E-3</v>
      </c>
      <c r="R47" s="21"/>
      <c r="S47">
        <v>3.350083752093802E-2</v>
      </c>
      <c r="T47" t="s">
        <v>34</v>
      </c>
      <c r="V47" t="s">
        <v>163</v>
      </c>
      <c r="W47" s="7" t="s">
        <v>88</v>
      </c>
      <c r="X47" s="7" t="s">
        <v>88</v>
      </c>
      <c r="Y47" s="7"/>
      <c r="Z47" s="7"/>
      <c r="AA47" s="7"/>
      <c r="AB47" s="6"/>
      <c r="AC47" s="7"/>
      <c r="AD47" s="7" t="s">
        <v>123</v>
      </c>
      <c r="AE47" s="7" t="s">
        <v>123</v>
      </c>
      <c r="AF47" s="7" t="s">
        <v>123</v>
      </c>
      <c r="AG47" s="7" t="s">
        <v>123</v>
      </c>
      <c r="AH47" s="7" t="s">
        <v>123</v>
      </c>
      <c r="AI47" s="7" t="s">
        <v>123</v>
      </c>
      <c r="AJ47" s="7" t="s">
        <v>123</v>
      </c>
      <c r="AK47" s="7" t="s">
        <v>122</v>
      </c>
      <c r="AL47" s="7"/>
    </row>
    <row r="48" spans="1:38" ht="14.5" customHeight="1">
      <c r="A48" s="23" t="s">
        <v>42</v>
      </c>
      <c r="B48" s="23" t="s">
        <v>385</v>
      </c>
      <c r="C48" s="5">
        <v>0</v>
      </c>
      <c r="D48" s="5">
        <v>0</v>
      </c>
      <c r="E48" s="5">
        <v>2.5196335078534033E-3</v>
      </c>
      <c r="F48" s="5">
        <v>0</v>
      </c>
      <c r="G48" s="5"/>
      <c r="H48" s="5"/>
      <c r="I48" s="5">
        <v>0</v>
      </c>
      <c r="J48" s="5"/>
      <c r="K48" s="5">
        <v>0</v>
      </c>
      <c r="L48" s="5">
        <v>0</v>
      </c>
      <c r="M48" s="5">
        <v>7.5969025254658709E-4</v>
      </c>
      <c r="N48" s="5">
        <v>0</v>
      </c>
      <c r="O48" s="5">
        <v>0</v>
      </c>
      <c r="P48" s="5">
        <v>0</v>
      </c>
      <c r="Q48" s="5">
        <v>0</v>
      </c>
      <c r="R48" s="20"/>
      <c r="S48" s="5">
        <v>0.27805695142378561</v>
      </c>
      <c r="T48" s="5" t="s">
        <v>34</v>
      </c>
      <c r="U48" s="5"/>
      <c r="V48" s="5" t="s">
        <v>163</v>
      </c>
      <c r="W48" s="6" t="s">
        <v>88</v>
      </c>
      <c r="X48" s="6" t="s">
        <v>88</v>
      </c>
      <c r="Y48" s="6"/>
      <c r="Z48" s="6"/>
      <c r="AA48" s="6"/>
      <c r="AB48" s="6"/>
      <c r="AC48" s="6"/>
      <c r="AD48" s="6" t="s">
        <v>123</v>
      </c>
      <c r="AE48" s="6" t="s">
        <v>123</v>
      </c>
      <c r="AF48" s="6" t="s">
        <v>123</v>
      </c>
      <c r="AG48" s="6" t="s">
        <v>123</v>
      </c>
      <c r="AH48" s="6" t="s">
        <v>123</v>
      </c>
      <c r="AI48" s="6" t="s">
        <v>123</v>
      </c>
      <c r="AJ48" s="6" t="s">
        <v>123</v>
      </c>
      <c r="AK48" s="6" t="s">
        <v>122</v>
      </c>
      <c r="AL48" s="6"/>
    </row>
    <row r="49" spans="1:38" ht="14.5" customHeight="1">
      <c r="A49" s="26" t="s">
        <v>43</v>
      </c>
      <c r="B49" s="26"/>
      <c r="C49" s="12"/>
      <c r="D49" s="12"/>
      <c r="E49" s="12"/>
      <c r="F49" s="12"/>
      <c r="G49" s="12"/>
      <c r="H49" s="12"/>
      <c r="I49" s="12"/>
      <c r="J49" s="12"/>
      <c r="K49" s="12"/>
      <c r="L49" s="12"/>
      <c r="M49" s="12"/>
      <c r="N49" s="12"/>
      <c r="O49" s="12"/>
      <c r="P49" s="12"/>
      <c r="Q49" s="12"/>
      <c r="R49" s="27"/>
      <c r="S49" s="12"/>
      <c r="T49" s="12" t="s">
        <v>34</v>
      </c>
      <c r="U49" s="12"/>
      <c r="V49" s="12"/>
      <c r="W49" s="13"/>
      <c r="X49" s="13"/>
      <c r="Y49" s="13"/>
      <c r="Z49" s="13"/>
      <c r="AA49" s="13"/>
      <c r="AB49" s="13"/>
      <c r="AC49" s="13"/>
      <c r="AD49" s="13"/>
      <c r="AE49" s="13"/>
      <c r="AF49" s="13"/>
      <c r="AG49" s="13"/>
      <c r="AH49" s="13"/>
      <c r="AI49" s="13"/>
      <c r="AJ49" s="13"/>
      <c r="AK49" s="13"/>
      <c r="AL49" s="7"/>
    </row>
    <row r="50" spans="1:38" ht="14.5" customHeight="1">
      <c r="A50" s="5" t="s">
        <v>44</v>
      </c>
      <c r="B50" s="5"/>
      <c r="C50" s="5"/>
      <c r="D50" s="5"/>
      <c r="E50" s="5"/>
      <c r="F50" s="5"/>
      <c r="G50" s="5"/>
      <c r="H50" s="5"/>
      <c r="I50" s="5"/>
      <c r="J50" s="5"/>
      <c r="K50" s="5"/>
      <c r="L50" s="5"/>
      <c r="M50" s="5"/>
      <c r="N50" s="5"/>
      <c r="O50" s="5"/>
      <c r="P50" s="5"/>
      <c r="Q50" s="5"/>
      <c r="R50" s="20"/>
      <c r="S50" s="5"/>
      <c r="T50" s="5" t="s">
        <v>34</v>
      </c>
      <c r="U50" s="6"/>
      <c r="V50" s="6"/>
      <c r="W50" s="6"/>
      <c r="X50" s="6"/>
      <c r="Y50" s="6"/>
      <c r="Z50" s="6"/>
      <c r="AA50" s="6"/>
      <c r="AB50" s="6"/>
      <c r="AC50" s="6"/>
      <c r="AD50" s="6"/>
      <c r="AE50" s="6"/>
      <c r="AF50" s="6"/>
      <c r="AG50" s="6"/>
      <c r="AH50" s="6"/>
      <c r="AI50" s="6"/>
      <c r="AJ50" s="6"/>
      <c r="AK50" s="6"/>
      <c r="AL50" s="6"/>
    </row>
    <row r="51" spans="1:38" ht="14.5" customHeight="1">
      <c r="A51" t="s">
        <v>45</v>
      </c>
      <c r="R51" s="21"/>
      <c r="T51" t="s">
        <v>34</v>
      </c>
      <c r="U51" s="7"/>
      <c r="V51" s="7"/>
      <c r="W51" s="7"/>
      <c r="X51" s="7"/>
      <c r="Y51" s="7"/>
      <c r="Z51" s="7"/>
      <c r="AA51" s="7"/>
      <c r="AB51" s="7"/>
      <c r="AC51" s="7"/>
      <c r="AD51" s="7"/>
      <c r="AE51" s="7"/>
      <c r="AF51" s="7"/>
      <c r="AG51" s="7"/>
      <c r="AH51" s="7"/>
      <c r="AI51" s="7"/>
      <c r="AJ51" s="7"/>
      <c r="AK51" s="7"/>
      <c r="AL51" s="7"/>
    </row>
    <row r="52" spans="1:38" ht="14.5" customHeight="1">
      <c r="A52" s="5" t="s">
        <v>46</v>
      </c>
      <c r="B52" s="5"/>
      <c r="C52" s="5"/>
      <c r="D52" s="5"/>
      <c r="E52" s="5"/>
      <c r="F52" s="5"/>
      <c r="G52" s="5"/>
      <c r="H52" s="5"/>
      <c r="I52" s="5"/>
      <c r="J52" s="5"/>
      <c r="K52" s="5"/>
      <c r="L52" s="5"/>
      <c r="M52" s="5"/>
      <c r="N52" s="5"/>
      <c r="O52" s="5"/>
      <c r="P52" s="5"/>
      <c r="Q52" s="5"/>
      <c r="R52" s="20"/>
      <c r="S52" s="5"/>
      <c r="T52" s="5" t="s">
        <v>34</v>
      </c>
      <c r="U52" s="6"/>
      <c r="V52" s="6"/>
      <c r="W52" s="6"/>
      <c r="X52" s="6"/>
      <c r="Y52" s="6"/>
      <c r="Z52" s="6"/>
      <c r="AA52" s="6"/>
      <c r="AB52" s="6"/>
      <c r="AC52" s="6"/>
      <c r="AD52" s="6"/>
      <c r="AE52" s="6"/>
      <c r="AF52" s="6"/>
      <c r="AG52" s="6"/>
      <c r="AH52" s="6"/>
      <c r="AI52" s="6"/>
      <c r="AJ52" s="6"/>
      <c r="AK52" s="6"/>
      <c r="AL52" s="6"/>
    </row>
    <row r="53" spans="1:38" ht="14.5" customHeight="1">
      <c r="A53" t="s">
        <v>47</v>
      </c>
      <c r="R53" s="21"/>
      <c r="T53" t="s">
        <v>34</v>
      </c>
      <c r="U53" s="7"/>
      <c r="V53" s="7"/>
      <c r="W53" s="7"/>
      <c r="X53" s="7"/>
      <c r="Y53" s="7"/>
      <c r="Z53" s="7"/>
      <c r="AA53" s="7"/>
      <c r="AB53" s="7"/>
      <c r="AC53" s="7"/>
      <c r="AD53" s="7"/>
      <c r="AE53" s="7"/>
      <c r="AF53" s="7"/>
      <c r="AG53" s="7"/>
      <c r="AH53" s="7"/>
      <c r="AI53" s="7"/>
      <c r="AJ53" s="7"/>
      <c r="AK53" s="7"/>
      <c r="AL53" s="7"/>
    </row>
    <row r="54" spans="1:38" ht="14.5" customHeight="1">
      <c r="A54" s="5" t="s">
        <v>48</v>
      </c>
      <c r="B54" s="5"/>
      <c r="C54" s="5"/>
      <c r="D54" s="5"/>
      <c r="E54" s="5"/>
      <c r="F54" s="5"/>
      <c r="G54" s="5"/>
      <c r="H54" s="5"/>
      <c r="I54" s="5"/>
      <c r="J54" s="5"/>
      <c r="K54" s="5"/>
      <c r="L54" s="5"/>
      <c r="M54" s="5"/>
      <c r="N54" s="5"/>
      <c r="O54" s="5"/>
      <c r="P54" s="5"/>
      <c r="Q54" s="5"/>
      <c r="R54" s="20"/>
      <c r="S54" s="5"/>
      <c r="T54" s="5" t="s">
        <v>34</v>
      </c>
      <c r="U54" s="6"/>
      <c r="V54" s="6"/>
      <c r="W54" s="6"/>
      <c r="X54" s="6"/>
      <c r="Y54" s="6"/>
      <c r="Z54" s="6"/>
      <c r="AA54" s="6"/>
      <c r="AB54" s="6"/>
      <c r="AC54" s="6"/>
      <c r="AD54" s="6"/>
      <c r="AE54" s="6"/>
      <c r="AF54" s="6"/>
      <c r="AG54" s="6"/>
      <c r="AH54" s="6"/>
      <c r="AI54" s="6"/>
      <c r="AJ54" s="6"/>
      <c r="AK54" s="6"/>
      <c r="AL54" s="6"/>
    </row>
    <row r="55" spans="1:38" ht="14.5" customHeight="1">
      <c r="A55" t="s">
        <v>49</v>
      </c>
      <c r="R55" s="21"/>
      <c r="T55" t="s">
        <v>34</v>
      </c>
      <c r="U55" s="7"/>
      <c r="V55" s="7"/>
      <c r="W55" s="7"/>
      <c r="X55" s="7"/>
      <c r="Y55" s="7"/>
      <c r="Z55" s="7"/>
      <c r="AA55" s="7"/>
      <c r="AB55" s="7"/>
      <c r="AC55" s="7"/>
      <c r="AD55" s="7"/>
      <c r="AE55" s="7"/>
      <c r="AF55" s="7"/>
      <c r="AG55" s="7"/>
      <c r="AH55" s="7"/>
      <c r="AI55" s="7"/>
      <c r="AJ55" s="7"/>
      <c r="AK55" s="7"/>
      <c r="AL55" s="7"/>
    </row>
    <row r="56" spans="1:38" ht="14.5" customHeight="1">
      <c r="A56" s="5" t="s">
        <v>50</v>
      </c>
      <c r="B56" s="5"/>
      <c r="C56" s="5"/>
      <c r="D56" s="5"/>
      <c r="E56" s="5"/>
      <c r="F56" s="5"/>
      <c r="G56" s="5"/>
      <c r="H56" s="5"/>
      <c r="I56" s="5"/>
      <c r="J56" s="5"/>
      <c r="K56" s="5"/>
      <c r="L56" s="5"/>
      <c r="M56" s="5"/>
      <c r="N56" s="5"/>
      <c r="O56" s="5"/>
      <c r="P56" s="5"/>
      <c r="Q56" s="5"/>
      <c r="R56" s="20"/>
      <c r="S56" s="5"/>
      <c r="T56" s="5" t="s">
        <v>34</v>
      </c>
      <c r="U56" s="6"/>
      <c r="V56" s="6"/>
      <c r="W56" s="6"/>
      <c r="X56" s="6"/>
      <c r="Y56" s="6"/>
      <c r="Z56" s="6"/>
      <c r="AA56" s="6"/>
      <c r="AB56" s="6"/>
      <c r="AC56" s="6"/>
      <c r="AD56" s="6"/>
      <c r="AE56" s="6"/>
      <c r="AF56" s="6"/>
      <c r="AG56" s="6"/>
      <c r="AH56" s="6"/>
      <c r="AI56" s="6"/>
      <c r="AJ56" s="6"/>
      <c r="AK56" s="6"/>
      <c r="AL56" s="6"/>
    </row>
    <row r="57" spans="1:38" ht="14.5" customHeight="1">
      <c r="A57" t="s">
        <v>51</v>
      </c>
      <c r="R57" s="21"/>
      <c r="T57" t="s">
        <v>34</v>
      </c>
      <c r="U57" s="7"/>
      <c r="V57" s="7"/>
      <c r="W57" s="7"/>
      <c r="X57" s="7"/>
      <c r="Y57" s="7"/>
      <c r="Z57" s="7"/>
      <c r="AA57" s="7"/>
      <c r="AB57" s="7"/>
      <c r="AC57" s="7"/>
      <c r="AD57" s="7"/>
      <c r="AE57" s="7"/>
      <c r="AF57" s="7"/>
      <c r="AG57" s="7"/>
      <c r="AH57" s="7"/>
      <c r="AI57" s="7"/>
      <c r="AJ57" s="7"/>
      <c r="AK57" s="7"/>
      <c r="AL57" s="7"/>
    </row>
    <row r="58" spans="1:38" ht="14.5" customHeight="1">
      <c r="A58" s="5" t="s">
        <v>52</v>
      </c>
      <c r="B58" s="5"/>
      <c r="C58" s="5"/>
      <c r="D58" s="5"/>
      <c r="E58" s="5"/>
      <c r="F58" s="5"/>
      <c r="G58" s="5"/>
      <c r="H58" s="5"/>
      <c r="I58" s="5"/>
      <c r="J58" s="5"/>
      <c r="K58" s="5"/>
      <c r="L58" s="5"/>
      <c r="M58" s="5"/>
      <c r="N58" s="5"/>
      <c r="O58" s="5"/>
      <c r="P58" s="5"/>
      <c r="Q58" s="5"/>
      <c r="R58" s="20"/>
      <c r="S58" s="5"/>
      <c r="T58" s="5" t="s">
        <v>34</v>
      </c>
      <c r="U58" s="6"/>
      <c r="V58" s="6"/>
      <c r="W58" s="6"/>
      <c r="X58" s="6"/>
      <c r="Y58" s="6"/>
      <c r="Z58" s="6"/>
      <c r="AA58" s="6"/>
      <c r="AB58" s="6"/>
      <c r="AC58" s="6"/>
      <c r="AD58" s="6"/>
      <c r="AE58" s="6"/>
      <c r="AF58" s="6"/>
      <c r="AG58" s="6"/>
      <c r="AH58" s="6"/>
      <c r="AI58" s="6"/>
      <c r="AJ58" s="6"/>
      <c r="AK58" s="6"/>
      <c r="AL58" s="6"/>
    </row>
    <row r="59" spans="1:38" ht="14.5" customHeight="1">
      <c r="A59" t="s">
        <v>53</v>
      </c>
      <c r="R59" s="21"/>
      <c r="T59" t="s">
        <v>34</v>
      </c>
      <c r="U59" s="7"/>
      <c r="V59" s="7"/>
      <c r="W59" s="7"/>
      <c r="X59" s="7"/>
      <c r="Y59" s="7"/>
      <c r="Z59" s="7"/>
      <c r="AA59" s="7"/>
      <c r="AB59" s="7"/>
      <c r="AC59" s="7"/>
      <c r="AD59" s="7"/>
      <c r="AE59" s="7"/>
      <c r="AF59" s="7"/>
      <c r="AG59" s="7"/>
      <c r="AH59" s="7"/>
      <c r="AI59" s="7"/>
      <c r="AJ59" s="7"/>
      <c r="AK59" s="7"/>
      <c r="AL59" s="7"/>
    </row>
    <row r="60" spans="1:38" ht="14.5" customHeight="1">
      <c r="A60" s="5" t="s">
        <v>54</v>
      </c>
      <c r="B60" s="5"/>
      <c r="C60" s="5"/>
      <c r="D60" s="5"/>
      <c r="E60" s="5"/>
      <c r="F60" s="5"/>
      <c r="G60" s="5"/>
      <c r="H60" s="5"/>
      <c r="I60" s="5"/>
      <c r="J60" s="5"/>
      <c r="K60" s="5"/>
      <c r="L60" s="5"/>
      <c r="M60" s="5"/>
      <c r="N60" s="5"/>
      <c r="O60" s="5"/>
      <c r="P60" s="5"/>
      <c r="Q60" s="5"/>
      <c r="R60" s="20"/>
      <c r="S60" s="5"/>
      <c r="T60" s="5" t="s">
        <v>34</v>
      </c>
      <c r="U60" s="6"/>
      <c r="V60" s="6"/>
      <c r="W60" s="6"/>
      <c r="X60" s="6"/>
      <c r="Y60" s="6"/>
      <c r="Z60" s="6"/>
      <c r="AA60" s="6"/>
      <c r="AB60" s="6"/>
      <c r="AC60" s="6"/>
      <c r="AD60" s="6"/>
      <c r="AE60" s="6"/>
      <c r="AF60" s="6"/>
      <c r="AG60" s="6"/>
      <c r="AH60" s="6"/>
      <c r="AI60" s="6"/>
      <c r="AJ60" s="6"/>
      <c r="AK60" s="6"/>
      <c r="AL60" s="6"/>
    </row>
    <row r="61" spans="1:38" ht="14.5" customHeight="1">
      <c r="A61" t="s">
        <v>55</v>
      </c>
      <c r="R61" s="21"/>
      <c r="T61" t="s">
        <v>34</v>
      </c>
      <c r="U61" s="7"/>
      <c r="V61" s="7"/>
      <c r="W61" s="7"/>
      <c r="X61" s="7"/>
      <c r="Y61" s="7"/>
      <c r="Z61" s="7"/>
      <c r="AA61" s="7"/>
      <c r="AB61" s="7"/>
      <c r="AC61" s="7"/>
      <c r="AD61" s="7"/>
      <c r="AE61" s="7"/>
      <c r="AF61" s="7"/>
      <c r="AG61" s="7"/>
      <c r="AH61" s="7"/>
      <c r="AI61" s="7"/>
      <c r="AJ61" s="7"/>
      <c r="AK61" s="7"/>
      <c r="AL61" s="7"/>
    </row>
    <row r="62" spans="1:38" ht="14.5" customHeight="1">
      <c r="A62" s="5" t="s">
        <v>56</v>
      </c>
      <c r="B62" s="5"/>
      <c r="C62" s="5"/>
      <c r="D62" s="5"/>
      <c r="E62" s="5"/>
      <c r="F62" s="5"/>
      <c r="G62" s="5"/>
      <c r="H62" s="5"/>
      <c r="I62" s="5"/>
      <c r="J62" s="5"/>
      <c r="K62" s="5"/>
      <c r="L62" s="5"/>
      <c r="M62" s="5"/>
      <c r="N62" s="5"/>
      <c r="O62" s="5"/>
      <c r="P62" s="5"/>
      <c r="Q62" s="5"/>
      <c r="R62" s="20"/>
      <c r="S62" s="5"/>
      <c r="T62" s="5" t="s">
        <v>34</v>
      </c>
      <c r="U62" s="6"/>
      <c r="V62" s="6"/>
      <c r="W62" s="6"/>
      <c r="X62" s="6"/>
      <c r="Y62" s="6"/>
      <c r="Z62" s="6"/>
      <c r="AA62" s="6"/>
      <c r="AB62" s="6"/>
      <c r="AC62" s="6"/>
      <c r="AD62" s="6"/>
      <c r="AE62" s="6"/>
      <c r="AF62" s="6"/>
      <c r="AG62" s="6"/>
      <c r="AH62" s="6"/>
      <c r="AI62" s="6"/>
      <c r="AJ62" s="6"/>
      <c r="AK62" s="6"/>
      <c r="AL62" s="6"/>
    </row>
    <row r="63" spans="1:38" ht="14.5" customHeight="1">
      <c r="A63" t="s">
        <v>57</v>
      </c>
      <c r="R63" s="21"/>
      <c r="T63" t="s">
        <v>34</v>
      </c>
      <c r="U63" s="7"/>
      <c r="V63" s="7"/>
      <c r="W63" s="7"/>
      <c r="X63" s="7"/>
      <c r="Y63" s="7"/>
      <c r="Z63" s="7"/>
      <c r="AA63" s="7"/>
      <c r="AB63" s="7"/>
      <c r="AC63" s="7"/>
      <c r="AD63" s="7"/>
      <c r="AE63" s="7"/>
      <c r="AF63" s="7"/>
      <c r="AG63" s="7"/>
      <c r="AH63" s="7"/>
      <c r="AI63" s="7"/>
      <c r="AJ63" s="7"/>
      <c r="AK63" s="7"/>
      <c r="AL63" s="7"/>
    </row>
    <row r="64" spans="1:38">
      <c r="A64" s="5" t="s">
        <v>58</v>
      </c>
      <c r="B64" s="5"/>
      <c r="C64" s="5"/>
      <c r="D64" s="5"/>
      <c r="E64" s="5"/>
      <c r="F64" s="5"/>
      <c r="G64" s="5"/>
      <c r="H64" s="5"/>
      <c r="I64" s="5"/>
      <c r="J64" s="5"/>
      <c r="K64" s="5"/>
      <c r="L64" s="5"/>
      <c r="M64" s="5"/>
      <c r="N64" s="5"/>
      <c r="O64" s="5"/>
      <c r="P64" s="5"/>
      <c r="Q64" s="5"/>
      <c r="R64" s="20"/>
      <c r="S64" s="5"/>
      <c r="T64" s="5" t="s">
        <v>34</v>
      </c>
      <c r="U64" s="6"/>
      <c r="V64" s="6"/>
      <c r="W64" s="6"/>
      <c r="X64" s="6"/>
      <c r="Y64" s="6"/>
      <c r="Z64" s="6"/>
      <c r="AA64" s="6"/>
      <c r="AB64" s="6"/>
      <c r="AC64" s="6"/>
      <c r="AD64" s="6"/>
      <c r="AE64" s="6"/>
      <c r="AF64" s="6"/>
      <c r="AG64" s="6"/>
      <c r="AH64" s="6"/>
      <c r="AI64" s="6"/>
      <c r="AJ64" s="6"/>
      <c r="AK64" s="6"/>
      <c r="AL64" s="6"/>
    </row>
    <row r="65" spans="1:38">
      <c r="A65" t="s">
        <v>59</v>
      </c>
      <c r="R65" s="21"/>
      <c r="T65" t="s">
        <v>34</v>
      </c>
      <c r="U65" s="7"/>
      <c r="V65" s="7"/>
      <c r="W65" s="7"/>
      <c r="X65" s="7"/>
      <c r="Y65" s="7"/>
      <c r="Z65" s="7"/>
      <c r="AA65" s="7"/>
      <c r="AB65" s="7"/>
      <c r="AC65" s="7"/>
      <c r="AD65" s="7"/>
      <c r="AE65" s="7"/>
      <c r="AF65" s="7"/>
      <c r="AG65" s="7"/>
      <c r="AH65" s="7"/>
      <c r="AI65" s="7"/>
      <c r="AJ65" s="7"/>
      <c r="AK65" s="7"/>
      <c r="AL65" s="7"/>
    </row>
    <row r="66" spans="1:38">
      <c r="A66" s="5" t="s">
        <v>60</v>
      </c>
      <c r="B66" s="5"/>
      <c r="C66" s="5"/>
      <c r="D66" s="5"/>
      <c r="E66" s="5"/>
      <c r="F66" s="5"/>
      <c r="G66" s="5"/>
      <c r="H66" s="5"/>
      <c r="I66" s="5"/>
      <c r="J66" s="5"/>
      <c r="K66" s="5"/>
      <c r="L66" s="5"/>
      <c r="M66" s="5"/>
      <c r="N66" s="5"/>
      <c r="O66" s="5"/>
      <c r="P66" s="5"/>
      <c r="Q66" s="5"/>
      <c r="R66" s="20"/>
      <c r="S66" s="5"/>
      <c r="T66" s="5" t="s">
        <v>34</v>
      </c>
      <c r="U66" s="6"/>
      <c r="V66" s="6"/>
      <c r="W66" s="6"/>
      <c r="X66" s="6"/>
      <c r="Y66" s="6"/>
      <c r="Z66" s="6"/>
      <c r="AA66" s="6"/>
      <c r="AB66" s="6"/>
      <c r="AC66" s="6"/>
      <c r="AD66" s="6"/>
      <c r="AE66" s="6"/>
      <c r="AF66" s="6"/>
      <c r="AG66" s="6"/>
      <c r="AH66" s="6"/>
      <c r="AI66" s="6"/>
      <c r="AJ66" s="6"/>
      <c r="AK66" s="6"/>
      <c r="AL66" s="6"/>
    </row>
    <row r="67" spans="1:38">
      <c r="A67" t="s">
        <v>61</v>
      </c>
      <c r="R67" s="21"/>
      <c r="T67" t="s">
        <v>34</v>
      </c>
      <c r="U67" s="7"/>
      <c r="V67" s="7"/>
      <c r="W67" s="7"/>
      <c r="X67" s="7"/>
      <c r="Y67" s="7"/>
      <c r="Z67" s="7"/>
      <c r="AA67" s="7"/>
      <c r="AB67" s="7"/>
      <c r="AC67" s="7"/>
      <c r="AD67" s="7"/>
      <c r="AE67" s="7"/>
      <c r="AF67" s="7"/>
      <c r="AG67" s="7"/>
      <c r="AH67" s="7"/>
      <c r="AI67" s="7"/>
      <c r="AJ67" s="7"/>
      <c r="AK67" s="7"/>
      <c r="AL67" s="7"/>
    </row>
    <row r="68" spans="1:38">
      <c r="A68" s="5" t="s">
        <v>62</v>
      </c>
      <c r="B68" s="5"/>
      <c r="C68" s="5"/>
      <c r="D68" s="5"/>
      <c r="E68" s="5"/>
      <c r="F68" s="5"/>
      <c r="G68" s="5"/>
      <c r="H68" s="5"/>
      <c r="I68" s="5"/>
      <c r="J68" s="5"/>
      <c r="K68" s="5"/>
      <c r="L68" s="5"/>
      <c r="M68" s="5"/>
      <c r="N68" s="5"/>
      <c r="O68" s="5"/>
      <c r="P68" s="5"/>
      <c r="Q68" s="5"/>
      <c r="R68" s="20"/>
      <c r="S68" s="5"/>
      <c r="T68" s="5" t="s">
        <v>34</v>
      </c>
      <c r="U68" s="6"/>
      <c r="V68" s="6"/>
      <c r="W68" s="6"/>
      <c r="X68" s="6"/>
      <c r="Y68" s="6"/>
      <c r="Z68" s="6"/>
      <c r="AA68" s="6"/>
      <c r="AB68" s="6"/>
      <c r="AC68" s="6"/>
      <c r="AD68" s="6"/>
      <c r="AE68" s="6"/>
      <c r="AF68" s="6"/>
      <c r="AG68" s="6"/>
      <c r="AH68" s="6"/>
      <c r="AI68" s="6"/>
      <c r="AJ68" s="6"/>
      <c r="AK68" s="6"/>
      <c r="AL68" s="6"/>
    </row>
    <row r="69" spans="1:38">
      <c r="A69" t="s">
        <v>63</v>
      </c>
      <c r="R69" s="21"/>
      <c r="T69" t="s">
        <v>34</v>
      </c>
      <c r="U69" s="7"/>
      <c r="V69" s="7"/>
      <c r="W69" s="7"/>
      <c r="X69" s="7"/>
      <c r="Y69" s="7"/>
      <c r="Z69" s="7"/>
      <c r="AA69" s="7"/>
      <c r="AB69" s="7"/>
      <c r="AC69" s="7"/>
      <c r="AD69" s="7"/>
      <c r="AE69" s="7"/>
      <c r="AF69" s="7"/>
      <c r="AG69" s="7"/>
      <c r="AH69" s="7"/>
      <c r="AI69" s="7"/>
      <c r="AJ69" s="7"/>
      <c r="AK69" s="7"/>
      <c r="AL69" s="7"/>
    </row>
    <row r="70" spans="1:38">
      <c r="A70" s="5" t="s">
        <v>64</v>
      </c>
      <c r="B70" s="5"/>
      <c r="C70" s="5"/>
      <c r="D70" s="5"/>
      <c r="E70" s="5"/>
      <c r="F70" s="5"/>
      <c r="G70" s="5"/>
      <c r="H70" s="5"/>
      <c r="I70" s="5"/>
      <c r="J70" s="5"/>
      <c r="K70" s="5"/>
      <c r="L70" s="5"/>
      <c r="M70" s="5"/>
      <c r="N70" s="5"/>
      <c r="O70" s="5"/>
      <c r="P70" s="5"/>
      <c r="Q70" s="5"/>
      <c r="R70" s="20"/>
      <c r="S70" s="5"/>
      <c r="T70" s="5" t="s">
        <v>34</v>
      </c>
      <c r="U70" s="6"/>
      <c r="V70" s="6"/>
      <c r="W70" s="6"/>
      <c r="X70" s="6"/>
      <c r="Y70" s="6"/>
      <c r="Z70" s="6"/>
      <c r="AA70" s="6"/>
      <c r="AB70" s="6"/>
      <c r="AC70" s="6"/>
      <c r="AD70" s="6"/>
      <c r="AE70" s="6"/>
      <c r="AF70" s="6"/>
      <c r="AG70" s="6"/>
      <c r="AH70" s="6"/>
      <c r="AI70" s="6"/>
      <c r="AJ70" s="6"/>
      <c r="AK70" s="6"/>
      <c r="AL70" s="6"/>
    </row>
    <row r="71" spans="1:38">
      <c r="A71" t="s">
        <v>65</v>
      </c>
      <c r="R71" s="21"/>
      <c r="T71" t="s">
        <v>34</v>
      </c>
      <c r="U71" s="7"/>
      <c r="V71" s="7"/>
      <c r="W71" s="7"/>
      <c r="X71" s="7"/>
      <c r="Y71" s="7"/>
      <c r="Z71" s="7"/>
      <c r="AA71" s="7"/>
      <c r="AB71" s="7"/>
      <c r="AC71" s="7"/>
      <c r="AD71" s="7"/>
      <c r="AE71" s="7"/>
      <c r="AF71" s="7"/>
      <c r="AG71" s="7"/>
      <c r="AH71" s="7"/>
      <c r="AI71" s="7"/>
      <c r="AJ71" s="7"/>
      <c r="AK71" s="7"/>
      <c r="AL71" s="7"/>
    </row>
    <row r="72" spans="1:38">
      <c r="A72" s="5" t="s">
        <v>66</v>
      </c>
      <c r="B72" s="5"/>
      <c r="C72" s="5"/>
      <c r="D72" s="5"/>
      <c r="E72" s="5"/>
      <c r="F72" s="5"/>
      <c r="G72" s="5"/>
      <c r="H72" s="5"/>
      <c r="I72" s="5"/>
      <c r="J72" s="5"/>
      <c r="K72" s="5"/>
      <c r="L72" s="5"/>
      <c r="M72" s="5"/>
      <c r="N72" s="5"/>
      <c r="O72" s="5"/>
      <c r="P72" s="5"/>
      <c r="Q72" s="5"/>
      <c r="R72" s="20"/>
      <c r="S72" s="5"/>
      <c r="T72" s="5" t="s">
        <v>34</v>
      </c>
      <c r="U72" s="6"/>
      <c r="V72" s="6"/>
      <c r="W72" s="6"/>
      <c r="X72" s="6"/>
      <c r="Y72" s="6"/>
      <c r="Z72" s="6"/>
      <c r="AA72" s="6"/>
      <c r="AB72" s="6"/>
      <c r="AC72" s="6"/>
      <c r="AD72" s="6"/>
      <c r="AE72" s="6"/>
      <c r="AF72" s="6"/>
      <c r="AG72" s="6"/>
      <c r="AH72" s="6"/>
      <c r="AI72" s="6"/>
      <c r="AJ72" s="6"/>
      <c r="AK72" s="6"/>
      <c r="AL72" s="6"/>
    </row>
    <row r="73" spans="1:38">
      <c r="A73" t="s">
        <v>67</v>
      </c>
      <c r="R73" s="21"/>
      <c r="T73" t="s">
        <v>34</v>
      </c>
      <c r="U73" s="7"/>
      <c r="V73" s="7"/>
      <c r="W73" s="7"/>
      <c r="X73" s="7"/>
      <c r="Y73" s="7"/>
      <c r="Z73" s="7"/>
      <c r="AA73" s="7"/>
      <c r="AB73" s="7"/>
      <c r="AC73" s="7"/>
      <c r="AD73" s="7"/>
      <c r="AE73" s="7"/>
      <c r="AF73" s="7"/>
      <c r="AG73" s="7"/>
      <c r="AH73" s="7"/>
      <c r="AI73" s="7"/>
      <c r="AJ73" s="7"/>
      <c r="AK73" s="7"/>
      <c r="AL73" s="7"/>
    </row>
    <row r="74" spans="1:38">
      <c r="A74" s="5" t="s">
        <v>68</v>
      </c>
      <c r="B74" s="5"/>
      <c r="C74" s="5"/>
      <c r="D74" s="5"/>
      <c r="E74" s="5"/>
      <c r="F74" s="5"/>
      <c r="G74" s="5"/>
      <c r="H74" s="5"/>
      <c r="I74" s="5"/>
      <c r="J74" s="5"/>
      <c r="K74" s="5"/>
      <c r="L74" s="5"/>
      <c r="M74" s="5"/>
      <c r="N74" s="5"/>
      <c r="O74" s="5"/>
      <c r="P74" s="5"/>
      <c r="Q74" s="5"/>
      <c r="R74" s="20"/>
      <c r="S74" s="5"/>
      <c r="T74" s="5" t="s">
        <v>34</v>
      </c>
      <c r="U74" s="6"/>
      <c r="V74" s="6"/>
      <c r="W74" s="6"/>
      <c r="X74" s="6"/>
      <c r="Y74" s="6"/>
      <c r="Z74" s="6"/>
      <c r="AA74" s="6"/>
      <c r="AB74" s="6"/>
      <c r="AC74" s="6"/>
      <c r="AD74" s="6"/>
      <c r="AE74" s="6"/>
      <c r="AF74" s="6"/>
      <c r="AG74" s="6"/>
      <c r="AH74" s="6"/>
      <c r="AI74" s="6"/>
      <c r="AJ74" s="6"/>
      <c r="AK74" s="6"/>
      <c r="AL74" s="6"/>
    </row>
  </sheetData>
  <phoneticPr fontId="12" type="noConversion"/>
  <hyperlinks>
    <hyperlink ref="AB37" r:id="rId1" xr:uid="{6C67CDAA-2665-4775-9282-51BF337D6400}"/>
    <hyperlink ref="AA18" r:id="rId2" xr:uid="{DA6EF610-1C91-4FFC-B33E-FCB1533D420F}"/>
    <hyperlink ref="AC18" r:id="rId3" location=":~:text=Whilst%20MLCCs%20are%20susceptible%20to,of%202%20years%20or%20less." xr:uid="{FABCDFF4-E4CA-458B-BCEE-0CAD21F7BF23}"/>
    <hyperlink ref="AA3" r:id="rId4" xr:uid="{058CD847-D57F-4B41-8903-40B77D35105D}"/>
    <hyperlink ref="AA27" r:id="rId5" display="https://www.sciencedirect.com/science/article/pii/S0263436821000780" xr:uid="{895943B2-F3C7-4D0B-B90F-3A30C24BE91A}"/>
    <hyperlink ref="AA30" r:id="rId6" xr:uid="{FFFDAB7D-1256-45F7-AFB1-D22344886650}"/>
    <hyperlink ref="AA42" r:id="rId7" display="https://www.statista.com/statistics/1009446/tungsten-price/" xr:uid="{97F82DFC-6810-4593-8955-863ACBB3DF37}"/>
    <hyperlink ref="AB5" r:id="rId8" display="https://pubs.usgs.gov/periodicals/mcs2020/mcs2020-tin.pdf" xr:uid="{A3F1EB02-E5A1-49A7-8496-FD8516064D80}"/>
    <hyperlink ref="AC3" r:id="rId9" xr:uid="{ED5EB351-2DB6-48D4-A8B2-6EB12F62BC77}"/>
    <hyperlink ref="AC43" r:id="rId10" xr:uid="{846992AD-3ACB-4557-A7FA-7B00720CF198}"/>
    <hyperlink ref="AC42" r:id="rId11" display="https://www.argusmedia.com/en/news/2222244-eu-tantalum-prices-rebound-on-higher-input-costs" xr:uid="{B03EDC8A-A85B-4AE1-81A1-8460229585D4}"/>
    <hyperlink ref="AC27" r:id="rId12" xr:uid="{F9134EB4-AF7C-4CC4-BB1D-F4A8A307BE54}"/>
    <hyperlink ref="AC28" r:id="rId13" xr:uid="{E0E0ACF1-2E42-4611-9CCF-374D8A3492D0}"/>
    <hyperlink ref="AA43" r:id="rId14" xr:uid="{9E254A45-F310-4AC5-BD1A-6656B4CE3760}"/>
    <hyperlink ref="AH42" r:id="rId15" xr:uid="{6B03944F-71E5-41D8-B06A-84DE89DA203B}"/>
    <hyperlink ref="AI33" r:id="rId16" xr:uid="{908B8CEB-0A15-4A26-8D30-F41FB42DECF8}"/>
    <hyperlink ref="AJ19" r:id="rId17" display="https://www.mdpi.com/2079-9276/10/9/93/pdf" xr:uid="{6918E342-8074-47B2-B087-613D5AC7C8D0}"/>
    <hyperlink ref="AE34" r:id="rId18" display="https://www.copper.org/publications/newsletters/innovations/2001/08/hydrometallurgy.html" xr:uid="{BF4C9410-63BA-47BC-A63D-15337BE7BC5D}"/>
    <hyperlink ref="AF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H6" r:id="rId20" xr:uid="{0F67CDD1-7035-DC44-9CA6-CA547F4A120E}"/>
    <hyperlink ref="AF7" r:id="rId21" xr:uid="{798E403D-86FA-8F4E-A18B-F39FDE87D1E1}"/>
    <hyperlink ref="AG7" r:id="rId22" xr:uid="{0E247788-8755-934D-922D-DF24A7747C35}"/>
    <hyperlink ref="AE7" r:id="rId23" display="https://www.sciencedirect.com/science/article/pii/S0921344917301817" xr:uid="{00987C5A-86EF-7449-830B-14136FA25644}"/>
    <hyperlink ref="AB7" r:id="rId24" display="https://www.sciencedirect.com/science/article/pii/S0048969718312373" xr:uid="{2FC36872-A372-8149-979C-5C1EB12DAB3C}"/>
    <hyperlink ref="AB8" r:id="rId25" display="https://www.sciencedirect.com/science/article/pii/S0048969718312373" xr:uid="{6485F26B-C8ED-7D47-AA92-D1F7CF8E46F1}"/>
    <hyperlink ref="AB9" r:id="rId26" display="https://www.sciencedirect.com/science/article/pii/S0048969718312373" xr:uid="{D2CF26CA-B025-4C41-899C-2215D4981909}"/>
    <hyperlink ref="AB10" r:id="rId27" display="https://www.sciencedirect.com/science/article/pii/S0048969718312373" xr:uid="{1F472A81-9D59-9340-B578-AD40B57FC5DB}"/>
    <hyperlink ref="AB11" r:id="rId28" display="https://www.sciencedirect.com/science/article/pii/S0048969718312373" xr:uid="{6A858768-DF1D-7A42-9B84-D34C269B492D}"/>
    <hyperlink ref="AH7" r:id="rId29" xr:uid="{BDB1FBCE-8E5B-E446-9521-78DC3859DF64}"/>
    <hyperlink ref="AH26" r:id="rId30" display="https://www.recyclingtoday.com/article/battery-council-international-lead-battery-recycling/" xr:uid="{EEE1D733-973D-194D-89E1-ED66138A0CA6}"/>
    <hyperlink ref="AG22" r:id="rId31" xr:uid="{1EBCFBC8-5E0B-3343-B5E4-413BE8F9F076}"/>
    <hyperlink ref="AE17" r:id="rId32" xr:uid="{5BF8B3C9-6734-4540-AB66-56985B2BD4D4}"/>
    <hyperlink ref="AE18" r:id="rId33" xr:uid="{3F6D9065-8733-8048-969F-D3F9B2D846FF}"/>
    <hyperlink ref="AE19" r:id="rId34" xr:uid="{DDC6013A-65C0-C747-8B90-58FABD091EA8}"/>
    <hyperlink ref="AE20" r:id="rId35" xr:uid="{34C61E79-65B5-784B-91E7-D6EFA72E1C16}"/>
    <hyperlink ref="AE21" r:id="rId36" xr:uid="{28856D38-242E-DF4D-A9C7-34619BAC263B}"/>
    <hyperlink ref="AE22" r:id="rId37" xr:uid="{DD334BF5-7CCC-854C-87DB-FD9A495C64E3}"/>
    <hyperlink ref="AE23" r:id="rId38" xr:uid="{960BA8A2-4FFC-D049-A2D2-78ED92322EB5}"/>
    <hyperlink ref="AE24" r:id="rId39" xr:uid="{9776F84E-607F-4340-99D2-0CF5831412A8}"/>
    <hyperlink ref="AE25" r:id="rId40" xr:uid="{E9CAE11E-46BE-D941-AC51-89FBCFAD8F10}"/>
    <hyperlink ref="AE26" r:id="rId41" xr:uid="{08C1E42C-92E1-A54A-9894-BB1716DCEAAE}"/>
    <hyperlink ref="AB22" r:id="rId42" xr:uid="{AB2B8C02-763D-B846-8D3A-C52B9C52ECE4}"/>
    <hyperlink ref="AB23" r:id="rId43" xr:uid="{D83C3CF7-5DCF-3B40-A3CE-426314CA2F28}"/>
    <hyperlink ref="AB24" r:id="rId44" xr:uid="{3658CDFA-B475-A248-8C69-D9B9ABC6614B}"/>
    <hyperlink ref="AB25" r:id="rId45" xr:uid="{8080BCC5-66E2-2349-97CE-9A809D50840E}"/>
    <hyperlink ref="AB26" r:id="rId46" xr:uid="{BBF2DF10-2671-734D-88B6-394D9C60D4A5}"/>
    <hyperlink ref="AG26" r:id="rId47" xr:uid="{F7723C52-BBC3-F24E-AAE4-A9B42CB8045B}"/>
    <hyperlink ref="X38" r:id="rId48" xr:uid="{324D83B3-AFAE-2543-8E69-C10D887EE7AB}"/>
    <hyperlink ref="AG23" r:id="rId49" xr:uid="{DEC718A9-543E-DA46-97C4-748B0830EED9}"/>
    <hyperlink ref="AG24" r:id="rId50" xr:uid="{841D0090-CE2C-6B4D-8911-C602FC5CA170}"/>
    <hyperlink ref="AG25" r:id="rId51" xr:uid="{EF554BD6-D3AF-2A4B-AB8C-E9433478750A}"/>
  </hyperlinks>
  <pageMargins left="0.7" right="0.7" top="0.75" bottom="0.75" header="0.3" footer="0.3"/>
  <pageSetup orientation="portrait" r:id="rId52"/>
  <tableParts count="1">
    <tablePart r:id="rId5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E34"/>
  <sheetViews>
    <sheetView workbookViewId="0">
      <selection activeCell="D2" sqref="D2"/>
    </sheetView>
  </sheetViews>
  <sheetFormatPr baseColWidth="10" defaultColWidth="8.83203125" defaultRowHeight="15"/>
  <cols>
    <col min="3" max="3" width="10.1640625" bestFit="1" customWidth="1"/>
    <col min="6" max="6" width="10.5" customWidth="1"/>
    <col min="27" max="27" width="9.1640625" bestFit="1" customWidth="1"/>
  </cols>
  <sheetData>
    <row r="1" spans="1:5">
      <c r="B1" t="s">
        <v>176</v>
      </c>
      <c r="C1" t="s">
        <v>180</v>
      </c>
      <c r="D1" t="s">
        <v>182</v>
      </c>
      <c r="E1" t="s">
        <v>188</v>
      </c>
    </row>
    <row r="2" spans="1:5">
      <c r="A2" t="s">
        <v>173</v>
      </c>
      <c r="B2" t="s">
        <v>317</v>
      </c>
      <c r="D2" s="1" t="s">
        <v>353</v>
      </c>
      <c r="E2" t="s">
        <v>318</v>
      </c>
    </row>
    <row r="3" spans="1:5">
      <c r="A3">
        <v>1991</v>
      </c>
      <c r="B3">
        <v>19.179588989644255</v>
      </c>
      <c r="E3">
        <v>3.8069431775500351</v>
      </c>
    </row>
    <row r="4" spans="1:5">
      <c r="A4">
        <v>1992</v>
      </c>
      <c r="B4">
        <v>19.579331437463111</v>
      </c>
      <c r="E4">
        <v>3.9786446316467243</v>
      </c>
    </row>
    <row r="5" spans="1:5">
      <c r="A5">
        <v>1993</v>
      </c>
      <c r="B5">
        <v>20.700756559532117</v>
      </c>
      <c r="E5">
        <v>3.9840103020872455</v>
      </c>
    </row>
    <row r="6" spans="1:5">
      <c r="A6">
        <v>1994</v>
      </c>
      <c r="B6">
        <v>20.593443150721683</v>
      </c>
      <c r="E6">
        <v>4.0779095347963734</v>
      </c>
    </row>
    <row r="7" spans="1:5">
      <c r="A7">
        <v>1995</v>
      </c>
      <c r="B7">
        <v>20.6470998551269</v>
      </c>
      <c r="E7">
        <v>4.3703385738047968</v>
      </c>
    </row>
    <row r="8" spans="1:5">
      <c r="A8">
        <v>1996</v>
      </c>
      <c r="B8">
        <v>21.808767505499812</v>
      </c>
      <c r="E8">
        <v>4.2496109888930622</v>
      </c>
    </row>
    <row r="9" spans="1:5">
      <c r="A9">
        <v>1997</v>
      </c>
      <c r="B9">
        <v>22.672640446423781</v>
      </c>
      <c r="E9">
        <v>4.5420400279014865</v>
      </c>
    </row>
    <row r="10" spans="1:5">
      <c r="A10">
        <v>1998</v>
      </c>
      <c r="B10">
        <v>22.358748725653271</v>
      </c>
      <c r="E10">
        <v>5.204163760261844</v>
      </c>
    </row>
    <row r="11" spans="1:5">
      <c r="A11">
        <v>1999</v>
      </c>
      <c r="B11">
        <v>23.802114074153568</v>
      </c>
      <c r="D11">
        <v>17.020807000000001</v>
      </c>
      <c r="E11">
        <v>4.8720287599935608</v>
      </c>
    </row>
    <row r="12" spans="1:5">
      <c r="A12">
        <v>2000</v>
      </c>
      <c r="B12">
        <v>25.38766968932768</v>
      </c>
      <c r="D12">
        <v>18.202192999999998</v>
      </c>
      <c r="E12">
        <v>4.8505660782314761</v>
      </c>
    </row>
    <row r="13" spans="1:5">
      <c r="A13">
        <v>2001</v>
      </c>
      <c r="B13">
        <v>23.772602886730695</v>
      </c>
      <c r="D13">
        <v>19.002631000000001</v>
      </c>
      <c r="E13">
        <v>5.0705585662928581</v>
      </c>
    </row>
    <row r="14" spans="1:5">
      <c r="A14">
        <v>2002</v>
      </c>
      <c r="B14">
        <v>23.35944626281054</v>
      </c>
      <c r="D14">
        <v>18.904408</v>
      </c>
      <c r="E14">
        <v>5.2932338895745019</v>
      </c>
    </row>
    <row r="15" spans="1:5">
      <c r="A15">
        <v>2003</v>
      </c>
      <c r="B15">
        <v>23.871867789880344</v>
      </c>
      <c r="D15">
        <v>18.82685</v>
      </c>
      <c r="E15">
        <v>5.2583570317111121</v>
      </c>
    </row>
    <row r="16" spans="1:5">
      <c r="A16">
        <v>2004</v>
      </c>
      <c r="B16">
        <v>23.67333798358105</v>
      </c>
      <c r="D16">
        <v>19.891030999999998</v>
      </c>
      <c r="E16">
        <v>5.3307935826581527</v>
      </c>
    </row>
    <row r="17" spans="1:5">
      <c r="A17">
        <v>2005</v>
      </c>
      <c r="B17">
        <v>25.623759188710629</v>
      </c>
      <c r="D17">
        <v>20.752817999999998</v>
      </c>
      <c r="E17">
        <v>5.4568868380104094</v>
      </c>
    </row>
    <row r="18" spans="1:5">
      <c r="A18">
        <v>2006</v>
      </c>
      <c r="B18">
        <v>24.843054139614743</v>
      </c>
      <c r="D18">
        <v>20.207038000000001</v>
      </c>
      <c r="E18">
        <v>5.5561517411600576</v>
      </c>
    </row>
    <row r="19" spans="1:5">
      <c r="A19">
        <v>2007</v>
      </c>
      <c r="B19">
        <v>24.494285560980845</v>
      </c>
      <c r="D19">
        <v>20.918483000000002</v>
      </c>
      <c r="E19">
        <v>5.4783495197724958</v>
      </c>
    </row>
    <row r="20" spans="1:5">
      <c r="A20">
        <v>2008</v>
      </c>
      <c r="B20">
        <v>24.547942265386059</v>
      </c>
      <c r="D20">
        <v>21.436884999999997</v>
      </c>
      <c r="E20">
        <v>5.4193271449267586</v>
      </c>
    </row>
    <row r="21" spans="1:5">
      <c r="A21">
        <v>2009</v>
      </c>
      <c r="B21">
        <v>24.995975747169609</v>
      </c>
      <c r="D21">
        <v>22.324262999999998</v>
      </c>
      <c r="E21">
        <v>5.3978644631646722</v>
      </c>
    </row>
    <row r="22" spans="1:5">
      <c r="A22">
        <v>2010</v>
      </c>
      <c r="B22">
        <v>28.872672640446424</v>
      </c>
      <c r="D22">
        <v>23.391197999999999</v>
      </c>
      <c r="E22">
        <v>6.1383269839566461</v>
      </c>
    </row>
    <row r="23" spans="1:5">
      <c r="A23">
        <v>2011</v>
      </c>
      <c r="B23">
        <v>28.046359392606107</v>
      </c>
      <c r="D23">
        <v>23.379133999999997</v>
      </c>
      <c r="E23">
        <v>7.0156141009819182</v>
      </c>
    </row>
    <row r="24" spans="1:5">
      <c r="A24">
        <v>2012</v>
      </c>
      <c r="B24">
        <v>28.124161613993667</v>
      </c>
      <c r="D24">
        <v>25.035924999999999</v>
      </c>
      <c r="E24">
        <v>6.8546439877662708</v>
      </c>
    </row>
    <row r="25" spans="1:5">
      <c r="A25">
        <v>2013</v>
      </c>
      <c r="B25">
        <v>28.738530879433384</v>
      </c>
      <c r="D25">
        <v>25.961294000000002</v>
      </c>
      <c r="E25">
        <v>5.1698234694425063</v>
      </c>
    </row>
    <row r="26" spans="1:5">
      <c r="A26">
        <v>2014</v>
      </c>
      <c r="B26">
        <v>28.486344368728872</v>
      </c>
      <c r="D26">
        <v>27.434650000000001</v>
      </c>
      <c r="E26">
        <v>4.6949616354563499</v>
      </c>
    </row>
    <row r="27" spans="1:5">
      <c r="A27">
        <v>2015</v>
      </c>
      <c r="B27">
        <v>28.717068197671303</v>
      </c>
      <c r="D27">
        <v>28.143955999999999</v>
      </c>
      <c r="E27">
        <v>4.4669206417341849</v>
      </c>
    </row>
    <row r="28" spans="1:5">
      <c r="A28">
        <v>2016</v>
      </c>
      <c r="B28">
        <v>27.520523689434992</v>
      </c>
      <c r="D28">
        <v>28.132810000000003</v>
      </c>
      <c r="E28">
        <v>4.4132639373289697</v>
      </c>
    </row>
    <row r="29" spans="1:5">
      <c r="A29">
        <v>2017</v>
      </c>
      <c r="B29">
        <v>27.702956484412727</v>
      </c>
      <c r="D29">
        <v>27.218978</v>
      </c>
      <c r="E29">
        <v>4.5017974995975756</v>
      </c>
    </row>
    <row r="30" spans="1:5">
      <c r="A30">
        <v>2018</v>
      </c>
      <c r="B30">
        <v>26.943714117078926</v>
      </c>
      <c r="D30">
        <v>28.006637999999999</v>
      </c>
      <c r="E30">
        <v>4.5017974995975756</v>
      </c>
    </row>
    <row r="31" spans="1:5">
      <c r="A31">
        <v>2019</v>
      </c>
      <c r="B31">
        <v>26.704941782475718</v>
      </c>
      <c r="D31">
        <v>28.35378</v>
      </c>
      <c r="E31">
        <v>4.5742340505446153</v>
      </c>
    </row>
    <row r="32" spans="1:5">
      <c r="A32">
        <v>2020</v>
      </c>
      <c r="B32">
        <v>25.846434511992275</v>
      </c>
      <c r="D32">
        <v>24.563119999999998</v>
      </c>
      <c r="E32">
        <v>4.885442936094865</v>
      </c>
    </row>
    <row r="33" spans="1:5">
      <c r="A33">
        <v>2021</v>
      </c>
      <c r="B33">
        <v>28.142941460535493</v>
      </c>
      <c r="E33">
        <v>5.2637227021516342</v>
      </c>
    </row>
    <row r="34" spans="1:5">
      <c r="A34">
        <v>2022</v>
      </c>
      <c r="B34">
        <v>29.55947845683318</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E24"/>
  <sheetViews>
    <sheetView workbookViewId="0">
      <selection activeCell="A4" sqref="A4"/>
    </sheetView>
  </sheetViews>
  <sheetFormatPr baseColWidth="10" defaultColWidth="8.83203125" defaultRowHeight="15"/>
  <sheetData>
    <row r="1" spans="1:5">
      <c r="B1" t="s">
        <v>176</v>
      </c>
      <c r="C1" t="s">
        <v>180</v>
      </c>
      <c r="D1" t="s">
        <v>182</v>
      </c>
      <c r="E1" t="s">
        <v>188</v>
      </c>
    </row>
    <row r="2" spans="1:5">
      <c r="A2" t="s">
        <v>173</v>
      </c>
      <c r="B2" t="s">
        <v>319</v>
      </c>
      <c r="D2" s="1" t="s">
        <v>353</v>
      </c>
      <c r="E2" t="s">
        <v>320</v>
      </c>
    </row>
    <row r="3" spans="1:5">
      <c r="A3">
        <v>1999</v>
      </c>
      <c r="D3">
        <v>8084.6930000000002</v>
      </c>
    </row>
    <row r="4" spans="1:5" ht="16">
      <c r="A4">
        <v>2000</v>
      </c>
      <c r="B4">
        <v>10351.0764090917</v>
      </c>
      <c r="C4" s="2"/>
      <c r="D4">
        <v>8806.5939999999991</v>
      </c>
      <c r="E4" s="34">
        <v>2773.9087386823398</v>
      </c>
    </row>
    <row r="5" spans="1:5">
      <c r="A5">
        <v>2001</v>
      </c>
      <c r="B5">
        <v>9866.3488428836899</v>
      </c>
      <c r="D5">
        <v>9103.3119999999999</v>
      </c>
      <c r="E5" s="34">
        <v>2928.8230456715701</v>
      </c>
    </row>
    <row r="6" spans="1:5">
      <c r="A6">
        <v>2002</v>
      </c>
      <c r="B6">
        <v>9828.3789110155994</v>
      </c>
      <c r="D6">
        <v>8968.4140000000007</v>
      </c>
      <c r="E6" s="34">
        <v>2839.615578167</v>
      </c>
    </row>
    <row r="7" spans="1:5">
      <c r="A7">
        <v>2003</v>
      </c>
      <c r="B7">
        <v>10237.2191670264</v>
      </c>
      <c r="D7">
        <v>9567.0429999999997</v>
      </c>
      <c r="E7" s="34">
        <v>2772.58314615476</v>
      </c>
    </row>
    <row r="8" spans="1:5">
      <c r="A8">
        <v>2004</v>
      </c>
      <c r="B8">
        <v>11502.3667861634</v>
      </c>
      <c r="D8">
        <v>9699.4989999999998</v>
      </c>
      <c r="E8" s="34">
        <v>2883.1146514796301</v>
      </c>
    </row>
    <row r="9" spans="1:5">
      <c r="A9">
        <v>2005</v>
      </c>
      <c r="B9">
        <v>12022.857035605</v>
      </c>
      <c r="D9">
        <v>10116.144</v>
      </c>
      <c r="E9" s="34">
        <v>3237.7352006186102</v>
      </c>
    </row>
    <row r="10" spans="1:5">
      <c r="A10">
        <v>2006</v>
      </c>
      <c r="B10">
        <v>12543.399838585501</v>
      </c>
      <c r="D10">
        <v>10526.22</v>
      </c>
      <c r="E10" s="34">
        <v>3592.3557497575903</v>
      </c>
    </row>
    <row r="11" spans="1:5">
      <c r="A11">
        <v>2007</v>
      </c>
      <c r="B11">
        <v>13026.787289551199</v>
      </c>
      <c r="D11">
        <v>11224.59</v>
      </c>
      <c r="E11" s="34">
        <v>3946.9762988965699</v>
      </c>
    </row>
    <row r="12" spans="1:5">
      <c r="A12">
        <v>2008</v>
      </c>
      <c r="B12">
        <v>13249.404080406901</v>
      </c>
      <c r="D12">
        <v>11993.606</v>
      </c>
      <c r="E12" s="34">
        <v>4124.0656413781198</v>
      </c>
    </row>
    <row r="13" spans="1:5">
      <c r="A13">
        <v>2009</v>
      </c>
      <c r="B13">
        <v>13025.236960153099</v>
      </c>
      <c r="D13">
        <v>11641.802</v>
      </c>
      <c r="E13" s="34">
        <v>4234.58078136315</v>
      </c>
    </row>
    <row r="14" spans="1:5">
      <c r="A14">
        <v>2010</v>
      </c>
      <c r="B14">
        <v>13583.0402222264</v>
      </c>
      <c r="D14">
        <v>12488.805</v>
      </c>
      <c r="E14" s="34">
        <v>4034.3835790179996</v>
      </c>
    </row>
    <row r="15" spans="1:5">
      <c r="A15">
        <v>2011</v>
      </c>
      <c r="B15">
        <v>14066.2700125753</v>
      </c>
      <c r="D15">
        <v>12525.08</v>
      </c>
      <c r="E15" s="34">
        <v>4033.9417148421398</v>
      </c>
    </row>
    <row r="16" spans="1:5">
      <c r="A16">
        <v>2012</v>
      </c>
      <c r="B16">
        <v>14475.0577150472</v>
      </c>
      <c r="D16">
        <v>13440.331</v>
      </c>
      <c r="E16" s="34">
        <v>4055.6912514984501</v>
      </c>
    </row>
    <row r="17" spans="1:5">
      <c r="A17">
        <v>2013</v>
      </c>
      <c r="B17">
        <v>14809.429606411501</v>
      </c>
      <c r="D17">
        <v>13617.076999999999</v>
      </c>
      <c r="E17" s="34">
        <v>4410.3118006374398</v>
      </c>
    </row>
    <row r="18" spans="1:5">
      <c r="A18">
        <v>2014</v>
      </c>
      <c r="B18">
        <v>15255.504044745499</v>
      </c>
      <c r="D18">
        <v>13629.556</v>
      </c>
      <c r="E18" s="34">
        <v>4676.1831117875499</v>
      </c>
    </row>
    <row r="19" spans="1:5">
      <c r="A19">
        <v>2015</v>
      </c>
      <c r="B19">
        <v>15664.3705775258</v>
      </c>
      <c r="D19">
        <v>13413.387000000001</v>
      </c>
      <c r="E19" s="34">
        <v>4897.6552559334596</v>
      </c>
    </row>
    <row r="20" spans="1:5">
      <c r="A20">
        <v>2016</v>
      </c>
      <c r="B20">
        <v>16073.184556767199</v>
      </c>
      <c r="D20">
        <v>12532.841</v>
      </c>
      <c r="E20" s="34">
        <v>5052.5531975828408</v>
      </c>
    </row>
    <row r="21" spans="1:5">
      <c r="A21">
        <v>2017</v>
      </c>
      <c r="B21">
        <v>16593.7273597477</v>
      </c>
      <c r="D21">
        <v>11925.4</v>
      </c>
      <c r="E21" s="34">
        <v>5296.2167425609305</v>
      </c>
    </row>
    <row r="22" spans="1:5">
      <c r="A22">
        <v>2018</v>
      </c>
      <c r="B22">
        <v>17077.0097036355</v>
      </c>
      <c r="D22">
        <v>12227.674999999999</v>
      </c>
      <c r="E22" s="34">
        <v>5673.0286925320897</v>
      </c>
    </row>
    <row r="23" spans="1:5">
      <c r="A23">
        <v>2019</v>
      </c>
      <c r="B23">
        <v>17448.642054092597</v>
      </c>
      <c r="D23">
        <v>12483.251</v>
      </c>
      <c r="E23" s="34">
        <v>6205.1804483284905</v>
      </c>
    </row>
    <row r="24" spans="1:5">
      <c r="A24">
        <v>2020</v>
      </c>
      <c r="B24">
        <v>16889.367292929597</v>
      </c>
      <c r="D24">
        <v>11530.290999999999</v>
      </c>
      <c r="E24" s="34">
        <v>6226.8972543050995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D2" sqref="D2"/>
    </sheetView>
  </sheetViews>
  <sheetFormatPr baseColWidth="10" defaultColWidth="8.83203125" defaultRowHeight="15"/>
  <cols>
    <col min="2" max="2" width="10.6640625" bestFit="1" customWidth="1"/>
  </cols>
  <sheetData>
    <row r="1" spans="1:10">
      <c r="B1" t="s">
        <v>176</v>
      </c>
      <c r="C1" t="s">
        <v>180</v>
      </c>
      <c r="D1" t="s">
        <v>182</v>
      </c>
      <c r="E1" t="s">
        <v>188</v>
      </c>
    </row>
    <row r="2" spans="1:10">
      <c r="A2" t="s">
        <v>173</v>
      </c>
      <c r="B2" t="s">
        <v>321</v>
      </c>
      <c r="D2" s="1" t="s">
        <v>353</v>
      </c>
      <c r="E2" t="s">
        <v>324</v>
      </c>
      <c r="H2" t="s">
        <v>323</v>
      </c>
      <c r="I2" t="s">
        <v>183</v>
      </c>
      <c r="J2" t="s">
        <v>322</v>
      </c>
    </row>
    <row r="3" spans="1:10">
      <c r="A3">
        <v>1990</v>
      </c>
      <c r="B3">
        <v>5403</v>
      </c>
      <c r="E3" s="34">
        <v>2290</v>
      </c>
    </row>
    <row r="4" spans="1:10">
      <c r="A4">
        <v>1991</v>
      </c>
      <c r="B4">
        <v>5255</v>
      </c>
      <c r="E4" s="34">
        <v>2276</v>
      </c>
    </row>
    <row r="5" spans="1:10">
      <c r="A5">
        <v>1992</v>
      </c>
      <c r="B5">
        <v>5279</v>
      </c>
      <c r="E5" s="34">
        <v>2468</v>
      </c>
    </row>
    <row r="6" spans="1:10">
      <c r="A6">
        <v>1993</v>
      </c>
      <c r="B6">
        <v>5224</v>
      </c>
      <c r="E6" s="34">
        <v>2811</v>
      </c>
    </row>
    <row r="7" spans="1:10">
      <c r="A7">
        <v>1994</v>
      </c>
      <c r="B7">
        <v>5486</v>
      </c>
      <c r="E7" s="34">
        <v>2773</v>
      </c>
    </row>
    <row r="8" spans="1:10">
      <c r="A8">
        <v>1995</v>
      </c>
      <c r="B8">
        <v>5870</v>
      </c>
      <c r="E8" s="34">
        <v>3022</v>
      </c>
    </row>
    <row r="9" spans="1:10">
      <c r="A9">
        <v>1996</v>
      </c>
      <c r="B9">
        <v>5975</v>
      </c>
      <c r="E9" s="34">
        <v>2841</v>
      </c>
    </row>
    <row r="10" spans="1:10">
      <c r="A10">
        <v>1997</v>
      </c>
      <c r="B10">
        <v>6053</v>
      </c>
      <c r="E10" s="34">
        <v>3006</v>
      </c>
    </row>
    <row r="11" spans="1:10">
      <c r="A11">
        <v>1998</v>
      </c>
      <c r="B11">
        <v>6067</v>
      </c>
      <c r="E11" s="34">
        <v>3032</v>
      </c>
    </row>
    <row r="12" spans="1:10">
      <c r="A12">
        <v>1999</v>
      </c>
      <c r="B12">
        <v>6242</v>
      </c>
      <c r="D12">
        <v>3026.49</v>
      </c>
      <c r="E12" s="34">
        <v>3322</v>
      </c>
    </row>
    <row r="13" spans="1:10">
      <c r="A13">
        <v>2000</v>
      </c>
      <c r="B13">
        <v>6508</v>
      </c>
      <c r="D13">
        <v>3051.6840000000002</v>
      </c>
      <c r="E13" s="34">
        <v>3596</v>
      </c>
    </row>
    <row r="14" spans="1:10">
      <c r="A14">
        <v>2001</v>
      </c>
      <c r="B14">
        <v>6482</v>
      </c>
      <c r="D14">
        <v>3099.54</v>
      </c>
      <c r="E14" s="34">
        <v>3584</v>
      </c>
    </row>
    <row r="15" spans="1:10">
      <c r="A15">
        <v>2002</v>
      </c>
      <c r="B15">
        <v>6647</v>
      </c>
      <c r="D15">
        <v>2866.3180000000002</v>
      </c>
      <c r="E15" s="34">
        <v>3846</v>
      </c>
    </row>
    <row r="16" spans="1:10">
      <c r="A16">
        <v>2003</v>
      </c>
      <c r="B16">
        <v>6826</v>
      </c>
      <c r="D16">
        <v>3186.7950000000001</v>
      </c>
      <c r="E16" s="34">
        <v>3649</v>
      </c>
    </row>
    <row r="17" spans="1:5">
      <c r="A17">
        <v>2004</v>
      </c>
      <c r="B17">
        <v>7141</v>
      </c>
      <c r="D17">
        <v>3194.8409999999999</v>
      </c>
      <c r="E17" s="34">
        <v>3746</v>
      </c>
    </row>
    <row r="18" spans="1:5">
      <c r="A18">
        <v>2005</v>
      </c>
      <c r="B18">
        <v>7652</v>
      </c>
      <c r="D18">
        <v>3497.0140000000001</v>
      </c>
      <c r="E18" s="34">
        <v>4316.50818139284</v>
      </c>
    </row>
    <row r="19" spans="1:5">
      <c r="A19">
        <v>2006</v>
      </c>
      <c r="B19" s="34">
        <v>8042.6223021582719</v>
      </c>
      <c r="D19">
        <v>3582.8589999999999</v>
      </c>
      <c r="E19" s="34">
        <v>4854.7482013480203</v>
      </c>
    </row>
    <row r="20" spans="1:5">
      <c r="A20">
        <v>2007</v>
      </c>
      <c r="B20" s="34">
        <v>8243.8446043165368</v>
      </c>
      <c r="D20">
        <v>3715.991</v>
      </c>
      <c r="E20" s="34">
        <v>5198.2613767341099</v>
      </c>
    </row>
    <row r="21" spans="1:5">
      <c r="A21">
        <v>2008</v>
      </c>
      <c r="B21" s="34">
        <v>9064.5039568345273</v>
      </c>
      <c r="D21">
        <v>3819.384</v>
      </c>
      <c r="E21" s="34">
        <v>5444.4611366192803</v>
      </c>
    </row>
    <row r="22" spans="1:5">
      <c r="A22">
        <v>2009</v>
      </c>
      <c r="B22" s="34">
        <v>9174.295683453227</v>
      </c>
      <c r="D22">
        <v>3888.8389999999999</v>
      </c>
      <c r="E22" s="34">
        <v>5812.6119620613499</v>
      </c>
    </row>
    <row r="23" spans="1:5">
      <c r="A23">
        <v>2010</v>
      </c>
      <c r="B23" s="34">
        <v>9810.2935251798444</v>
      </c>
      <c r="D23">
        <v>4360.0259999999998</v>
      </c>
      <c r="E23" s="34">
        <v>6083.0428684506496</v>
      </c>
    </row>
    <row r="24" spans="1:5">
      <c r="A24">
        <v>2011</v>
      </c>
      <c r="B24" s="34">
        <v>10504.199999999899</v>
      </c>
      <c r="D24">
        <v>4771.4889999999996</v>
      </c>
      <c r="E24" s="34">
        <v>5963.3187353952198</v>
      </c>
    </row>
    <row r="25" spans="1:5">
      <c r="A25">
        <v>2012</v>
      </c>
      <c r="B25" s="34">
        <v>10623.157194244588</v>
      </c>
      <c r="D25">
        <v>5113.1279999999997</v>
      </c>
      <c r="E25" s="34">
        <v>6209.4124508755604</v>
      </c>
    </row>
    <row r="26" spans="1:5">
      <c r="A26">
        <v>2013</v>
      </c>
      <c r="B26" s="34">
        <v>11329.666187050343</v>
      </c>
      <c r="D26">
        <v>5309.9859999999999</v>
      </c>
      <c r="E26" s="34">
        <v>6357.9806620453201</v>
      </c>
    </row>
    <row r="27" spans="1:5">
      <c r="A27">
        <v>2014</v>
      </c>
      <c r="B27" s="34">
        <v>11171.206834532331</v>
      </c>
      <c r="D27">
        <v>5320.74</v>
      </c>
      <c r="E27" s="34">
        <v>6335.9057517727697</v>
      </c>
    </row>
    <row r="28" spans="1:5">
      <c r="A28">
        <v>2015</v>
      </c>
      <c r="B28" s="34">
        <v>11190.713669064722</v>
      </c>
      <c r="D28">
        <v>5038.9870000000001</v>
      </c>
      <c r="E28" s="34">
        <v>6581.9287709832197</v>
      </c>
    </row>
    <row r="29" spans="1:5">
      <c r="A29">
        <v>2016</v>
      </c>
      <c r="B29" s="34">
        <v>11261.582374100692</v>
      </c>
      <c r="D29">
        <v>4858.1750000000002</v>
      </c>
      <c r="E29" s="34">
        <v>7169.52081815783</v>
      </c>
    </row>
    <row r="30" spans="1:5">
      <c r="A30">
        <v>2017</v>
      </c>
      <c r="B30">
        <v>12104</v>
      </c>
      <c r="D30">
        <v>4482.6620000000003</v>
      </c>
      <c r="E30" s="34">
        <v>7269.2732549698803</v>
      </c>
    </row>
    <row r="31" spans="1:5">
      <c r="A31">
        <v>2018</v>
      </c>
      <c r="B31">
        <v>12290</v>
      </c>
      <c r="D31">
        <v>4471.6390000000001</v>
      </c>
      <c r="E31" s="34">
        <v>7674</v>
      </c>
    </row>
    <row r="32" spans="1:5">
      <c r="A32">
        <v>2019</v>
      </c>
      <c r="B32">
        <v>12244</v>
      </c>
      <c r="D32">
        <v>4818.7460000000001</v>
      </c>
      <c r="E32" s="34">
        <v>7599</v>
      </c>
    </row>
    <row r="33" spans="1:5">
      <c r="A33">
        <v>2020</v>
      </c>
      <c r="B33">
        <v>11375</v>
      </c>
      <c r="D33">
        <v>4543.9809999999998</v>
      </c>
      <c r="E33" s="34">
        <v>7427</v>
      </c>
    </row>
    <row r="34" spans="1:5">
      <c r="A34">
        <v>2021</v>
      </c>
      <c r="B34">
        <v>12205</v>
      </c>
      <c r="E34" s="34">
        <v>7717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baseColWidth="10" defaultColWidth="8.83203125" defaultRowHeight="15"/>
  <sheetData>
    <row r="1" spans="1:5">
      <c r="B1" t="s">
        <v>176</v>
      </c>
      <c r="C1" t="s">
        <v>180</v>
      </c>
      <c r="D1" t="s">
        <v>182</v>
      </c>
      <c r="E1" t="s">
        <v>188</v>
      </c>
    </row>
    <row r="2" spans="1:5">
      <c r="A2" t="s">
        <v>173</v>
      </c>
      <c r="B2" s="1"/>
      <c r="D2" s="1" t="s">
        <v>353</v>
      </c>
    </row>
    <row r="3" spans="1:5" ht="16">
      <c r="A3">
        <v>1990</v>
      </c>
      <c r="C3" s="2"/>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E21"/>
  <sheetViews>
    <sheetView workbookViewId="0">
      <selection activeCell="D2" sqref="D2:D21"/>
    </sheetView>
  </sheetViews>
  <sheetFormatPr baseColWidth="10" defaultColWidth="8.83203125" defaultRowHeight="15"/>
  <sheetData>
    <row r="1" spans="1:5">
      <c r="B1" t="s">
        <v>176</v>
      </c>
      <c r="C1" t="s">
        <v>180</v>
      </c>
      <c r="D1" t="s">
        <v>182</v>
      </c>
      <c r="E1" t="s">
        <v>188</v>
      </c>
    </row>
    <row r="2" spans="1:5">
      <c r="A2" t="s">
        <v>173</v>
      </c>
      <c r="B2" s="1"/>
      <c r="D2" t="s">
        <v>354</v>
      </c>
    </row>
    <row r="3" spans="1:5" ht="16">
      <c r="A3">
        <v>2001</v>
      </c>
      <c r="C3" s="2"/>
      <c r="D3">
        <v>184.27199999999999</v>
      </c>
    </row>
    <row r="4" spans="1:5">
      <c r="A4">
        <v>2002</v>
      </c>
      <c r="D4">
        <v>182.12299999999999</v>
      </c>
    </row>
    <row r="5" spans="1:5">
      <c r="A5">
        <v>2003</v>
      </c>
      <c r="D5">
        <v>197.12</v>
      </c>
    </row>
    <row r="6" spans="1:5">
      <c r="A6">
        <v>2004</v>
      </c>
      <c r="D6">
        <v>200.32499999999999</v>
      </c>
    </row>
    <row r="7" spans="1:5">
      <c r="A7">
        <v>2005</v>
      </c>
      <c r="D7">
        <v>215.774</v>
      </c>
    </row>
    <row r="8" spans="1:5">
      <c r="A8">
        <v>2006</v>
      </c>
      <c r="D8">
        <v>217.38900000000001</v>
      </c>
    </row>
    <row r="9" spans="1:5">
      <c r="A9">
        <v>2007</v>
      </c>
      <c r="D9">
        <v>214.768</v>
      </c>
    </row>
    <row r="10" spans="1:5">
      <c r="A10">
        <v>2008</v>
      </c>
      <c r="D10">
        <v>192.114</v>
      </c>
    </row>
    <row r="11" spans="1:5">
      <c r="A11">
        <v>2009</v>
      </c>
      <c r="D11">
        <v>183.01900000000001</v>
      </c>
    </row>
    <row r="12" spans="1:5">
      <c r="A12">
        <v>2010</v>
      </c>
      <c r="D12">
        <v>192.80500000000001</v>
      </c>
    </row>
    <row r="13" spans="1:5">
      <c r="A13">
        <v>2011</v>
      </c>
      <c r="D13">
        <v>200.56899999999999</v>
      </c>
    </row>
    <row r="14" spans="1:5">
      <c r="A14">
        <v>2012</v>
      </c>
      <c r="D14">
        <v>179.65</v>
      </c>
    </row>
    <row r="15" spans="1:5">
      <c r="A15">
        <v>2013</v>
      </c>
      <c r="D15">
        <v>192.84700000000001</v>
      </c>
    </row>
    <row r="16" spans="1:5">
      <c r="A16">
        <v>2014</v>
      </c>
      <c r="D16">
        <v>148.10300000000001</v>
      </c>
    </row>
    <row r="17" spans="1:4">
      <c r="A17">
        <v>2015</v>
      </c>
      <c r="D17">
        <v>192.29</v>
      </c>
    </row>
    <row r="18" spans="1:4">
      <c r="A18">
        <v>2016</v>
      </c>
      <c r="D18">
        <v>189.071</v>
      </c>
    </row>
    <row r="19" spans="1:4">
      <c r="A19">
        <v>2017</v>
      </c>
      <c r="D19">
        <v>185.886</v>
      </c>
    </row>
    <row r="20" spans="1:4">
      <c r="A20">
        <v>2018</v>
      </c>
      <c r="D20">
        <v>195.07900000000001</v>
      </c>
    </row>
    <row r="21" spans="1:4">
      <c r="A21">
        <v>2019</v>
      </c>
      <c r="D21">
        <v>187.04499999999999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176</v>
      </c>
      <c r="C1" t="s">
        <v>177</v>
      </c>
      <c r="D1" t="s">
        <v>180</v>
      </c>
      <c r="E1" t="s">
        <v>182</v>
      </c>
    </row>
    <row r="2" spans="1:5">
      <c r="A2" t="s">
        <v>173</v>
      </c>
      <c r="B2" t="s">
        <v>194</v>
      </c>
      <c r="C2" t="s">
        <v>195</v>
      </c>
      <c r="D2" t="s">
        <v>196</v>
      </c>
      <c r="E2" t="s">
        <v>197</v>
      </c>
    </row>
    <row r="3" spans="1:5">
      <c r="A3">
        <v>2001</v>
      </c>
      <c r="D3" s="4">
        <v>1958.0425618489601</v>
      </c>
      <c r="E3" s="4">
        <v>58.591498999999999</v>
      </c>
    </row>
    <row r="4" spans="1:5">
      <c r="A4">
        <v>2002</v>
      </c>
      <c r="D4" s="4">
        <v>1919.4593854631717</v>
      </c>
      <c r="E4" s="4">
        <v>67.924413999999999</v>
      </c>
    </row>
    <row r="5" spans="1:5">
      <c r="A5">
        <v>2003</v>
      </c>
      <c r="D5" s="4">
        <v>2096.3778424944198</v>
      </c>
      <c r="E5" s="4">
        <v>76.145567</v>
      </c>
    </row>
    <row r="6" spans="1:5">
      <c r="A6">
        <v>2004</v>
      </c>
      <c r="B6">
        <f>C6</f>
        <v>78.5</v>
      </c>
      <c r="C6">
        <v>78.5</v>
      </c>
      <c r="D6" s="4">
        <v>2375.8771057128938</v>
      </c>
      <c r="E6" s="4">
        <v>85.971186000000003</v>
      </c>
    </row>
    <row r="7" spans="1:5">
      <c r="A7">
        <v>2005</v>
      </c>
      <c r="B7">
        <f t="shared" ref="B7:B21" si="0">C7</f>
        <v>90</v>
      </c>
      <c r="C7">
        <v>90</v>
      </c>
      <c r="D7" s="4">
        <v>3256.0443542480489</v>
      </c>
      <c r="E7" s="4">
        <v>96.04539299999999</v>
      </c>
    </row>
    <row r="8" spans="1:5">
      <c r="A8">
        <v>2006</v>
      </c>
      <c r="B8">
        <f t="shared" si="0"/>
        <v>80</v>
      </c>
      <c r="C8">
        <v>80</v>
      </c>
      <c r="D8" s="4">
        <v>4287.9830078124996</v>
      </c>
      <c r="E8" s="4">
        <v>105.140455</v>
      </c>
    </row>
    <row r="9" spans="1:5">
      <c r="A9">
        <v>2007</v>
      </c>
      <c r="B9">
        <f t="shared" si="0"/>
        <v>86.6</v>
      </c>
      <c r="C9">
        <v>86.6</v>
      </c>
      <c r="D9" s="4">
        <v>6010.4877522786455</v>
      </c>
      <c r="E9" s="4">
        <v>121.12909199999999</v>
      </c>
    </row>
    <row r="10" spans="1:5">
      <c r="A10">
        <v>2008</v>
      </c>
      <c r="B10">
        <f t="shared" si="0"/>
        <v>112.8</v>
      </c>
      <c r="C10">
        <v>112.8</v>
      </c>
      <c r="D10" s="4">
        <v>6046.8367309570312</v>
      </c>
      <c r="E10" s="4">
        <v>125.57747800000001</v>
      </c>
    </row>
    <row r="11" spans="1:5">
      <c r="A11">
        <v>2009</v>
      </c>
      <c r="B11">
        <f t="shared" si="0"/>
        <v>95</v>
      </c>
      <c r="C11">
        <v>95</v>
      </c>
      <c r="D11" s="4">
        <v>5452.4385986328125</v>
      </c>
      <c r="E11" s="4">
        <v>99.382306999999997</v>
      </c>
    </row>
    <row r="12" spans="1:5">
      <c r="A12">
        <v>2010</v>
      </c>
      <c r="B12">
        <f t="shared" si="0"/>
        <v>125</v>
      </c>
      <c r="C12">
        <v>125</v>
      </c>
      <c r="D12" s="4">
        <v>4979.4941030649043</v>
      </c>
      <c r="E12" s="4">
        <v>143.25536400000001</v>
      </c>
    </row>
    <row r="13" spans="1:5">
      <c r="A13">
        <v>2011</v>
      </c>
      <c r="B13">
        <f t="shared" si="0"/>
        <v>122.429</v>
      </c>
      <c r="C13">
        <v>122.429</v>
      </c>
      <c r="D13" s="4">
        <v>4948.2326096754823</v>
      </c>
      <c r="E13" s="4">
        <v>177.108566</v>
      </c>
    </row>
    <row r="14" spans="1:5">
      <c r="A14">
        <v>2012</v>
      </c>
      <c r="B14">
        <f t="shared" si="0"/>
        <v>150.1086</v>
      </c>
      <c r="C14">
        <v>150.1086</v>
      </c>
      <c r="D14" s="4">
        <v>5233.7805350167409</v>
      </c>
      <c r="E14" s="4">
        <v>183.31275300000004</v>
      </c>
    </row>
    <row r="15" spans="1:5">
      <c r="A15">
        <v>2013</v>
      </c>
      <c r="B15">
        <f t="shared" si="0"/>
        <v>159.69</v>
      </c>
      <c r="C15">
        <v>159.69</v>
      </c>
      <c r="D15" s="4">
        <v>5540.7611607142853</v>
      </c>
      <c r="E15" s="4">
        <v>172.04403400000001</v>
      </c>
    </row>
    <row r="16" spans="1:5">
      <c r="A16">
        <v>2014</v>
      </c>
      <c r="B16">
        <f t="shared" si="0"/>
        <v>165</v>
      </c>
      <c r="C16">
        <v>165</v>
      </c>
      <c r="D16" s="4">
        <v>5611.9737025669647</v>
      </c>
      <c r="E16" s="4">
        <v>186.019372</v>
      </c>
    </row>
    <row r="17" spans="1:5">
      <c r="A17">
        <v>2015</v>
      </c>
      <c r="B17">
        <f t="shared" si="0"/>
        <v>194</v>
      </c>
      <c r="C17">
        <v>194</v>
      </c>
      <c r="D17" s="4">
        <v>6032.6183919270834</v>
      </c>
      <c r="E17" s="4">
        <v>201.32204200000001</v>
      </c>
    </row>
    <row r="18" spans="1:5">
      <c r="A18">
        <v>2016</v>
      </c>
      <c r="B18">
        <f t="shared" si="0"/>
        <v>195.35410000000002</v>
      </c>
      <c r="C18">
        <v>195.35410000000002</v>
      </c>
      <c r="D18" s="4">
        <v>10903.384212239584</v>
      </c>
      <c r="E18" s="4">
        <v>246.11897900000002</v>
      </c>
    </row>
    <row r="19" spans="1:5">
      <c r="A19">
        <v>2017</v>
      </c>
      <c r="B19">
        <f t="shared" si="0"/>
        <v>211.32310000000004</v>
      </c>
      <c r="C19">
        <v>211.32310000000004</v>
      </c>
      <c r="D19" s="4">
        <v>14657.141308593749</v>
      </c>
      <c r="E19" s="4">
        <v>312.55251800000002</v>
      </c>
    </row>
    <row r="20" spans="1:5">
      <c r="A20">
        <v>2018</v>
      </c>
      <c r="B20">
        <f t="shared" si="0"/>
        <v>253.37480000000002</v>
      </c>
      <c r="C20">
        <v>253.37480000000002</v>
      </c>
      <c r="D20" s="4">
        <v>15786.893098958333</v>
      </c>
      <c r="E20" s="4">
        <v>361.04267200000004</v>
      </c>
    </row>
    <row r="21" spans="1:5">
      <c r="A21">
        <v>2019</v>
      </c>
      <c r="B21">
        <f t="shared" si="0"/>
        <v>298.08800000000002</v>
      </c>
      <c r="C21">
        <v>298.08800000000002</v>
      </c>
      <c r="D21" s="4">
        <v>11120.835754394531</v>
      </c>
      <c r="E21" s="4">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G14" sqref="G14"/>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176</v>
      </c>
      <c r="C1" t="s">
        <v>180</v>
      </c>
      <c r="D1" t="s">
        <v>182</v>
      </c>
      <c r="E1" t="s">
        <v>177</v>
      </c>
      <c r="F1" t="s">
        <v>188</v>
      </c>
    </row>
    <row r="2" spans="1:9">
      <c r="A2" t="s">
        <v>173</v>
      </c>
      <c r="B2" t="s">
        <v>179</v>
      </c>
      <c r="C2" t="s">
        <v>192</v>
      </c>
      <c r="D2" t="s">
        <v>181</v>
      </c>
      <c r="E2" t="s">
        <v>178</v>
      </c>
      <c r="F2" t="s">
        <v>414</v>
      </c>
    </row>
    <row r="3" spans="1:9" ht="16">
      <c r="A3">
        <v>2001</v>
      </c>
      <c r="B3">
        <v>36692.949911590506</v>
      </c>
      <c r="C3">
        <v>1997.9905450000001</v>
      </c>
      <c r="D3">
        <v>24167.135874890071</v>
      </c>
      <c r="E3">
        <v>23586.24209233735</v>
      </c>
      <c r="F3">
        <f>B3-E3</f>
        <v>13106.707819253155</v>
      </c>
      <c r="I3" s="3"/>
    </row>
    <row r="4" spans="1:9" ht="16">
      <c r="A4">
        <v>2002</v>
      </c>
      <c r="B4">
        <v>37848.563480029639</v>
      </c>
      <c r="C4">
        <v>1842.596871</v>
      </c>
      <c r="D4">
        <v>25796.265334244981</v>
      </c>
      <c r="E4">
        <v>25194.165146347539</v>
      </c>
      <c r="F4">
        <f t="shared" ref="F4:F21" si="0">B4-E4</f>
        <v>12654.3983336821</v>
      </c>
      <c r="I4" s="3"/>
    </row>
    <row r="5" spans="1:9" ht="16">
      <c r="A5">
        <v>2003</v>
      </c>
      <c r="B5">
        <v>39032.795796776976</v>
      </c>
      <c r="C5">
        <v>1835.3739820000001</v>
      </c>
      <c r="D5">
        <v>28039.01855706616</v>
      </c>
      <c r="E5">
        <v>27745.08599541587</v>
      </c>
      <c r="F5">
        <f t="shared" si="0"/>
        <v>11287.709801361107</v>
      </c>
      <c r="I5" s="3"/>
    </row>
    <row r="6" spans="1:9" ht="16">
      <c r="A6">
        <v>2004</v>
      </c>
      <c r="B6">
        <v>41805.11473666539</v>
      </c>
      <c r="C6">
        <v>1999.007353</v>
      </c>
      <c r="D6">
        <v>29971.20629725781</v>
      </c>
      <c r="E6">
        <v>30515.48678321252</v>
      </c>
      <c r="F6">
        <f t="shared" si="0"/>
        <v>11289.627953452869</v>
      </c>
      <c r="I6" s="3"/>
    </row>
    <row r="7" spans="1:9" ht="16">
      <c r="A7">
        <v>2005</v>
      </c>
      <c r="B7">
        <v>44267.889348260738</v>
      </c>
      <c r="C7">
        <v>1933.6908249999999</v>
      </c>
      <c r="D7">
        <v>32666.511542675049</v>
      </c>
      <c r="E7">
        <v>32643.722467116389</v>
      </c>
      <c r="F7">
        <f t="shared" si="0"/>
        <v>11624.166881144349</v>
      </c>
      <c r="I7" s="3"/>
    </row>
    <row r="8" spans="1:9" ht="16">
      <c r="A8">
        <v>2006</v>
      </c>
      <c r="B8">
        <v>47496.510431695337</v>
      </c>
      <c r="C8">
        <v>2554.8448189999999</v>
      </c>
      <c r="D8">
        <v>33941.411133336558</v>
      </c>
      <c r="E8">
        <v>34462.637786284176</v>
      </c>
      <c r="F8">
        <f t="shared" si="0"/>
        <v>13033.87264541116</v>
      </c>
      <c r="I8" s="3"/>
    </row>
    <row r="9" spans="1:9" ht="16">
      <c r="A9">
        <v>2007</v>
      </c>
      <c r="B9">
        <v>50523.975766098505</v>
      </c>
      <c r="C9">
        <v>2480.7119269999998</v>
      </c>
      <c r="D9">
        <v>38125.836811938731</v>
      </c>
      <c r="E9">
        <v>37969.643535283409</v>
      </c>
      <c r="F9">
        <f t="shared" si="0"/>
        <v>12554.332230815096</v>
      </c>
      <c r="I9" s="3"/>
    </row>
    <row r="10" spans="1:9" ht="16">
      <c r="A10">
        <v>2008</v>
      </c>
      <c r="B10">
        <v>51796.681981430542</v>
      </c>
      <c r="C10">
        <v>1928.688547</v>
      </c>
      <c r="D10">
        <v>40157.535936797438</v>
      </c>
      <c r="E10">
        <v>37362.88382821971</v>
      </c>
      <c r="F10">
        <f t="shared" si="0"/>
        <v>14433.798153210832</v>
      </c>
      <c r="I10" s="3"/>
    </row>
    <row r="11" spans="1:9" ht="16">
      <c r="A11">
        <v>2009</v>
      </c>
      <c r="B11">
        <v>47647.595349280331</v>
      </c>
      <c r="C11">
        <v>1462.735707</v>
      </c>
      <c r="D11">
        <v>37722.714939577898</v>
      </c>
      <c r="E11">
        <v>34310.548171226808</v>
      </c>
      <c r="F11">
        <f t="shared" si="0"/>
        <v>13337.047178053523</v>
      </c>
      <c r="I11" s="3"/>
    </row>
    <row r="12" spans="1:9" ht="16">
      <c r="A12">
        <v>2010</v>
      </c>
      <c r="B12">
        <v>56753.117543155669</v>
      </c>
      <c r="C12">
        <v>1760.3780730000001</v>
      </c>
      <c r="D12">
        <v>42037.512284553821</v>
      </c>
      <c r="E12">
        <v>40964.877386645618</v>
      </c>
      <c r="F12">
        <f t="shared" si="0"/>
        <v>15788.240156510052</v>
      </c>
      <c r="I12" s="3"/>
    </row>
    <row r="13" spans="1:9" ht="16">
      <c r="A13">
        <v>2011</v>
      </c>
      <c r="B13">
        <v>62002.864398770726</v>
      </c>
      <c r="C13">
        <v>1744.15533</v>
      </c>
      <c r="D13">
        <v>46046.389963577501</v>
      </c>
      <c r="E13">
        <v>44837.939514223071</v>
      </c>
      <c r="F13">
        <f t="shared" si="0"/>
        <v>17164.924884547654</v>
      </c>
      <c r="I13" s="3"/>
    </row>
    <row r="14" spans="1:9" ht="16">
      <c r="A14">
        <v>2012</v>
      </c>
      <c r="B14">
        <v>66078.322142422825</v>
      </c>
      <c r="C14">
        <v>1324.5091210000001</v>
      </c>
      <c r="D14">
        <v>47963.674854665776</v>
      </c>
      <c r="E14">
        <v>47385.393635782973</v>
      </c>
      <c r="F14">
        <f t="shared" si="0"/>
        <v>18692.928506639852</v>
      </c>
      <c r="I14" s="3"/>
    </row>
    <row r="15" spans="1:9" ht="16">
      <c r="A15">
        <v>2013</v>
      </c>
      <c r="B15">
        <v>70072.125266348477</v>
      </c>
      <c r="C15">
        <v>1079.9049930000001</v>
      </c>
      <c r="D15">
        <v>50607.084465954482</v>
      </c>
      <c r="E15">
        <v>50616.171567437828</v>
      </c>
      <c r="F15">
        <f t="shared" si="0"/>
        <v>19455.953698910649</v>
      </c>
      <c r="I15" s="3"/>
    </row>
    <row r="16" spans="1:9" ht="16">
      <c r="A16">
        <v>2014</v>
      </c>
      <c r="B16">
        <v>73716.033463737695</v>
      </c>
      <c r="C16">
        <v>1153.3966969999999</v>
      </c>
      <c r="D16">
        <v>54162.389639146997</v>
      </c>
      <c r="E16">
        <v>54441.448371809187</v>
      </c>
      <c r="F16">
        <f t="shared" si="0"/>
        <v>19274.585091928508</v>
      </c>
      <c r="I16" s="3"/>
    </row>
    <row r="17" spans="1:9" ht="16">
      <c r="A17">
        <v>2015</v>
      </c>
      <c r="B17">
        <v>76701.865604324368</v>
      </c>
      <c r="C17">
        <v>1533.278067</v>
      </c>
      <c r="D17">
        <v>57059.219971922008</v>
      </c>
      <c r="E17">
        <v>56457.355204526582</v>
      </c>
      <c r="F17">
        <f t="shared" si="0"/>
        <v>20244.510399797786</v>
      </c>
      <c r="I17" s="3"/>
    </row>
    <row r="18" spans="1:9" ht="16">
      <c r="A18">
        <v>2016</v>
      </c>
      <c r="B18">
        <v>80735.380132877632</v>
      </c>
      <c r="C18">
        <v>1533.1627209999999</v>
      </c>
      <c r="D18">
        <v>58985.576857823617</v>
      </c>
      <c r="E18">
        <v>59840.904293387277</v>
      </c>
      <c r="F18">
        <f t="shared" si="0"/>
        <v>20894.475839490355</v>
      </c>
      <c r="I18" s="3"/>
    </row>
    <row r="19" spans="1:9" ht="16">
      <c r="A19">
        <v>2017</v>
      </c>
      <c r="B19">
        <v>84891.170758308959</v>
      </c>
      <c r="C19">
        <v>1776.4595509999999</v>
      </c>
      <c r="D19">
        <v>63536.365395741508</v>
      </c>
      <c r="E19">
        <v>63286.825501539977</v>
      </c>
      <c r="F19">
        <f t="shared" si="0"/>
        <v>21604.345256768982</v>
      </c>
      <c r="I19" s="3"/>
    </row>
    <row r="20" spans="1:9" ht="16">
      <c r="A20">
        <v>2018</v>
      </c>
      <c r="B20">
        <v>86886.090340495837</v>
      </c>
      <c r="C20">
        <v>1687.8842059999999</v>
      </c>
      <c r="D20">
        <v>63966.904071947458</v>
      </c>
      <c r="E20">
        <v>65227.740682118529</v>
      </c>
      <c r="F20">
        <f t="shared" si="0"/>
        <v>21658.349658377309</v>
      </c>
      <c r="I20" s="3"/>
    </row>
    <row r="21" spans="1:9" ht="16">
      <c r="A21">
        <v>2019</v>
      </c>
      <c r="B21">
        <f>B20*E21/E20</f>
        <v>85768.388145129153</v>
      </c>
      <c r="C21">
        <v>1689.1425320000001</v>
      </c>
      <c r="D21">
        <v>67223.3764402956</v>
      </c>
      <c r="E21">
        <v>64388.651379406132</v>
      </c>
      <c r="F21">
        <f t="shared" si="0"/>
        <v>21379.736765723021</v>
      </c>
      <c r="I2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sqref="A1:E21"/>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176</v>
      </c>
      <c r="C1" t="s">
        <v>180</v>
      </c>
      <c r="D1" t="s">
        <v>182</v>
      </c>
      <c r="E1" t="s">
        <v>188</v>
      </c>
      <c r="F1" t="s">
        <v>183</v>
      </c>
      <c r="G1" t="s">
        <v>191</v>
      </c>
    </row>
    <row r="2" spans="1:14">
      <c r="A2" t="s">
        <v>173</v>
      </c>
      <c r="B2" s="1" t="s">
        <v>185</v>
      </c>
      <c r="C2" t="s">
        <v>190</v>
      </c>
      <c r="D2" s="1" t="s">
        <v>187</v>
      </c>
      <c r="F2" s="1" t="s">
        <v>184</v>
      </c>
      <c r="G2" t="s">
        <v>186</v>
      </c>
    </row>
    <row r="3" spans="1:14" ht="16">
      <c r="A3">
        <v>2001</v>
      </c>
      <c r="B3">
        <v>857999.99999999104</v>
      </c>
      <c r="C3" s="2">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tabSelected="1" workbookViewId="0">
      <selection activeCell="G3" sqref="G3"/>
    </sheetView>
  </sheetViews>
  <sheetFormatPr baseColWidth="10" defaultColWidth="8.83203125" defaultRowHeight="15"/>
  <cols>
    <col min="3" max="3" width="13.83203125" bestFit="1" customWidth="1"/>
    <col min="5" max="5" width="14.6640625" customWidth="1"/>
  </cols>
  <sheetData>
    <row r="1" spans="1:17">
      <c r="B1" t="s">
        <v>176</v>
      </c>
      <c r="C1" t="s">
        <v>180</v>
      </c>
      <c r="D1" t="s">
        <v>182</v>
      </c>
      <c r="E1" t="s">
        <v>188</v>
      </c>
      <c r="F1" t="s">
        <v>183</v>
      </c>
      <c r="G1" t="s">
        <v>191</v>
      </c>
      <c r="H1" t="s">
        <v>307</v>
      </c>
      <c r="L1" t="s">
        <v>180</v>
      </c>
      <c r="M1" t="s">
        <v>180</v>
      </c>
      <c r="Q1" t="s">
        <v>304</v>
      </c>
    </row>
    <row r="2" spans="1:17">
      <c r="A2" t="s">
        <v>173</v>
      </c>
      <c r="B2" s="1" t="s">
        <v>306</v>
      </c>
      <c r="C2" t="s">
        <v>303</v>
      </c>
      <c r="D2" s="1" t="s">
        <v>193</v>
      </c>
      <c r="E2" t="s">
        <v>305</v>
      </c>
      <c r="F2" t="s">
        <v>305</v>
      </c>
      <c r="H2" t="s">
        <v>308</v>
      </c>
      <c r="L2" t="s">
        <v>303</v>
      </c>
      <c r="M2" s="32"/>
      <c r="Q2" t="s">
        <v>303</v>
      </c>
    </row>
    <row r="3" spans="1:17">
      <c r="A3">
        <v>2001</v>
      </c>
      <c r="B3" s="32">
        <v>3.7280000000000002</v>
      </c>
      <c r="C3">
        <v>32158607.714417279</v>
      </c>
      <c r="D3">
        <v>2.56</v>
      </c>
      <c r="E3">
        <v>0.94684931506849312</v>
      </c>
      <c r="F3">
        <v>3.506849315068493</v>
      </c>
      <c r="H3" s="32">
        <v>3.7280000000000002</v>
      </c>
      <c r="L3">
        <v>13566761.083007999</v>
      </c>
      <c r="M3">
        <v>384.62169599999999</v>
      </c>
      <c r="Q3">
        <v>11873993.704704</v>
      </c>
    </row>
    <row r="4" spans="1:17">
      <c r="A4">
        <v>2002</v>
      </c>
      <c r="B4" s="32">
        <v>3.3620000000000001</v>
      </c>
      <c r="C4">
        <v>34756129.686718091</v>
      </c>
      <c r="D4">
        <v>2.5499999999999998</v>
      </c>
      <c r="E4">
        <v>1.0415492957746479</v>
      </c>
      <c r="F4">
        <v>3.591549295774648</v>
      </c>
      <c r="H4" s="32">
        <v>3.3620000000000001</v>
      </c>
      <c r="L4">
        <v>15261925.167299999</v>
      </c>
      <c r="M4" s="32">
        <v>432.68009999999998</v>
      </c>
      <c r="Q4">
        <v>13567145.704704</v>
      </c>
    </row>
    <row r="5" spans="1:17">
      <c r="A5">
        <v>2003</v>
      </c>
      <c r="B5" s="32">
        <v>3.206</v>
      </c>
      <c r="C5">
        <v>38240248.805773944</v>
      </c>
      <c r="D5">
        <v>2.54</v>
      </c>
      <c r="E5">
        <v>1.0885714285714287</v>
      </c>
      <c r="F5">
        <v>3.628571428571429</v>
      </c>
      <c r="H5" s="32">
        <v>3.206</v>
      </c>
      <c r="L5">
        <v>17508670.647999998</v>
      </c>
      <c r="M5" s="32">
        <v>496.37599999999998</v>
      </c>
      <c r="Q5">
        <v>15252034.346915999</v>
      </c>
    </row>
    <row r="6" spans="1:17">
      <c r="A6">
        <v>2004</v>
      </c>
      <c r="B6" s="32">
        <v>3.512</v>
      </c>
      <c r="C6">
        <v>33392445.494627818</v>
      </c>
      <c r="D6">
        <v>2.42</v>
      </c>
      <c r="E6">
        <v>1.0371428571428571</v>
      </c>
      <c r="F6">
        <v>3.4571428571428573</v>
      </c>
      <c r="H6" s="32">
        <v>3.512</v>
      </c>
      <c r="L6">
        <v>19169570.399</v>
      </c>
      <c r="M6" s="32">
        <v>543.46299999999997</v>
      </c>
      <c r="Q6">
        <v>15749019.786006</v>
      </c>
    </row>
    <row r="7" spans="1:17">
      <c r="A7">
        <v>2005</v>
      </c>
      <c r="B7" s="32">
        <v>3.7450000000000001</v>
      </c>
      <c r="C7">
        <v>33248775.81758856</v>
      </c>
      <c r="D7">
        <v>2.48</v>
      </c>
      <c r="E7">
        <v>0.91726027397260279</v>
      </c>
      <c r="F7">
        <v>3.397260273972603</v>
      </c>
      <c r="H7" s="32">
        <v>3.7450000000000001</v>
      </c>
      <c r="L7">
        <v>20163133.2084</v>
      </c>
      <c r="M7" s="32">
        <v>571.63080000000002</v>
      </c>
      <c r="Q7">
        <v>15122391.179784</v>
      </c>
    </row>
    <row r="8" spans="1:17">
      <c r="A8">
        <v>2006</v>
      </c>
      <c r="B8" s="32">
        <v>3.4239999999999999</v>
      </c>
      <c r="C8">
        <v>30743276.91313928</v>
      </c>
      <c r="D8">
        <v>2.37</v>
      </c>
      <c r="E8">
        <v>1.2761538461538462</v>
      </c>
      <c r="F8">
        <v>3.6461538461538461</v>
      </c>
      <c r="H8" s="32">
        <v>3.4239999999999999</v>
      </c>
      <c r="L8">
        <v>26549874.226400003</v>
      </c>
      <c r="M8" s="32">
        <v>752.69680000000005</v>
      </c>
      <c r="Q8">
        <v>20608702.998528</v>
      </c>
    </row>
    <row r="9" spans="1:17">
      <c r="A9">
        <v>2007</v>
      </c>
      <c r="B9" s="32">
        <v>3.552</v>
      </c>
      <c r="C9">
        <v>30864252.603043139</v>
      </c>
      <c r="D9">
        <v>2.35</v>
      </c>
      <c r="E9">
        <v>1.1574626865671642</v>
      </c>
      <c r="F9">
        <v>3.5074626865671643</v>
      </c>
      <c r="H9" s="32">
        <v>3.552</v>
      </c>
      <c r="L9">
        <v>29720363.140299998</v>
      </c>
      <c r="M9" s="32">
        <v>842.58109999999999</v>
      </c>
      <c r="Q9">
        <v>23289317.400419999</v>
      </c>
    </row>
    <row r="10" spans="1:17">
      <c r="A10">
        <v>2008</v>
      </c>
      <c r="B10" s="32">
        <v>3.806</v>
      </c>
      <c r="C10">
        <v>35319609.12352629</v>
      </c>
      <c r="D10">
        <v>2.2799999999999998</v>
      </c>
      <c r="E10">
        <v>1.4577049180327868</v>
      </c>
      <c r="F10">
        <v>3.7377049180327866</v>
      </c>
      <c r="H10" s="32">
        <v>3.806</v>
      </c>
      <c r="L10">
        <v>35897191.008000001</v>
      </c>
      <c r="M10" s="32">
        <v>1017.696</v>
      </c>
      <c r="Q10">
        <v>26830921.217274003</v>
      </c>
    </row>
    <row r="11" spans="1:17">
      <c r="A11">
        <v>2009</v>
      </c>
      <c r="B11" s="32">
        <v>3.6116350000000002</v>
      </c>
      <c r="C11">
        <v>38898966.518224157</v>
      </c>
      <c r="D11">
        <v>2.46</v>
      </c>
      <c r="E11">
        <v>1.7813793103448277</v>
      </c>
      <c r="F11">
        <v>4.2413793103448274</v>
      </c>
      <c r="H11" s="32">
        <v>3.6116350000000002</v>
      </c>
      <c r="L11">
        <v>40098416.945999995</v>
      </c>
      <c r="M11" s="32">
        <v>1136.8019999999999</v>
      </c>
      <c r="Q11">
        <v>35094737.355630003</v>
      </c>
    </row>
    <row r="12" spans="1:17">
      <c r="A12">
        <v>2010</v>
      </c>
      <c r="B12" s="32">
        <v>4.1711999999999998</v>
      </c>
      <c r="C12">
        <v>37588090.75913588</v>
      </c>
      <c r="D12">
        <v>2.7545000000000002</v>
      </c>
      <c r="E12">
        <v>1.6710719654124919</v>
      </c>
      <c r="F12">
        <v>4.4255719654124919</v>
      </c>
      <c r="H12" s="32">
        <v>4.1711999999999998</v>
      </c>
      <c r="L12">
        <v>49760044.376000002</v>
      </c>
      <c r="M12" s="32">
        <v>1410.712</v>
      </c>
      <c r="Q12">
        <v>42975239.260650001</v>
      </c>
    </row>
    <row r="13" spans="1:17">
      <c r="A13">
        <v>2011</v>
      </c>
      <c r="B13" s="32">
        <v>4.7247000000000003</v>
      </c>
      <c r="C13">
        <v>30235459.474326681</v>
      </c>
      <c r="D13">
        <v>2.8769</v>
      </c>
      <c r="E13">
        <v>1.6260682952887595</v>
      </c>
      <c r="F13">
        <v>4.5029682952887597</v>
      </c>
      <c r="H13" s="32">
        <v>4.7247000000000003</v>
      </c>
      <c r="L13">
        <v>61920552.217999995</v>
      </c>
      <c r="M13" s="32">
        <v>1755.4659999999999</v>
      </c>
      <c r="Q13">
        <v>53778977.547102004</v>
      </c>
    </row>
    <row r="14" spans="1:17">
      <c r="A14">
        <v>2012</v>
      </c>
      <c r="B14" s="32">
        <v>4.6726999999999999</v>
      </c>
      <c r="C14">
        <v>34760511.443366013</v>
      </c>
      <c r="D14">
        <v>2.9571999999999998</v>
      </c>
      <c r="E14">
        <v>1.636490651685955</v>
      </c>
      <c r="F14">
        <v>4.5936906516859546</v>
      </c>
      <c r="H14" s="32">
        <v>4.6726999999999999</v>
      </c>
      <c r="L14">
        <v>64372413.721000001</v>
      </c>
      <c r="M14" s="32">
        <v>1824.9770000000001</v>
      </c>
      <c r="Q14">
        <v>56518569.477336004</v>
      </c>
    </row>
    <row r="15" spans="1:17">
      <c r="A15">
        <v>2013</v>
      </c>
      <c r="B15" s="32">
        <v>4.5137</v>
      </c>
      <c r="C15">
        <v>36919530.56733261</v>
      </c>
      <c r="D15">
        <v>3.1667999999999998</v>
      </c>
      <c r="E15">
        <v>1.1952304507245022</v>
      </c>
      <c r="F15">
        <v>4.362030450724502</v>
      </c>
      <c r="H15" s="32">
        <v>4.5137</v>
      </c>
      <c r="L15">
        <v>53626494.270999998</v>
      </c>
      <c r="M15" s="32">
        <v>1520.327</v>
      </c>
      <c r="Q15">
        <v>45537007.619892001</v>
      </c>
    </row>
    <row r="16" spans="1:17">
      <c r="A16">
        <v>2014</v>
      </c>
      <c r="B16" s="32">
        <v>4.4260999999999999</v>
      </c>
      <c r="C16">
        <v>39607390.179120421</v>
      </c>
      <c r="D16">
        <v>3.2705000000000002</v>
      </c>
      <c r="E16">
        <v>1.1295000626595046</v>
      </c>
      <c r="F16">
        <v>4.4000000626595046</v>
      </c>
      <c r="H16" s="32">
        <v>4.4260999999999999</v>
      </c>
      <c r="L16">
        <v>47384090.369000003</v>
      </c>
      <c r="M16" s="32">
        <v>1343.3530000000001</v>
      </c>
      <c r="Q16">
        <v>39909789.610542007</v>
      </c>
    </row>
    <row r="17" spans="1:17">
      <c r="A17">
        <v>2015</v>
      </c>
      <c r="B17" s="32">
        <v>4.3685</v>
      </c>
      <c r="C17">
        <v>42508448.15397431</v>
      </c>
      <c r="D17">
        <v>3.3662999999999998</v>
      </c>
      <c r="E17">
        <v>1.0668016412034791</v>
      </c>
      <c r="F17">
        <v>4.4331016412034785</v>
      </c>
      <c r="H17" s="32">
        <v>4.3685</v>
      </c>
      <c r="L17">
        <v>43305191.195</v>
      </c>
      <c r="M17" s="32">
        <v>1227.7149999999999</v>
      </c>
      <c r="Q17">
        <v>40209714.238356002</v>
      </c>
    </row>
    <row r="18" spans="1:17">
      <c r="A18">
        <v>2016</v>
      </c>
      <c r="B18" s="32">
        <v>4.3914</v>
      </c>
      <c r="C18">
        <v>42548544.823638499</v>
      </c>
      <c r="D18">
        <v>3.5173000000000001</v>
      </c>
      <c r="E18">
        <v>1.2321408911587837</v>
      </c>
      <c r="F18">
        <v>4.749440891158784</v>
      </c>
      <c r="H18" s="32">
        <v>4.3914</v>
      </c>
      <c r="L18">
        <v>46124315.173999995</v>
      </c>
      <c r="M18" s="32">
        <v>1307.6379999999999</v>
      </c>
      <c r="Q18">
        <v>43624963.306727998</v>
      </c>
    </row>
    <row r="19" spans="1:17">
      <c r="A19">
        <v>2017</v>
      </c>
      <c r="B19" s="32">
        <v>4.2782999999999998</v>
      </c>
      <c r="C19">
        <v>42679109.372038342</v>
      </c>
      <c r="D19">
        <v>3.5678000000000001</v>
      </c>
      <c r="E19">
        <v>1.112318600152481</v>
      </c>
      <c r="F19">
        <v>4.6801186001524808</v>
      </c>
      <c r="H19" s="32">
        <v>4.2782999999999998</v>
      </c>
      <c r="L19">
        <v>45451976.520999998</v>
      </c>
      <c r="M19" s="32">
        <v>1288.577</v>
      </c>
      <c r="Q19">
        <v>42306183.016679995</v>
      </c>
    </row>
    <row r="20" spans="1:17">
      <c r="A20">
        <v>2018</v>
      </c>
      <c r="B20" s="32">
        <v>4.4542999999999999</v>
      </c>
      <c r="C20">
        <v>45655005.588163659</v>
      </c>
      <c r="D20">
        <v>3.6536</v>
      </c>
      <c r="E20">
        <v>1.1317010124660076</v>
      </c>
      <c r="F20">
        <v>4.7853010124660074</v>
      </c>
      <c r="H20" s="32">
        <v>4.4542999999999999</v>
      </c>
      <c r="L20">
        <v>44895298.035000004</v>
      </c>
      <c r="M20" s="32">
        <v>1272.7950000000001</v>
      </c>
      <c r="Q20">
        <v>40434691.598711997</v>
      </c>
    </row>
    <row r="21" spans="1:17">
      <c r="A21">
        <v>2019</v>
      </c>
      <c r="B21" s="32">
        <v>4.3593999999999999</v>
      </c>
      <c r="C21">
        <f t="shared" ref="C21" si="0">M21*35273</f>
        <v>52976451.681300007</v>
      </c>
      <c r="D21">
        <v>3.5962000000000001</v>
      </c>
      <c r="E21">
        <v>1.2756181422894106</v>
      </c>
      <c r="F21">
        <v>4.8718181422894107</v>
      </c>
      <c r="H21" s="32">
        <v>4.3593999999999999</v>
      </c>
      <c r="L21">
        <v>52976451.681300007</v>
      </c>
      <c r="M21">
        <f>M20+(M20*0.18)</f>
        <v>1501.8981000000001</v>
      </c>
      <c r="Q21">
        <v>47712936.086480156</v>
      </c>
    </row>
    <row r="22" spans="1:17" ht="19">
      <c r="H22" s="31"/>
    </row>
    <row r="23" spans="1:17" ht="19">
      <c r="C23" s="33"/>
      <c r="H23" s="31"/>
    </row>
    <row r="24" spans="1:17" ht="19">
      <c r="C24" s="33"/>
      <c r="H24" s="31"/>
    </row>
    <row r="25" spans="1:17" ht="19">
      <c r="C25" s="33"/>
      <c r="H25" s="31"/>
    </row>
    <row r="26" spans="1:17">
      <c r="C26" s="33"/>
    </row>
    <row r="27" spans="1:17">
      <c r="C27" s="33"/>
    </row>
    <row r="28" spans="1:17">
      <c r="C28" s="33"/>
    </row>
    <row r="29" spans="1:17">
      <c r="C29" s="33"/>
    </row>
    <row r="30" spans="1:17">
      <c r="C30" s="33"/>
    </row>
    <row r="31" spans="1:17">
      <c r="C31" s="33"/>
    </row>
    <row r="32" spans="1:17">
      <c r="C32" s="33"/>
    </row>
    <row r="33" spans="3:3">
      <c r="C33" s="33"/>
    </row>
    <row r="34" spans="3:3">
      <c r="C34" s="33"/>
    </row>
    <row r="35" spans="3:3">
      <c r="C35" s="33"/>
    </row>
    <row r="36" spans="3:3">
      <c r="C36" s="33"/>
    </row>
    <row r="37" spans="3:3">
      <c r="C37" s="33"/>
    </row>
    <row r="38" spans="3:3">
      <c r="C38" s="33"/>
    </row>
    <row r="39" spans="3:3">
      <c r="C39" s="33"/>
    </row>
    <row r="40" spans="3:3">
      <c r="C40" s="33"/>
    </row>
    <row r="41" spans="3:3">
      <c r="C41"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M32"/>
  <sheetViews>
    <sheetView zoomScale="83" workbookViewId="0">
      <selection activeCell="D2" sqref="D2"/>
    </sheetView>
  </sheetViews>
  <sheetFormatPr baseColWidth="10" defaultColWidth="8.83203125" defaultRowHeight="15"/>
  <sheetData>
    <row r="1" spans="1:13">
      <c r="B1" t="s">
        <v>176</v>
      </c>
      <c r="C1" t="s">
        <v>180</v>
      </c>
      <c r="D1" t="s">
        <v>182</v>
      </c>
      <c r="E1" t="s">
        <v>188</v>
      </c>
      <c r="K1" t="s">
        <v>418</v>
      </c>
      <c r="L1" t="s">
        <v>416</v>
      </c>
      <c r="M1" t="s">
        <v>417</v>
      </c>
    </row>
    <row r="2" spans="1:13">
      <c r="A2" t="s">
        <v>173</v>
      </c>
      <c r="B2" s="1"/>
      <c r="D2" s="1" t="s">
        <v>419</v>
      </c>
      <c r="J2">
        <v>1990</v>
      </c>
      <c r="K2" s="39">
        <v>51900</v>
      </c>
      <c r="L2">
        <f>K2/1000</f>
        <v>51.9</v>
      </c>
    </row>
    <row r="3" spans="1:13">
      <c r="A3">
        <v>1990</v>
      </c>
      <c r="D3">
        <f>L2/0.793</f>
        <v>65.44766708701134</v>
      </c>
      <c r="J3">
        <v>1991</v>
      </c>
      <c r="K3" s="39">
        <v>48200</v>
      </c>
      <c r="L3">
        <f t="shared" ref="L3:L31" si="0">K3/1000</f>
        <v>48.2</v>
      </c>
    </row>
    <row r="4" spans="1:13">
      <c r="A4">
        <v>1991</v>
      </c>
      <c r="D4">
        <f>L3/0.793</f>
        <v>60.781841109709966</v>
      </c>
      <c r="J4">
        <v>1992</v>
      </c>
      <c r="K4" s="39">
        <v>42900</v>
      </c>
      <c r="L4">
        <f t="shared" si="0"/>
        <v>42.9</v>
      </c>
    </row>
    <row r="5" spans="1:13">
      <c r="A5">
        <v>1992</v>
      </c>
      <c r="D5">
        <f>L4/0.793</f>
        <v>54.0983606557377</v>
      </c>
      <c r="J5">
        <v>1993</v>
      </c>
      <c r="K5" s="39">
        <v>34300</v>
      </c>
      <c r="L5">
        <f t="shared" si="0"/>
        <v>34.299999999999997</v>
      </c>
    </row>
    <row r="6" spans="1:13">
      <c r="A6">
        <v>1993</v>
      </c>
      <c r="D6">
        <f>L5/0.793</f>
        <v>43.253467843631775</v>
      </c>
      <c r="J6">
        <v>1994</v>
      </c>
      <c r="K6" s="39">
        <v>34000</v>
      </c>
      <c r="L6">
        <f t="shared" si="0"/>
        <v>34</v>
      </c>
    </row>
    <row r="7" spans="1:13">
      <c r="A7">
        <v>1994</v>
      </c>
      <c r="D7">
        <f>L6/0.793</f>
        <v>42.875157629255988</v>
      </c>
      <c r="J7">
        <v>1995</v>
      </c>
      <c r="K7" s="39">
        <v>38500</v>
      </c>
      <c r="L7">
        <f t="shared" si="0"/>
        <v>38.5</v>
      </c>
    </row>
    <row r="8" spans="1:13">
      <c r="A8">
        <v>1995</v>
      </c>
      <c r="D8">
        <f>L7/0.793</f>
        <v>48.549810844892811</v>
      </c>
      <c r="J8">
        <v>1996</v>
      </c>
      <c r="K8" s="39">
        <v>34700</v>
      </c>
      <c r="L8">
        <f t="shared" si="0"/>
        <v>34.700000000000003</v>
      </c>
    </row>
    <row r="9" spans="1:13">
      <c r="A9">
        <v>1996</v>
      </c>
      <c r="D9">
        <f>L8/0.793</f>
        <v>43.757881462799496</v>
      </c>
      <c r="J9">
        <v>1997</v>
      </c>
      <c r="K9" s="39">
        <v>33200</v>
      </c>
      <c r="L9">
        <f t="shared" si="0"/>
        <v>33.200000000000003</v>
      </c>
    </row>
    <row r="10" spans="1:13">
      <c r="A10">
        <v>1997</v>
      </c>
      <c r="D10">
        <f>L9/0.793</f>
        <v>41.86633039092056</v>
      </c>
      <c r="J10">
        <v>1998</v>
      </c>
      <c r="K10" s="39">
        <v>37000</v>
      </c>
      <c r="L10">
        <f t="shared" si="0"/>
        <v>37</v>
      </c>
    </row>
    <row r="11" spans="1:13">
      <c r="A11">
        <v>1998</v>
      </c>
      <c r="D11">
        <f>L10/0.793</f>
        <v>46.658259773013867</v>
      </c>
      <c r="J11">
        <v>1999</v>
      </c>
      <c r="K11" s="39">
        <v>37700</v>
      </c>
      <c r="L11">
        <f t="shared" si="0"/>
        <v>37.700000000000003</v>
      </c>
    </row>
    <row r="12" spans="1:13">
      <c r="A12">
        <v>1999</v>
      </c>
      <c r="D12">
        <f>L11/0.793</f>
        <v>47.540983606557376</v>
      </c>
      <c r="J12">
        <v>2000</v>
      </c>
      <c r="K12" s="39">
        <v>44000</v>
      </c>
      <c r="L12">
        <f t="shared" si="0"/>
        <v>44</v>
      </c>
    </row>
    <row r="13" spans="1:13" ht="16">
      <c r="A13">
        <v>2000</v>
      </c>
      <c r="C13" s="2"/>
      <c r="D13">
        <f>L12/0.793</f>
        <v>55.485498108448922</v>
      </c>
      <c r="J13">
        <v>2001</v>
      </c>
      <c r="K13" s="40">
        <v>50800</v>
      </c>
      <c r="L13">
        <f t="shared" si="0"/>
        <v>50.8</v>
      </c>
    </row>
    <row r="14" spans="1:13">
      <c r="A14">
        <v>2001</v>
      </c>
      <c r="D14">
        <f>L13/0.793</f>
        <v>64.060529634300124</v>
      </c>
      <c r="J14">
        <v>2002</v>
      </c>
      <c r="K14" s="40">
        <v>47000</v>
      </c>
      <c r="L14">
        <f t="shared" si="0"/>
        <v>47</v>
      </c>
    </row>
    <row r="15" spans="1:13">
      <c r="A15">
        <v>2002</v>
      </c>
      <c r="D15">
        <f>L14/0.793</f>
        <v>59.268600252206809</v>
      </c>
      <c r="J15">
        <v>2003</v>
      </c>
      <c r="K15" s="40">
        <v>47200</v>
      </c>
      <c r="L15">
        <f t="shared" si="0"/>
        <v>47.2</v>
      </c>
    </row>
    <row r="16" spans="1:13">
      <c r="A16">
        <v>2003</v>
      </c>
      <c r="D16">
        <f>L15/0.793</f>
        <v>59.52080706179067</v>
      </c>
      <c r="J16">
        <v>2004</v>
      </c>
      <c r="K16" s="40">
        <v>66300</v>
      </c>
      <c r="L16">
        <f t="shared" si="0"/>
        <v>66.3</v>
      </c>
    </row>
    <row r="17" spans="1:12">
      <c r="A17">
        <v>2004</v>
      </c>
      <c r="D17">
        <f>L16/0.793</f>
        <v>83.606557377049171</v>
      </c>
      <c r="J17">
        <v>2005</v>
      </c>
      <c r="K17" s="40">
        <v>59500</v>
      </c>
      <c r="L17">
        <f t="shared" si="0"/>
        <v>59.5</v>
      </c>
    </row>
    <row r="18" spans="1:12">
      <c r="A18">
        <v>2005</v>
      </c>
      <c r="D18">
        <f>L17/0.793</f>
        <v>75.031525851197983</v>
      </c>
      <c r="J18">
        <v>2006</v>
      </c>
      <c r="K18" s="40">
        <v>56600</v>
      </c>
      <c r="L18">
        <f t="shared" si="0"/>
        <v>56.6</v>
      </c>
    </row>
    <row r="19" spans="1:12">
      <c r="A19">
        <v>2006</v>
      </c>
      <c r="D19">
        <f>L18/0.793</f>
        <v>71.37452711223203</v>
      </c>
      <c r="J19">
        <v>2007</v>
      </c>
      <c r="K19" s="40">
        <v>53600</v>
      </c>
      <c r="L19">
        <f t="shared" si="0"/>
        <v>53.6</v>
      </c>
    </row>
    <row r="20" spans="1:12">
      <c r="A20">
        <v>2007</v>
      </c>
      <c r="D20">
        <f>L19/0.793</f>
        <v>67.591424968474143</v>
      </c>
      <c r="J20">
        <v>2008</v>
      </c>
      <c r="K20" s="40">
        <v>61900</v>
      </c>
      <c r="L20">
        <f t="shared" si="0"/>
        <v>61.9</v>
      </c>
    </row>
    <row r="21" spans="1:12">
      <c r="A21">
        <v>2008</v>
      </c>
      <c r="D21">
        <f>L20/0.793</f>
        <v>78.058007566204282</v>
      </c>
      <c r="J21">
        <v>2009</v>
      </c>
      <c r="K21" s="40">
        <v>61200</v>
      </c>
      <c r="L21">
        <f t="shared" si="0"/>
        <v>61.2</v>
      </c>
    </row>
    <row r="22" spans="1:12">
      <c r="A22">
        <v>2009</v>
      </c>
      <c r="D22">
        <f>L21/0.793</f>
        <v>77.175283732660787</v>
      </c>
      <c r="J22">
        <v>2010</v>
      </c>
      <c r="K22" s="40">
        <v>68400</v>
      </c>
      <c r="L22">
        <f t="shared" si="0"/>
        <v>68.400000000000006</v>
      </c>
    </row>
    <row r="23" spans="1:12">
      <c r="A23">
        <v>2010</v>
      </c>
      <c r="D23">
        <f>L22/0.793</f>
        <v>86.254728877679696</v>
      </c>
      <c r="J23">
        <v>2011</v>
      </c>
      <c r="K23" s="40">
        <v>73900</v>
      </c>
      <c r="L23">
        <f t="shared" si="0"/>
        <v>73.900000000000006</v>
      </c>
    </row>
    <row r="24" spans="1:12">
      <c r="A24">
        <v>2011</v>
      </c>
      <c r="D24">
        <f>L23/0.793</f>
        <v>93.190416141235815</v>
      </c>
      <c r="J24">
        <v>2012</v>
      </c>
      <c r="K24" s="40">
        <v>77700</v>
      </c>
      <c r="L24">
        <f t="shared" si="0"/>
        <v>77.7</v>
      </c>
    </row>
    <row r="25" spans="1:12">
      <c r="A25">
        <v>2012</v>
      </c>
      <c r="D25">
        <f>L24/0.793</f>
        <v>97.98234552332913</v>
      </c>
      <c r="J25">
        <v>2013</v>
      </c>
      <c r="K25" s="40">
        <v>79400</v>
      </c>
      <c r="L25">
        <f t="shared" si="0"/>
        <v>79.400000000000006</v>
      </c>
    </row>
    <row r="26" spans="1:12">
      <c r="A26">
        <v>2013</v>
      </c>
      <c r="D26">
        <f>L25/0.793</f>
        <v>100.12610340479193</v>
      </c>
      <c r="J26">
        <v>2014</v>
      </c>
      <c r="K26" s="40">
        <v>82100</v>
      </c>
      <c r="L26">
        <f t="shared" si="0"/>
        <v>82.1</v>
      </c>
    </row>
    <row r="27" spans="1:12">
      <c r="A27">
        <v>2014</v>
      </c>
      <c r="D27">
        <f>L26/0.793</f>
        <v>103.53089533417401</v>
      </c>
      <c r="J27">
        <v>2015</v>
      </c>
      <c r="K27" s="40">
        <v>83700</v>
      </c>
      <c r="L27">
        <f t="shared" si="0"/>
        <v>83.7</v>
      </c>
    </row>
    <row r="28" spans="1:12">
      <c r="A28">
        <v>2015</v>
      </c>
      <c r="D28">
        <f>L27/0.793</f>
        <v>105.54854981084489</v>
      </c>
      <c r="J28">
        <v>2016</v>
      </c>
      <c r="K28" s="40">
        <v>78400</v>
      </c>
      <c r="L28">
        <f t="shared" si="0"/>
        <v>78.400000000000006</v>
      </c>
    </row>
    <row r="29" spans="1:12">
      <c r="A29">
        <v>2016</v>
      </c>
      <c r="D29">
        <f>L28/0.793</f>
        <v>98.865069356872638</v>
      </c>
      <c r="J29">
        <v>2017</v>
      </c>
      <c r="K29" s="40">
        <v>81400</v>
      </c>
      <c r="L29">
        <f t="shared" si="0"/>
        <v>81.400000000000006</v>
      </c>
    </row>
    <row r="30" spans="1:12">
      <c r="A30">
        <v>2017</v>
      </c>
      <c r="D30">
        <f>L29/0.793</f>
        <v>102.64817150063053</v>
      </c>
      <c r="J30">
        <v>2018</v>
      </c>
      <c r="K30" s="40">
        <v>82200</v>
      </c>
      <c r="L30">
        <f t="shared" si="0"/>
        <v>82.2</v>
      </c>
    </row>
    <row r="31" spans="1:12">
      <c r="A31">
        <v>2018</v>
      </c>
      <c r="D31">
        <f>L30/0.793</f>
        <v>103.65699873896595</v>
      </c>
      <c r="J31">
        <v>2019</v>
      </c>
      <c r="K31" s="40">
        <v>83800</v>
      </c>
      <c r="L31">
        <f t="shared" si="0"/>
        <v>83.8</v>
      </c>
    </row>
    <row r="32" spans="1:12">
      <c r="A32">
        <v>2019</v>
      </c>
      <c r="D32">
        <f>L31/0.793</f>
        <v>105.67465321563681</v>
      </c>
    </row>
  </sheetData>
  <hyperlinks>
    <hyperlink ref="D2" r:id="rId1" xr:uid="{BF6C4004-0780-AD44-B728-E0C63F9DE10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E21" sqref="E21"/>
    </sheetView>
  </sheetViews>
  <sheetFormatPr baseColWidth="10" defaultColWidth="8.83203125" defaultRowHeight="15"/>
  <sheetData>
    <row r="1" spans="1:5">
      <c r="B1" t="s">
        <v>176</v>
      </c>
      <c r="C1" t="s">
        <v>180</v>
      </c>
      <c r="D1" t="s">
        <v>182</v>
      </c>
      <c r="E1" t="s">
        <v>188</v>
      </c>
    </row>
    <row r="2" spans="1:5">
      <c r="A2" t="s">
        <v>173</v>
      </c>
      <c r="B2" s="1" t="s">
        <v>315</v>
      </c>
      <c r="D2" s="1"/>
    </row>
    <row r="3" spans="1:5">
      <c r="A3">
        <v>1990</v>
      </c>
      <c r="B3">
        <v>227.46799999999999</v>
      </c>
      <c r="D3">
        <v>210.60900000000001</v>
      </c>
      <c r="E3">
        <f t="shared" ref="E3:E32" si="0">B3-D3</f>
        <v>16.85899999999998</v>
      </c>
    </row>
    <row r="4" spans="1:5">
      <c r="A4">
        <v>1991</v>
      </c>
      <c r="B4">
        <v>203.57</v>
      </c>
      <c r="D4">
        <v>193.32499999999999</v>
      </c>
      <c r="E4">
        <f t="shared" si="0"/>
        <v>10.245000000000005</v>
      </c>
    </row>
    <row r="5" spans="1:5">
      <c r="A5">
        <v>1992</v>
      </c>
      <c r="B5">
        <v>203.13800000000001</v>
      </c>
      <c r="D5">
        <v>185.542</v>
      </c>
      <c r="E5">
        <f t="shared" si="0"/>
        <v>17.596000000000004</v>
      </c>
    </row>
    <row r="6" spans="1:5">
      <c r="A6">
        <v>1993</v>
      </c>
      <c r="B6">
        <v>197.32599999999999</v>
      </c>
      <c r="D6">
        <v>185.87700000000001</v>
      </c>
      <c r="E6">
        <f t="shared" si="0"/>
        <v>11.448999999999984</v>
      </c>
    </row>
    <row r="7" spans="1:5">
      <c r="A7">
        <v>1994</v>
      </c>
      <c r="B7">
        <v>231.25700000000001</v>
      </c>
      <c r="D7">
        <v>184.40899999999999</v>
      </c>
      <c r="E7">
        <f t="shared" si="0"/>
        <v>46.848000000000013</v>
      </c>
    </row>
    <row r="8" spans="1:5">
      <c r="A8">
        <v>1995</v>
      </c>
      <c r="B8">
        <v>219.834</v>
      </c>
      <c r="D8">
        <v>198.006</v>
      </c>
      <c r="E8">
        <f t="shared" si="0"/>
        <v>21.828000000000003</v>
      </c>
    </row>
    <row r="9" spans="1:5">
      <c r="A9">
        <v>1996</v>
      </c>
      <c r="B9">
        <v>230.744</v>
      </c>
      <c r="D9">
        <v>223.40100000000001</v>
      </c>
      <c r="E9">
        <f t="shared" si="0"/>
        <v>7.3429999999999893</v>
      </c>
    </row>
    <row r="10" spans="1:5">
      <c r="A10">
        <v>1997</v>
      </c>
      <c r="B10">
        <v>238.179</v>
      </c>
      <c r="D10">
        <v>221.51599999999999</v>
      </c>
      <c r="E10">
        <f t="shared" si="0"/>
        <v>16.663000000000011</v>
      </c>
    </row>
    <row r="11" spans="1:5">
      <c r="A11">
        <v>1998</v>
      </c>
      <c r="B11">
        <v>237.03</v>
      </c>
      <c r="D11">
        <v>212.01400000000001</v>
      </c>
      <c r="E11">
        <f t="shared" si="0"/>
        <v>25.015999999999991</v>
      </c>
    </row>
    <row r="12" spans="1:5">
      <c r="A12">
        <v>1999</v>
      </c>
      <c r="B12">
        <v>248.10300000000001</v>
      </c>
      <c r="D12">
        <v>220.06200000000001</v>
      </c>
      <c r="E12">
        <f t="shared" si="0"/>
        <v>28.040999999999997</v>
      </c>
    </row>
    <row r="13" spans="1:5">
      <c r="A13">
        <v>2000</v>
      </c>
      <c r="B13">
        <v>260.66899999999998</v>
      </c>
      <c r="D13">
        <v>249.02600000000001</v>
      </c>
      <c r="E13">
        <f t="shared" si="0"/>
        <v>11.642999999999972</v>
      </c>
    </row>
    <row r="14" spans="1:5" ht="16">
      <c r="A14">
        <v>2001</v>
      </c>
      <c r="B14">
        <v>280.69499999999999</v>
      </c>
      <c r="C14" s="2"/>
      <c r="D14" s="2">
        <v>244.29499999999999</v>
      </c>
      <c r="E14">
        <f t="shared" si="0"/>
        <v>36.400000000000006</v>
      </c>
    </row>
    <row r="15" spans="1:5">
      <c r="A15">
        <v>2002</v>
      </c>
      <c r="B15">
        <v>264.428</v>
      </c>
      <c r="D15">
        <v>234.91499999999999</v>
      </c>
      <c r="E15">
        <f t="shared" si="0"/>
        <v>29.513000000000005</v>
      </c>
    </row>
    <row r="16" spans="1:5">
      <c r="A16">
        <v>2003</v>
      </c>
      <c r="B16">
        <v>275.28199999999998</v>
      </c>
      <c r="D16">
        <v>257.041</v>
      </c>
      <c r="E16">
        <f t="shared" si="0"/>
        <v>18.240999999999985</v>
      </c>
    </row>
    <row r="17" spans="1:5">
      <c r="A17">
        <v>2004</v>
      </c>
      <c r="B17">
        <v>313.08999999999997</v>
      </c>
      <c r="D17">
        <v>285.44200000000001</v>
      </c>
      <c r="E17">
        <f t="shared" si="0"/>
        <v>27.647999999999968</v>
      </c>
    </row>
    <row r="18" spans="1:5">
      <c r="A18">
        <v>2005</v>
      </c>
      <c r="B18">
        <v>333.6</v>
      </c>
      <c r="D18">
        <v>297.81200000000001</v>
      </c>
      <c r="E18">
        <f t="shared" si="0"/>
        <v>35.788000000000011</v>
      </c>
    </row>
    <row r="19" spans="1:5">
      <c r="A19">
        <v>2006</v>
      </c>
      <c r="B19">
        <v>327.00200000000001</v>
      </c>
      <c r="D19">
        <v>296.48</v>
      </c>
      <c r="E19">
        <f t="shared" si="0"/>
        <v>30.521999999999991</v>
      </c>
    </row>
    <row r="20" spans="1:5">
      <c r="A20">
        <v>2007</v>
      </c>
      <c r="B20">
        <v>335.40800000000002</v>
      </c>
      <c r="D20">
        <v>342.53100000000001</v>
      </c>
      <c r="E20">
        <v>16</v>
      </c>
    </row>
    <row r="21" spans="1:5">
      <c r="A21">
        <v>2008</v>
      </c>
      <c r="B21">
        <v>326.262</v>
      </c>
      <c r="D21">
        <v>313.90699999999998</v>
      </c>
      <c r="E21">
        <f t="shared" si="0"/>
        <v>12.355000000000018</v>
      </c>
    </row>
    <row r="22" spans="1:5">
      <c r="A22">
        <v>2009</v>
      </c>
      <c r="B22">
        <v>318.16300000000001</v>
      </c>
      <c r="D22">
        <v>314.53899999999999</v>
      </c>
      <c r="E22">
        <f t="shared" si="0"/>
        <v>3.6240000000000236</v>
      </c>
    </row>
    <row r="23" spans="1:5">
      <c r="A23">
        <v>2010</v>
      </c>
      <c r="B23">
        <v>351.84800000000001</v>
      </c>
      <c r="D23">
        <v>328.03500000000003</v>
      </c>
      <c r="E23">
        <f t="shared" si="0"/>
        <v>23.812999999999988</v>
      </c>
    </row>
    <row r="24" spans="1:5">
      <c r="A24">
        <v>2011</v>
      </c>
      <c r="B24">
        <v>364.58600000000001</v>
      </c>
      <c r="D24">
        <v>327.23700000000002</v>
      </c>
      <c r="E24">
        <f t="shared" si="0"/>
        <v>37.34899999999999</v>
      </c>
    </row>
    <row r="25" spans="1:5">
      <c r="A25">
        <v>2012</v>
      </c>
      <c r="B25">
        <v>357.89600000000002</v>
      </c>
      <c r="D25">
        <v>314.19900000000001</v>
      </c>
      <c r="E25">
        <f t="shared" si="0"/>
        <v>43.697000000000003</v>
      </c>
    </row>
    <row r="26" spans="1:5">
      <c r="A26">
        <v>2013</v>
      </c>
      <c r="B26">
        <v>346.137</v>
      </c>
      <c r="D26">
        <v>297.916</v>
      </c>
      <c r="E26">
        <f t="shared" si="0"/>
        <v>48.221000000000004</v>
      </c>
    </row>
    <row r="27" spans="1:5">
      <c r="A27">
        <v>2014</v>
      </c>
      <c r="B27">
        <v>391.78300000000002</v>
      </c>
      <c r="D27">
        <v>311.27699999999999</v>
      </c>
      <c r="E27">
        <f t="shared" si="0"/>
        <v>80.506000000000029</v>
      </c>
    </row>
    <row r="28" spans="1:5">
      <c r="A28">
        <v>2015</v>
      </c>
      <c r="B28">
        <v>348.48</v>
      </c>
      <c r="D28">
        <v>315.57100000000003</v>
      </c>
      <c r="E28">
        <f t="shared" si="0"/>
        <v>32.908999999999992</v>
      </c>
    </row>
    <row r="29" spans="1:5">
      <c r="A29">
        <v>2016</v>
      </c>
      <c r="B29">
        <v>362.06099999999998</v>
      </c>
      <c r="D29">
        <v>315.89999999999998</v>
      </c>
      <c r="E29">
        <f t="shared" si="0"/>
        <v>46.161000000000001</v>
      </c>
    </row>
    <row r="30" spans="1:5">
      <c r="A30">
        <v>2017</v>
      </c>
      <c r="B30">
        <v>369.08800000000002</v>
      </c>
      <c r="D30">
        <v>336.887</v>
      </c>
      <c r="E30">
        <f t="shared" si="0"/>
        <v>32.201000000000022</v>
      </c>
    </row>
    <row r="31" spans="1:5">
      <c r="A31">
        <v>2018</v>
      </c>
      <c r="B31">
        <v>373.03500000000003</v>
      </c>
      <c r="D31">
        <v>324.733</v>
      </c>
      <c r="E31">
        <f t="shared" si="0"/>
        <v>48.302000000000021</v>
      </c>
    </row>
    <row r="32" spans="1:5">
      <c r="A32">
        <v>2019</v>
      </c>
      <c r="B32">
        <v>371.81700000000001</v>
      </c>
      <c r="D32">
        <v>310.661</v>
      </c>
      <c r="E32">
        <f t="shared" si="0"/>
        <v>61.156000000000006</v>
      </c>
    </row>
    <row r="33" spans="1:5">
      <c r="A33">
        <v>2020</v>
      </c>
      <c r="B33">
        <v>367.46699999999998</v>
      </c>
      <c r="D33">
        <v>278.34100000000001</v>
      </c>
      <c r="E33">
        <f>B33-D33</f>
        <v>89.125999999999976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D1" sqref="D1"/>
    </sheetView>
  </sheetViews>
  <sheetFormatPr baseColWidth="10" defaultColWidth="8.83203125" defaultRowHeight="15"/>
  <sheetData>
    <row r="1" spans="1:5">
      <c r="B1" t="s">
        <v>176</v>
      </c>
      <c r="C1" t="s">
        <v>180</v>
      </c>
      <c r="D1" t="s">
        <v>182</v>
      </c>
      <c r="E1" t="s">
        <v>188</v>
      </c>
    </row>
    <row r="2" spans="1:5">
      <c r="A2" t="s">
        <v>173</v>
      </c>
      <c r="B2" t="s">
        <v>189</v>
      </c>
      <c r="D2" s="1"/>
    </row>
    <row r="3" spans="1:5" ht="16">
      <c r="A3">
        <v>1969</v>
      </c>
      <c r="C3" s="2"/>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workbookViewId="0">
      <selection activeCell="C12" sqref="C12"/>
    </sheetView>
  </sheetViews>
  <sheetFormatPr baseColWidth="10" defaultColWidth="8.83203125" defaultRowHeight="15"/>
  <sheetData>
    <row r="1" spans="1:5">
      <c r="B1" t="s">
        <v>176</v>
      </c>
      <c r="C1" t="s">
        <v>180</v>
      </c>
      <c r="D1" t="s">
        <v>182</v>
      </c>
      <c r="E1" t="s">
        <v>188</v>
      </c>
    </row>
    <row r="2" spans="1:5">
      <c r="A2" t="s">
        <v>173</v>
      </c>
      <c r="B2" t="s">
        <v>313</v>
      </c>
      <c r="D2" t="s">
        <v>316</v>
      </c>
      <c r="E2" t="s">
        <v>312</v>
      </c>
    </row>
    <row r="3" spans="1:5">
      <c r="A3">
        <v>1951</v>
      </c>
      <c r="D3" s="34">
        <v>2385.7328498409602</v>
      </c>
    </row>
    <row r="4" spans="1:5">
      <c r="A4">
        <v>1952</v>
      </c>
      <c r="D4" s="34">
        <v>2491.7023564716101</v>
      </c>
    </row>
    <row r="5" spans="1:5">
      <c r="A5">
        <v>1953</v>
      </c>
      <c r="D5" s="34">
        <v>2565.8650655053102</v>
      </c>
    </row>
    <row r="6" spans="1:5">
      <c r="A6">
        <v>1954</v>
      </c>
      <c r="D6" s="34">
        <v>2586.99455908245</v>
      </c>
    </row>
    <row r="7" spans="1:5">
      <c r="A7">
        <v>1955</v>
      </c>
      <c r="D7" s="34">
        <v>2639.9402300258098</v>
      </c>
    </row>
    <row r="8" spans="1:5">
      <c r="A8">
        <v>1956</v>
      </c>
      <c r="D8" s="34">
        <v>2926.20140839841</v>
      </c>
    </row>
    <row r="9" spans="1:5">
      <c r="A9">
        <v>1957</v>
      </c>
      <c r="D9" s="34">
        <v>3212.4719665402799</v>
      </c>
    </row>
    <row r="10" spans="1:5">
      <c r="A10">
        <v>1958</v>
      </c>
      <c r="D10" s="34">
        <v>3286.6284223944599</v>
      </c>
    </row>
    <row r="11" spans="1:5">
      <c r="A11">
        <v>1959</v>
      </c>
      <c r="D11" s="34">
        <v>3191.10172555186</v>
      </c>
    </row>
    <row r="12" spans="1:5">
      <c r="A12">
        <v>1960</v>
      </c>
      <c r="B12">
        <v>5790.4642289348103</v>
      </c>
      <c r="D12" s="34">
        <v>3445.5498531479898</v>
      </c>
    </row>
    <row r="13" spans="1:5">
      <c r="A13">
        <v>1961</v>
      </c>
      <c r="B13">
        <v>6290.0635930047702</v>
      </c>
      <c r="D13" s="34">
        <v>3924</v>
      </c>
    </row>
    <row r="14" spans="1:5">
      <c r="A14">
        <v>1962</v>
      </c>
      <c r="B14">
        <v>6288.0635930047702</v>
      </c>
      <c r="D14" s="34">
        <v>4081</v>
      </c>
    </row>
    <row r="15" spans="1:5">
      <c r="A15">
        <v>1963</v>
      </c>
      <c r="B15">
        <v>6711.4467408585006</v>
      </c>
      <c r="D15" s="34">
        <v>4216</v>
      </c>
    </row>
    <row r="16" spans="1:5">
      <c r="A16">
        <v>1964</v>
      </c>
      <c r="B16">
        <v>7820.1192368839402</v>
      </c>
      <c r="D16" s="34">
        <v>4286</v>
      </c>
    </row>
    <row r="17" spans="1:4">
      <c r="A17">
        <v>1965</v>
      </c>
      <c r="B17">
        <v>8056.2750397456202</v>
      </c>
      <c r="D17" s="34">
        <v>4443</v>
      </c>
    </row>
    <row r="18" spans="1:4">
      <c r="A18">
        <v>1966</v>
      </c>
      <c r="B18">
        <v>8320.9936406995203</v>
      </c>
      <c r="D18" s="34">
        <v>4769</v>
      </c>
    </row>
    <row r="19" spans="1:4">
      <c r="A19">
        <v>1967</v>
      </c>
      <c r="B19">
        <v>7994.6820349761501</v>
      </c>
      <c r="D19" s="34">
        <v>4987</v>
      </c>
    </row>
    <row r="20" spans="1:4">
      <c r="A20">
        <v>1968</v>
      </c>
      <c r="B20">
        <v>8462.5866454689894</v>
      </c>
      <c r="D20" s="34">
        <v>4743</v>
      </c>
    </row>
    <row r="21" spans="1:4">
      <c r="A21">
        <v>1969</v>
      </c>
      <c r="B21">
        <v>9286.4435612082598</v>
      </c>
      <c r="D21" s="34">
        <v>5010</v>
      </c>
    </row>
    <row r="22" spans="1:4">
      <c r="A22">
        <v>1970</v>
      </c>
      <c r="B22">
        <v>9275.1017488076304</v>
      </c>
      <c r="D22" s="34">
        <v>5682</v>
      </c>
    </row>
    <row r="23" spans="1:4">
      <c r="A23">
        <v>1971</v>
      </c>
      <c r="B23">
        <v>9350.0540540540496</v>
      </c>
      <c r="D23" s="34">
        <v>5900</v>
      </c>
    </row>
    <row r="24" spans="1:4">
      <c r="A24">
        <v>1972</v>
      </c>
      <c r="B24">
        <v>10085.084260731321</v>
      </c>
      <c r="D24" s="34">
        <v>5941</v>
      </c>
    </row>
    <row r="25" spans="1:4">
      <c r="A25">
        <v>1973</v>
      </c>
      <c r="B25">
        <v>11162.89348171701</v>
      </c>
      <c r="D25" s="34">
        <v>6541</v>
      </c>
    </row>
    <row r="26" spans="1:4">
      <c r="A26">
        <v>1974</v>
      </c>
      <c r="B26">
        <v>10545.29411764705</v>
      </c>
      <c r="D26" s="34">
        <v>6915</v>
      </c>
    </row>
    <row r="27" spans="1:4">
      <c r="A27">
        <v>1975</v>
      </c>
      <c r="B27">
        <v>9241.5023847376706</v>
      </c>
      <c r="D27" s="34">
        <v>7097</v>
      </c>
    </row>
    <row r="28" spans="1:4">
      <c r="A28">
        <v>1976</v>
      </c>
      <c r="B28">
        <v>10602.593004769471</v>
      </c>
      <c r="D28" s="34">
        <v>6735</v>
      </c>
    </row>
    <row r="29" spans="1:4">
      <c r="A29">
        <v>1977</v>
      </c>
      <c r="B29">
        <v>11082.437201907789</v>
      </c>
      <c r="D29" s="34">
        <v>7289</v>
      </c>
    </row>
    <row r="30" spans="1:4">
      <c r="A30">
        <v>1978</v>
      </c>
      <c r="B30">
        <v>11727.31796502384</v>
      </c>
      <c r="D30" s="34">
        <v>7444</v>
      </c>
    </row>
    <row r="31" spans="1:4">
      <c r="A31">
        <v>1979</v>
      </c>
      <c r="B31">
        <v>12375.82193958664</v>
      </c>
      <c r="D31" s="34">
        <v>7306</v>
      </c>
    </row>
    <row r="32" spans="1:4">
      <c r="A32">
        <v>1980</v>
      </c>
      <c r="B32">
        <v>11981.05564387917</v>
      </c>
      <c r="D32" s="34">
        <v>7371</v>
      </c>
    </row>
    <row r="33" spans="1:4">
      <c r="A33">
        <v>1981</v>
      </c>
      <c r="B33">
        <v>12119.774244833061</v>
      </c>
      <c r="D33" s="34">
        <v>7227</v>
      </c>
    </row>
    <row r="34" spans="1:4">
      <c r="A34">
        <v>1982</v>
      </c>
      <c r="B34">
        <v>11439.761526232111</v>
      </c>
      <c r="D34" s="34">
        <v>7721</v>
      </c>
    </row>
    <row r="35" spans="1:4">
      <c r="A35">
        <v>1983</v>
      </c>
      <c r="B35">
        <v>11882.01907790143</v>
      </c>
      <c r="D35" s="34">
        <v>7745</v>
      </c>
    </row>
    <row r="36" spans="1:4">
      <c r="A36">
        <v>1984</v>
      </c>
      <c r="B36">
        <v>12559.5707472178</v>
      </c>
      <c r="D36" s="34">
        <v>7824</v>
      </c>
    </row>
    <row r="37" spans="1:4">
      <c r="A37">
        <v>1985</v>
      </c>
      <c r="B37">
        <v>12456.18759936407</v>
      </c>
      <c r="D37" s="34">
        <v>8135</v>
      </c>
    </row>
    <row r="38" spans="1:4">
      <c r="A38">
        <v>1986</v>
      </c>
      <c r="B38">
        <v>12852.85850556438</v>
      </c>
      <c r="D38" s="34">
        <v>8288</v>
      </c>
    </row>
    <row r="39" spans="1:4">
      <c r="A39">
        <v>1987</v>
      </c>
      <c r="B39">
        <v>13189.661367249601</v>
      </c>
      <c r="D39" s="34">
        <v>8295</v>
      </c>
    </row>
    <row r="40" spans="1:4">
      <c r="A40">
        <v>1988</v>
      </c>
      <c r="B40">
        <v>13615.535771065181</v>
      </c>
      <c r="D40" s="34">
        <v>8620</v>
      </c>
    </row>
    <row r="41" spans="1:4">
      <c r="A41">
        <v>1989</v>
      </c>
      <c r="B41">
        <v>13939.50556438791</v>
      </c>
      <c r="D41" s="34">
        <v>8773</v>
      </c>
    </row>
    <row r="42" spans="1:4">
      <c r="A42">
        <v>1990</v>
      </c>
      <c r="B42">
        <v>13874.871224165341</v>
      </c>
      <c r="D42" s="34">
        <v>9086</v>
      </c>
    </row>
    <row r="43" spans="1:4">
      <c r="A43">
        <v>1991</v>
      </c>
      <c r="B43">
        <v>13570.94912559618</v>
      </c>
      <c r="D43" s="34">
        <v>9227</v>
      </c>
    </row>
    <row r="44" spans="1:4">
      <c r="A44">
        <v>1992</v>
      </c>
      <c r="B44">
        <v>14074.267090620029</v>
      </c>
      <c r="D44" s="34">
        <v>9373</v>
      </c>
    </row>
    <row r="45" spans="1:4">
      <c r="A45">
        <v>1993</v>
      </c>
      <c r="B45">
        <v>14152.57233704292</v>
      </c>
      <c r="D45" s="34">
        <v>9497</v>
      </c>
    </row>
    <row r="46" spans="1:4">
      <c r="A46">
        <v>1994</v>
      </c>
      <c r="B46">
        <v>15025.818759936399</v>
      </c>
      <c r="D46" s="34">
        <v>9571</v>
      </c>
    </row>
    <row r="47" spans="1:4">
      <c r="A47">
        <v>1995</v>
      </c>
      <c r="B47">
        <v>15524.717011128771</v>
      </c>
      <c r="D47" s="34">
        <v>9539</v>
      </c>
    </row>
    <row r="48" spans="1:4">
      <c r="A48">
        <v>1996</v>
      </c>
      <c r="B48">
        <v>16298.220985691571</v>
      </c>
      <c r="D48" s="34">
        <v>10070</v>
      </c>
    </row>
    <row r="49" spans="1:5">
      <c r="A49">
        <v>1997</v>
      </c>
      <c r="B49">
        <v>17228.263910969792</v>
      </c>
      <c r="D49" s="34">
        <v>11084</v>
      </c>
    </row>
    <row r="50" spans="1:5">
      <c r="A50">
        <v>1998</v>
      </c>
      <c r="B50">
        <v>17875.612082670901</v>
      </c>
      <c r="D50" s="34">
        <v>11514</v>
      </c>
    </row>
    <row r="51" spans="1:5">
      <c r="A51">
        <v>1999</v>
      </c>
      <c r="B51">
        <v>19129.20031796502</v>
      </c>
      <c r="D51" s="34">
        <v>12228</v>
      </c>
    </row>
    <row r="52" spans="1:5">
      <c r="A52">
        <v>2000</v>
      </c>
      <c r="B52">
        <v>20776</v>
      </c>
      <c r="D52" s="34">
        <v>12767</v>
      </c>
    </row>
    <row r="53" spans="1:5">
      <c r="A53">
        <v>2001</v>
      </c>
      <c r="B53">
        <v>20067</v>
      </c>
      <c r="D53" s="34">
        <v>13199</v>
      </c>
      <c r="E53">
        <v>6952.0186409456373</v>
      </c>
    </row>
    <row r="54" spans="1:5">
      <c r="A54">
        <v>2002</v>
      </c>
      <c r="B54">
        <v>20292</v>
      </c>
      <c r="D54" s="34">
        <v>13636</v>
      </c>
      <c r="E54">
        <v>7029.967721237299</v>
      </c>
    </row>
    <row r="55" spans="1:5">
      <c r="A55">
        <v>2003</v>
      </c>
      <c r="B55">
        <v>20703</v>
      </c>
      <c r="D55" s="34">
        <v>13487</v>
      </c>
      <c r="E55">
        <v>6858.9913693972994</v>
      </c>
    </row>
    <row r="56" spans="1:5">
      <c r="A56">
        <v>2004</v>
      </c>
      <c r="B56">
        <v>22137</v>
      </c>
      <c r="D56" s="34">
        <v>13699</v>
      </c>
      <c r="E56">
        <v>7475.7839077943008</v>
      </c>
    </row>
    <row r="57" spans="1:5">
      <c r="A57">
        <v>2005</v>
      </c>
      <c r="B57">
        <v>21872</v>
      </c>
      <c r="D57" s="34">
        <v>14594</v>
      </c>
      <c r="E57">
        <v>7475.9243112857002</v>
      </c>
    </row>
    <row r="58" spans="1:5">
      <c r="A58">
        <v>2006</v>
      </c>
      <c r="B58">
        <v>22009</v>
      </c>
      <c r="D58" s="34">
        <v>14927</v>
      </c>
      <c r="E58">
        <v>8402.4118511779016</v>
      </c>
    </row>
    <row r="59" spans="1:5">
      <c r="A59">
        <v>2007</v>
      </c>
      <c r="B59">
        <v>23753</v>
      </c>
      <c r="D59" s="34">
        <v>14983</v>
      </c>
      <c r="E59">
        <v>8504.8712991395023</v>
      </c>
    </row>
    <row r="60" spans="1:5">
      <c r="A60">
        <v>2008</v>
      </c>
      <c r="B60">
        <v>23145</v>
      </c>
      <c r="D60" s="34">
        <v>15508</v>
      </c>
      <c r="E60">
        <v>8230.7334818801992</v>
      </c>
    </row>
    <row r="61" spans="1:5">
      <c r="A61">
        <v>2009</v>
      </c>
      <c r="B61">
        <v>23145</v>
      </c>
      <c r="D61" s="34">
        <v>15537</v>
      </c>
      <c r="E61">
        <v>7235.8694416013004</v>
      </c>
    </row>
    <row r="62" spans="1:5">
      <c r="A62">
        <v>2010</v>
      </c>
      <c r="B62">
        <v>24194.52173168564</v>
      </c>
      <c r="D62" s="34">
        <v>15945</v>
      </c>
      <c r="E62">
        <v>8354.0918708251647</v>
      </c>
    </row>
    <row r="63" spans="1:5">
      <c r="A63">
        <v>2011</v>
      </c>
      <c r="B63">
        <v>25089.29089953471</v>
      </c>
      <c r="D63" s="34">
        <v>15990</v>
      </c>
      <c r="E63">
        <v>9046.3264891723593</v>
      </c>
    </row>
    <row r="64" spans="1:5">
      <c r="A64">
        <v>2012</v>
      </c>
      <c r="B64">
        <v>25297.975557049198</v>
      </c>
      <c r="D64" s="34">
        <v>15965</v>
      </c>
      <c r="E64">
        <v>9043.9376022742108</v>
      </c>
    </row>
    <row r="65" spans="1:5">
      <c r="A65">
        <v>2013</v>
      </c>
      <c r="B65">
        <v>26259.767623756532</v>
      </c>
      <c r="D65" s="34">
        <v>16692</v>
      </c>
      <c r="E65">
        <v>9252.9652058623305</v>
      </c>
    </row>
    <row r="66" spans="1:5">
      <c r="A66">
        <v>2014</v>
      </c>
      <c r="B66">
        <v>27894.831923939641</v>
      </c>
      <c r="D66" s="34">
        <v>18190</v>
      </c>
      <c r="E66">
        <v>9652.3273730605197</v>
      </c>
    </row>
    <row r="67" spans="1:5">
      <c r="A67">
        <v>2015</v>
      </c>
      <c r="B67">
        <v>27978.19375439177</v>
      </c>
      <c r="D67" s="34">
        <v>18426</v>
      </c>
      <c r="E67">
        <v>9480.77543268714</v>
      </c>
    </row>
    <row r="68" spans="1:5">
      <c r="A68">
        <v>2016</v>
      </c>
      <c r="B68">
        <v>28520.721798863349</v>
      </c>
      <c r="D68" s="34">
        <v>19149</v>
      </c>
      <c r="E68">
        <v>9415.0511819017902</v>
      </c>
    </row>
    <row r="69" spans="1:5">
      <c r="A69">
        <v>2017</v>
      </c>
      <c r="B69">
        <v>29751.152073732701</v>
      </c>
      <c r="D69" s="34">
        <v>20357</v>
      </c>
      <c r="E69">
        <v>9983.9347356099406</v>
      </c>
    </row>
    <row r="70" spans="1:5">
      <c r="A70">
        <v>2018</v>
      </c>
      <c r="B70">
        <v>30709.677419354801</v>
      </c>
      <c r="D70" s="34">
        <v>20038</v>
      </c>
      <c r="E70">
        <v>9980.2319609177994</v>
      </c>
    </row>
    <row r="71" spans="1:5">
      <c r="A71">
        <v>2019</v>
      </c>
      <c r="B71">
        <v>30046.0829493087</v>
      </c>
      <c r="D71">
        <v>20539</v>
      </c>
      <c r="E71">
        <v>9619.4503171247306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E28"/>
  <sheetViews>
    <sheetView workbookViewId="0">
      <selection activeCell="H18" sqref="H18"/>
    </sheetView>
  </sheetViews>
  <sheetFormatPr baseColWidth="10" defaultColWidth="8.83203125" defaultRowHeight="15"/>
  <sheetData>
    <row r="1" spans="1:5">
      <c r="B1" t="s">
        <v>176</v>
      </c>
      <c r="C1" t="s">
        <v>180</v>
      </c>
      <c r="D1" t="s">
        <v>182</v>
      </c>
      <c r="E1" t="s">
        <v>188</v>
      </c>
    </row>
    <row r="2" spans="1:5">
      <c r="A2" t="s">
        <v>173</v>
      </c>
      <c r="B2" s="1" t="s">
        <v>314</v>
      </c>
      <c r="D2" s="1" t="s">
        <v>353</v>
      </c>
      <c r="E2" s="1" t="s">
        <v>314</v>
      </c>
    </row>
    <row r="3" spans="1:5" ht="16">
      <c r="A3">
        <v>1995</v>
      </c>
      <c r="B3">
        <v>1469.917875310188</v>
      </c>
      <c r="C3" s="2"/>
      <c r="D3">
        <v>1022.922</v>
      </c>
      <c r="E3">
        <v>461.47509857472789</v>
      </c>
    </row>
    <row r="4" spans="1:5">
      <c r="A4">
        <v>1996</v>
      </c>
      <c r="B4">
        <v>1432.5767347969486</v>
      </c>
      <c r="D4">
        <v>1061.732</v>
      </c>
      <c r="E4">
        <v>461.65741021908769</v>
      </c>
    </row>
    <row r="5" spans="1:5">
      <c r="A5">
        <v>1997</v>
      </c>
      <c r="B5">
        <v>1558.8604356972196</v>
      </c>
      <c r="D5">
        <v>1096.1959999999999</v>
      </c>
      <c r="E5">
        <v>508.20377528446966</v>
      </c>
    </row>
    <row r="6" spans="1:5">
      <c r="A6">
        <v>1998</v>
      </c>
      <c r="B6">
        <v>1566.6470888700878</v>
      </c>
      <c r="D6">
        <v>1130.6079999999999</v>
      </c>
      <c r="E6">
        <v>530.06172301643778</v>
      </c>
    </row>
    <row r="7" spans="1:5">
      <c r="A7">
        <v>1999</v>
      </c>
      <c r="B7">
        <v>1635.0227035488601</v>
      </c>
      <c r="D7">
        <v>1104.134</v>
      </c>
      <c r="E7">
        <v>523.39043338001011</v>
      </c>
    </row>
    <row r="8" spans="1:5">
      <c r="A8">
        <v>2000</v>
      </c>
      <c r="B8">
        <v>1661.7302002671909</v>
      </c>
      <c r="D8">
        <v>1226.5060000000001</v>
      </c>
      <c r="E8">
        <v>507.88404642104092</v>
      </c>
    </row>
    <row r="9" spans="1:5">
      <c r="A9">
        <v>2001</v>
      </c>
      <c r="B9">
        <v>1646.5508055892237</v>
      </c>
      <c r="D9">
        <v>1280.5909999999999</v>
      </c>
      <c r="E9">
        <v>506.77594630217362</v>
      </c>
    </row>
    <row r="10" spans="1:5">
      <c r="A10">
        <v>2002</v>
      </c>
      <c r="B10">
        <v>1828.5151622065189</v>
      </c>
      <c r="D10">
        <v>1291.55</v>
      </c>
      <c r="E10">
        <v>623.07426164366882</v>
      </c>
    </row>
    <row r="11" spans="1:5">
      <c r="A11">
        <v>2003</v>
      </c>
      <c r="B11">
        <v>1852.2122080473666</v>
      </c>
      <c r="D11">
        <v>1320.856</v>
      </c>
      <c r="E11">
        <v>599.86699228751672</v>
      </c>
    </row>
    <row r="12" spans="1:5">
      <c r="A12">
        <v>2004</v>
      </c>
      <c r="B12">
        <v>1918.1720841064041</v>
      </c>
      <c r="D12">
        <v>1389.83</v>
      </c>
      <c r="E12">
        <v>637.68427922835428</v>
      </c>
    </row>
    <row r="13" spans="1:5">
      <c r="A13">
        <v>2005</v>
      </c>
      <c r="B13">
        <v>1807.1371119820149</v>
      </c>
      <c r="D13">
        <v>1432.046</v>
      </c>
      <c r="E13">
        <v>526.64930710397505</v>
      </c>
    </row>
    <row r="14" spans="1:5">
      <c r="A14">
        <v>2006</v>
      </c>
      <c r="B14">
        <v>2007.3552125204042</v>
      </c>
      <c r="D14">
        <v>1562.2090000000001</v>
      </c>
      <c r="E14">
        <v>572.08316749226424</v>
      </c>
    </row>
    <row r="15" spans="1:5">
      <c r="A15">
        <v>2007</v>
      </c>
      <c r="B15">
        <v>1863.4250041489902</v>
      </c>
      <c r="D15">
        <v>1584.009</v>
      </c>
      <c r="E15">
        <v>512.58072647544986</v>
      </c>
    </row>
    <row r="16" spans="1:5">
      <c r="A16">
        <v>2008</v>
      </c>
      <c r="B16">
        <v>1854.4805365204747</v>
      </c>
      <c r="D16">
        <v>1551.0530000000001</v>
      </c>
      <c r="E16">
        <v>536.46927948483471</v>
      </c>
    </row>
    <row r="17" spans="1:5">
      <c r="A17">
        <v>2009</v>
      </c>
      <c r="B17">
        <v>1773.6215012491273</v>
      </c>
      <c r="D17">
        <v>1351.752</v>
      </c>
      <c r="E17">
        <v>502.5145594104772</v>
      </c>
    </row>
    <row r="18" spans="1:5">
      <c r="A18">
        <v>2010</v>
      </c>
      <c r="B18">
        <v>2070.5609888925214</v>
      </c>
      <c r="D18">
        <v>1605.13</v>
      </c>
      <c r="E18">
        <v>574.31333410828154</v>
      </c>
    </row>
    <row r="19" spans="1:5">
      <c r="A19">
        <v>2011</v>
      </c>
      <c r="B19">
        <v>2253.2043546584018</v>
      </c>
      <c r="D19">
        <v>2129.2730000000001</v>
      </c>
      <c r="E19">
        <v>611.5533227634719</v>
      </c>
    </row>
    <row r="20" spans="1:5">
      <c r="A20">
        <v>2012</v>
      </c>
      <c r="B20">
        <v>2317.9463444890989</v>
      </c>
      <c r="D20">
        <v>2709.4760000000001</v>
      </c>
      <c r="E20">
        <v>615.31970283806891</v>
      </c>
    </row>
    <row r="21" spans="1:5">
      <c r="A21">
        <v>2013</v>
      </c>
      <c r="B21">
        <v>2457.656878677687</v>
      </c>
      <c r="D21">
        <v>3090.2919999999999</v>
      </c>
      <c r="E21">
        <v>637.76944903416688</v>
      </c>
    </row>
    <row r="22" spans="1:5">
      <c r="A22">
        <v>2014</v>
      </c>
      <c r="B22">
        <v>2551.1525244544005</v>
      </c>
      <c r="D22">
        <v>2074.3649999999998</v>
      </c>
      <c r="E22">
        <v>646.83732745628015</v>
      </c>
    </row>
    <row r="23" spans="1:5">
      <c r="A23">
        <v>2015</v>
      </c>
      <c r="B23">
        <v>2543.4257897672492</v>
      </c>
      <c r="D23">
        <v>2163.6880000000001</v>
      </c>
      <c r="E23">
        <v>629.729729729729</v>
      </c>
    </row>
    <row r="24" spans="1:5">
      <c r="A24">
        <v>2016</v>
      </c>
      <c r="B24">
        <v>2727.9397596470685</v>
      </c>
      <c r="D24">
        <v>1993.057</v>
      </c>
      <c r="E24">
        <v>659.45945945945903</v>
      </c>
    </row>
    <row r="25" spans="1:5">
      <c r="A25">
        <v>2017</v>
      </c>
      <c r="B25">
        <v>2940.1957304396319</v>
      </c>
      <c r="D25">
        <v>2136.8220000000001</v>
      </c>
      <c r="E25">
        <v>721.62162162162201</v>
      </c>
    </row>
    <row r="26" spans="1:5">
      <c r="A26">
        <v>2018</v>
      </c>
      <c r="B26">
        <v>3118.0315399827541</v>
      </c>
      <c r="D26">
        <v>2383.8649999999998</v>
      </c>
      <c r="E26">
        <v>754.05405405405395</v>
      </c>
    </row>
    <row r="27" spans="1:5">
      <c r="A27">
        <v>2019</v>
      </c>
      <c r="B27">
        <v>3226.8622280817385</v>
      </c>
      <c r="D27">
        <v>2673.57</v>
      </c>
      <c r="E27">
        <v>787.83783783783804</v>
      </c>
    </row>
    <row r="28" spans="1:5">
      <c r="A28">
        <v>2020</v>
      </c>
      <c r="B28">
        <v>3190.6115308554304</v>
      </c>
      <c r="D28">
        <v>2510.1309999999999</v>
      </c>
      <c r="E28">
        <v>779.72972972973002</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D2" r:id="rId3" xr:uid="{B8A1A0BD-AEBA-7B49-BDAE-EAAE6AD918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2022-11-03T13:23:34Z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