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codeName="ThisWorkbook" defaultThemeVersion="166925"/>
  <mc:AlternateContent xmlns:mc="http://schemas.openxmlformats.org/markup-compatibility/2006">
    <mc:Choice Requires="x15">
      <x15ac:absPath xmlns:x15ac="http://schemas.microsoft.com/office/spreadsheetml/2010/11/ac" url="/Users/johnryter/Dropbox (MIT)/John MIT/Research/generalizationOutside/generalization/data/"/>
    </mc:Choice>
  </mc:AlternateContent>
  <xr:revisionPtr revIDLastSave="0" documentId="13_ncr:1_{EBCE17FF-D198-7E46-9AD3-4E1DFD5CD634}" xr6:coauthVersionLast="47" xr6:coauthVersionMax="47" xr10:uidLastSave="{00000000-0000-0000-0000-000000000000}"/>
  <bookViews>
    <workbookView xWindow="0" yWindow="500" windowWidth="28800" windowHeight="16080" xr2:uid="{9C1DBEC5-9C42-494B-AEAA-1D89B674AD0D}"/>
  </bookViews>
  <sheets>
    <sheet name="Sheet1" sheetId="17" r:id="rId1"/>
    <sheet name="Al" sheetId="3" r:id="rId2"/>
    <sheet name="Steel" sheetId="4" r:id="rId3"/>
    <sheet name="Au" sheetId="5" r:id="rId4"/>
    <sheet name="W" sheetId="6" r:id="rId5"/>
    <sheet name="Sn" sheetId="7" r:id="rId6"/>
    <sheet name="Ta" sheetId="8" r:id="rId7"/>
    <sheet name="Cu" sheetId="9" r:id="rId8"/>
    <sheet name="Ni" sheetId="10" r:id="rId9"/>
    <sheet name="Ag" sheetId="11" r:id="rId10"/>
    <sheet name="Zn" sheetId="12" r:id="rId11"/>
    <sheet name="Pb" sheetId="13" r:id="rId12"/>
    <sheet name="Mo" sheetId="14" r:id="rId13"/>
    <sheet name="Pt" sheetId="15" r:id="rId14"/>
    <sheet name="Li" sheetId="16" r:id="rId15"/>
  </sheets>
  <externalReferences>
    <externalReference r:id="rId16"/>
  </externalReference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rop_list_comm_prod">OFFSET(#REF!,5,0,#REF!)</definedName>
    <definedName name="QueryCount">[1]Intermediate!$A$6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47" i="17" l="1"/>
  <c r="Q40" i="17"/>
  <c r="Q37" i="17"/>
  <c r="Q36" i="17"/>
  <c r="Q25" i="17"/>
  <c r="T22" i="17"/>
  <c r="T23" i="17"/>
  <c r="T24" i="17"/>
  <c r="T25" i="17"/>
  <c r="T26" i="17"/>
  <c r="I22" i="17"/>
  <c r="J22" i="17"/>
  <c r="K22" i="17"/>
  <c r="L22" i="17"/>
  <c r="M22" i="17"/>
  <c r="N22" i="17"/>
  <c r="O22" i="17"/>
  <c r="P22" i="17"/>
  <c r="Q22" i="17"/>
  <c r="R22" i="17"/>
  <c r="S22" i="17"/>
  <c r="I23" i="17"/>
  <c r="J23" i="17"/>
  <c r="K23" i="17"/>
  <c r="L23" i="17"/>
  <c r="M23" i="17"/>
  <c r="N23" i="17"/>
  <c r="O23" i="17"/>
  <c r="P23" i="17"/>
  <c r="Q23" i="17"/>
  <c r="R23" i="17"/>
  <c r="S23" i="17"/>
  <c r="I24" i="17"/>
  <c r="J24" i="17"/>
  <c r="K24" i="17"/>
  <c r="L24" i="17"/>
  <c r="M24" i="17"/>
  <c r="N24" i="17"/>
  <c r="O24" i="17"/>
  <c r="P24" i="17"/>
  <c r="Q24" i="17"/>
  <c r="R24" i="17"/>
  <c r="S24" i="17"/>
  <c r="I25" i="17"/>
  <c r="J25" i="17"/>
  <c r="K25" i="17"/>
  <c r="L25" i="17"/>
  <c r="M25" i="17"/>
  <c r="N25" i="17"/>
  <c r="O25" i="17"/>
  <c r="S25" i="17"/>
  <c r="I26" i="17"/>
  <c r="J26" i="17"/>
  <c r="K26" i="17"/>
  <c r="L26" i="17"/>
  <c r="M26" i="17"/>
  <c r="N26" i="17"/>
  <c r="O26" i="17"/>
  <c r="P26" i="17"/>
  <c r="Q26" i="17"/>
  <c r="R26" i="17"/>
  <c r="S26" i="17"/>
  <c r="H23" i="17"/>
  <c r="H24" i="17"/>
  <c r="H25" i="17"/>
  <c r="H26" i="17"/>
  <c r="H22" i="17"/>
  <c r="E22" i="17"/>
  <c r="E23" i="17"/>
  <c r="E24" i="17"/>
  <c r="E25" i="17"/>
  <c r="E26" i="17"/>
  <c r="D23" i="17"/>
  <c r="D24" i="17"/>
  <c r="D25" i="17"/>
  <c r="D26" i="17"/>
  <c r="D22" i="17"/>
  <c r="F32" i="13"/>
  <c r="I40" i="17"/>
  <c r="F23" i="12" l="1"/>
  <c r="F22" i="12"/>
  <c r="F21" i="12"/>
  <c r="F20" i="12"/>
  <c r="F14" i="12"/>
  <c r="F13" i="12"/>
  <c r="F12" i="12"/>
  <c r="F9" i="12"/>
  <c r="F5" i="12"/>
  <c r="F4" i="12"/>
  <c r="F6" i="12"/>
  <c r="F7" i="12"/>
  <c r="F8" i="12"/>
  <c r="F10" i="12"/>
  <c r="F11" i="12"/>
  <c r="F15" i="12"/>
  <c r="F16" i="12"/>
  <c r="F17" i="12"/>
  <c r="F18" i="12"/>
  <c r="F19" i="12"/>
  <c r="F3" i="12"/>
  <c r="D4" i="6"/>
  <c r="D7" i="6"/>
  <c r="D12" i="6"/>
  <c r="D14" i="6"/>
  <c r="D15" i="6"/>
  <c r="D16" i="6"/>
  <c r="D19" i="6"/>
  <c r="D20" i="6"/>
  <c r="D22" i="6"/>
  <c r="D23" i="6"/>
  <c r="D24" i="6"/>
  <c r="D27" i="6"/>
  <c r="D28" i="6"/>
  <c r="D30" i="6"/>
  <c r="D31" i="6"/>
  <c r="D32" i="6"/>
  <c r="L3" i="6"/>
  <c r="L4" i="6"/>
  <c r="D5" i="6" s="1"/>
  <c r="L5" i="6"/>
  <c r="D6" i="6" s="1"/>
  <c r="L6" i="6"/>
  <c r="L7" i="6"/>
  <c r="D8" i="6" s="1"/>
  <c r="L8" i="6"/>
  <c r="D9" i="6" s="1"/>
  <c r="L9" i="6"/>
  <c r="D10" i="6" s="1"/>
  <c r="L10" i="6"/>
  <c r="D11" i="6" s="1"/>
  <c r="L11" i="6"/>
  <c r="L12" i="6"/>
  <c r="D13" i="6" s="1"/>
  <c r="L13" i="6"/>
  <c r="L14" i="6"/>
  <c r="L15" i="6"/>
  <c r="L16" i="6"/>
  <c r="D17" i="6" s="1"/>
  <c r="L17" i="6"/>
  <c r="D18" i="6" s="1"/>
  <c r="L18" i="6"/>
  <c r="L19" i="6"/>
  <c r="L20" i="6"/>
  <c r="D21" i="6" s="1"/>
  <c r="L21" i="6"/>
  <c r="L22" i="6"/>
  <c r="L23" i="6"/>
  <c r="L24" i="6"/>
  <c r="D25" i="6" s="1"/>
  <c r="L25" i="6"/>
  <c r="D26" i="6" s="1"/>
  <c r="L26" i="6"/>
  <c r="L27" i="6"/>
  <c r="L28" i="6"/>
  <c r="D29" i="6" s="1"/>
  <c r="L29" i="6"/>
  <c r="L30" i="6"/>
  <c r="L31" i="6"/>
  <c r="L2" i="6"/>
  <c r="D3" i="6" s="1"/>
  <c r="F4" i="3"/>
  <c r="F5" i="3"/>
  <c r="F6" i="3"/>
  <c r="F7" i="3"/>
  <c r="F8" i="3"/>
  <c r="F9" i="3"/>
  <c r="F10" i="3"/>
  <c r="F11" i="3"/>
  <c r="F12" i="3"/>
  <c r="F13" i="3"/>
  <c r="F14" i="3"/>
  <c r="F15" i="3"/>
  <c r="F16" i="3"/>
  <c r="F17" i="3"/>
  <c r="F18" i="3"/>
  <c r="F19" i="3"/>
  <c r="F20" i="3"/>
  <c r="F21" i="3"/>
  <c r="F3" i="3"/>
  <c r="E32" i="7" l="1"/>
  <c r="E31" i="7"/>
  <c r="E30" i="7"/>
  <c r="E29" i="7"/>
  <c r="E28" i="7"/>
  <c r="E27" i="7"/>
  <c r="E26" i="7"/>
  <c r="E25" i="7"/>
  <c r="E24" i="7"/>
  <c r="E23" i="7"/>
  <c r="E22" i="7"/>
  <c r="E21" i="7"/>
  <c r="E19" i="7"/>
  <c r="E18" i="7"/>
  <c r="E17" i="7"/>
  <c r="E16" i="7"/>
  <c r="E15" i="7"/>
  <c r="E14" i="7"/>
  <c r="E13" i="7"/>
  <c r="E12" i="7"/>
  <c r="E11" i="7"/>
  <c r="E10" i="7"/>
  <c r="E9" i="7"/>
  <c r="E8" i="7"/>
  <c r="E7" i="7"/>
  <c r="E6" i="7"/>
  <c r="E5" i="7"/>
  <c r="E4" i="7"/>
  <c r="E3" i="7"/>
  <c r="E33" i="7"/>
  <c r="C44" i="17"/>
  <c r="D44" i="17"/>
  <c r="D46" i="17"/>
  <c r="C46" i="17"/>
  <c r="Q44" i="17"/>
  <c r="P44" i="17"/>
  <c r="O44" i="17"/>
  <c r="N44" i="17"/>
  <c r="M44" i="17"/>
  <c r="L44" i="17"/>
  <c r="K44" i="17"/>
  <c r="E44" i="17"/>
  <c r="Q46" i="17"/>
  <c r="P46" i="17"/>
  <c r="O46" i="17"/>
  <c r="N46" i="17"/>
  <c r="M46" i="17"/>
  <c r="E37" i="17"/>
  <c r="E36" i="17"/>
  <c r="O10" i="17"/>
  <c r="I11" i="17"/>
  <c r="I10" i="17"/>
  <c r="I9" i="17"/>
  <c r="I8" i="17"/>
  <c r="J7" i="17"/>
  <c r="M7" i="17"/>
  <c r="M11" i="17"/>
  <c r="M37" i="17" s="1"/>
  <c r="M10" i="17"/>
  <c r="M9" i="17"/>
  <c r="M47" i="17"/>
  <c r="M48" i="17" s="1"/>
  <c r="O6" i="17"/>
  <c r="C45" i="17"/>
  <c r="I7" i="17" l="1"/>
  <c r="M36" i="17"/>
  <c r="C21" i="5"/>
  <c r="M21" i="5"/>
  <c r="Q48" i="17" l="1"/>
  <c r="O48" i="17"/>
  <c r="N48" i="17"/>
  <c r="E48" i="17"/>
  <c r="C43" i="17"/>
  <c r="S10" i="17"/>
  <c r="E10" i="17"/>
  <c r="C10" i="17"/>
  <c r="B21" i="16" l="1"/>
  <c r="B20" i="16"/>
  <c r="B19" i="16"/>
  <c r="B18" i="16"/>
  <c r="B17" i="16"/>
  <c r="B16" i="16"/>
  <c r="B15" i="16"/>
  <c r="B14" i="16"/>
  <c r="B13" i="16"/>
  <c r="B12" i="16"/>
  <c r="B11" i="16"/>
  <c r="B10" i="16"/>
  <c r="B9" i="16"/>
  <c r="B8" i="16"/>
  <c r="B7" i="16"/>
  <c r="B6" i="16"/>
  <c r="C3" i="4" l="1"/>
  <c r="G3" i="4"/>
  <c r="D4" i="4" l="1"/>
  <c r="D5" i="4"/>
  <c r="D6" i="4"/>
  <c r="D7" i="4"/>
  <c r="D8" i="4"/>
  <c r="D9" i="4"/>
  <c r="D10" i="4"/>
  <c r="D11" i="4"/>
  <c r="D12" i="4"/>
  <c r="D13" i="4"/>
  <c r="D14" i="4"/>
  <c r="D15" i="4"/>
  <c r="D16" i="4"/>
  <c r="D17" i="4"/>
  <c r="D18" i="4"/>
  <c r="D19" i="4"/>
  <c r="D20" i="4"/>
  <c r="D21" i="4"/>
  <c r="D3" i="4"/>
  <c r="B14" i="4" l="1"/>
  <c r="B21" i="3" l="1"/>
</calcChain>
</file>

<file path=xl/sharedStrings.xml><?xml version="1.0" encoding="utf-8"?>
<sst xmlns="http://schemas.openxmlformats.org/spreadsheetml/2006/main" count="908" uniqueCount="469">
  <si>
    <t>Al</t>
  </si>
  <si>
    <t>Steel</t>
  </si>
  <si>
    <t>Au</t>
  </si>
  <si>
    <t>Co</t>
  </si>
  <si>
    <t>REEs</t>
  </si>
  <si>
    <t>W</t>
  </si>
  <si>
    <t>Sn</t>
  </si>
  <si>
    <t>Ta</t>
  </si>
  <si>
    <t>Cu</t>
  </si>
  <si>
    <t>Byproduct status</t>
  </si>
  <si>
    <t>self</t>
  </si>
  <si>
    <t>Iron, self</t>
  </si>
  <si>
    <t>Notes</t>
  </si>
  <si>
    <t>Gunn 2014, Critical Metals Handbook table 1.1</t>
  </si>
  <si>
    <t>primary_production</t>
  </si>
  <si>
    <t>primary_production_mean</t>
  </si>
  <si>
    <t>primary_production_var</t>
  </si>
  <si>
    <t>initial_demand</t>
  </si>
  <si>
    <t>Demand module, total 2019 demand including recycled sources</t>
  </si>
  <si>
    <t>volume_growth_rate</t>
  </si>
  <si>
    <t>Annual growth rate, kind of unsure if I should change</t>
  </si>
  <si>
    <t>Historical growth rate for demand pre-simulation</t>
  </si>
  <si>
    <t>historical_growth_rate</t>
  </si>
  <si>
    <t>Module</t>
  </si>
  <si>
    <t>Demand</t>
  </si>
  <si>
    <t>china_fraction_demand</t>
  </si>
  <si>
    <t>sector_dist_construction</t>
  </si>
  <si>
    <t>sector_dist_electrical</t>
  </si>
  <si>
    <t>sector_dist_industrial</t>
  </si>
  <si>
    <t>sector_dist_other</t>
  </si>
  <si>
    <t>sector_dist_transport</t>
  </si>
  <si>
    <t>Refinery</t>
  </si>
  <si>
    <t>Secondary refinery fraction of recycled content, China</t>
  </si>
  <si>
    <t>SX-EW fraction of production, China</t>
  </si>
  <si>
    <t>Mining</t>
  </si>
  <si>
    <t>primary_ore_grade_mean</t>
  </si>
  <si>
    <t>primary_ore_grade_var</t>
  </si>
  <si>
    <t>primary_commodity_price</t>
  </si>
  <si>
    <t>minetype_prod_frac_underground</t>
  </si>
  <si>
    <t>minetype_prod_frac_openpit</t>
  </si>
  <si>
    <t>minetype_prod_frac_tailings</t>
  </si>
  <si>
    <t>minetype_prod_frac_stockpile</t>
  </si>
  <si>
    <t>minetype_prod_frac_placer</t>
  </si>
  <si>
    <t>byproduct_pri_production_fraction</t>
  </si>
  <si>
    <t>byproduct_host3_production_fraction</t>
  </si>
  <si>
    <t>byproduct_host2_production_fraction</t>
  </si>
  <si>
    <t>byproduct_host1_production_fraction</t>
  </si>
  <si>
    <t>byproduct_production</t>
  </si>
  <si>
    <t>byproduct_production_mean</t>
  </si>
  <si>
    <t>byproduct_production_var</t>
  </si>
  <si>
    <t>byproduct_production_distribution</t>
  </si>
  <si>
    <t>byproduct_host1_grade_ratio_mean</t>
  </si>
  <si>
    <t>byproduct_host2_grade_ratio_mean</t>
  </si>
  <si>
    <t>byproduct_host3_grade_ratio_mean</t>
  </si>
  <si>
    <t>byproduct_host1_grade_ratio_var</t>
  </si>
  <si>
    <t>byproduct_host2_grade_ratio_var</t>
  </si>
  <si>
    <t>byproduct_host3_grade_ratio_var</t>
  </si>
  <si>
    <t>byproduct_pri_ore_grade_mean</t>
  </si>
  <si>
    <t>byproduct_host1_ore_grade_mean</t>
  </si>
  <si>
    <t>byproduct_host2_ore_grade_mean</t>
  </si>
  <si>
    <t>byproduct_host3_ore_grade_mean</t>
  </si>
  <si>
    <t>byproduct_pri_ore_grade_var</t>
  </si>
  <si>
    <t>byproduct_host1_ore_grade_var</t>
  </si>
  <si>
    <t>byproduct_host2_ore_grade_var</t>
  </si>
  <si>
    <t>byproduct_host3_ore_grade_var</t>
  </si>
  <si>
    <t>byproduct_pri_sxew_fraction</t>
  </si>
  <si>
    <t>byproduct_host1_sxew_fraction</t>
  </si>
  <si>
    <t>byproduct_host2_sxew_fraction</t>
  </si>
  <si>
    <t>byproduct_host3_sxew_fraction</t>
  </si>
  <si>
    <t>Recycling input rate, China</t>
  </si>
  <si>
    <t>Recycling input rate, Global</t>
  </si>
  <si>
    <t>Need to come back and fix these in the integration, since it is using the demand inputs which aren't as good. Should have demand take the refinery initialized values</t>
  </si>
  <si>
    <t>Secondary refinery fraction of recycled content, Global</t>
  </si>
  <si>
    <t>SX-EW fraction of production, Global</t>
  </si>
  <si>
    <t>Regional production fraction of total production, China</t>
  </si>
  <si>
    <t>Regional production fraction of total production, Global</t>
  </si>
  <si>
    <t>Total production, Global</t>
  </si>
  <si>
    <t>C:\Users\ryter\Dropbox (MIT)\Group Research Folder_Olivetti\Displacement\00 Simulation\06 Module integration\Other scenarios\China import ban\Integration\Data\Generalization input parameters - copper_sparse.xlsx</t>
  </si>
  <si>
    <t>C:\Users\ryter\Dropbox (MIT)\Group Research Folder_Olivetti\Displacement\00 Simulation\06 Module integration\Other scenarios\China import ban\Integration\Data\semis demand\demand_analysis_copper_lto_q2_2016.xls</t>
  </si>
  <si>
    <t>Al notes</t>
  </si>
  <si>
    <t>Steel notes</t>
  </si>
  <si>
    <t>Au notes</t>
  </si>
  <si>
    <t>Co notes</t>
  </si>
  <si>
    <t>REEs notes</t>
  </si>
  <si>
    <t>W notes</t>
  </si>
  <si>
    <t>Sn notes</t>
  </si>
  <si>
    <t>Ta notes</t>
  </si>
  <si>
    <t>Cu notes</t>
  </si>
  <si>
    <t>SP Global cost curve</t>
  </si>
  <si>
    <t>SP Global cost curve, iron ore production</t>
  </si>
  <si>
    <t>SP Global cost curve, iron ore production, shows global iron ore production as 2145 million dry metric tons. Iron content calculated s.t. the numbers here are for iron content rather than iron ore production</t>
  </si>
  <si>
    <t>kt, C:\Users\ryter\Dropbox (MIT)\Group Research Folder_Olivetti\Displacement\00 Simulation\06 Module integration\Other scenarios\China import ban\Integration\Data\Generalization input parameters - copper_sparse.xlsx</t>
  </si>
  <si>
    <t>SP Global cost curve, iron ore production, shows global iron ore production as 2145 million dry metric tons. Iron content calculated from that is 1351.5 Mt</t>
  </si>
  <si>
    <t>in paid metal</t>
  </si>
  <si>
    <t>Pt</t>
  </si>
  <si>
    <t>Li</t>
  </si>
  <si>
    <t>fabrication_efficiency_construction</t>
  </si>
  <si>
    <t>fabrication_efficiency_electrical</t>
  </si>
  <si>
    <t>fabrication_efficiency_industrial</t>
  </si>
  <si>
    <t>fabrication_efficiency_other</t>
  </si>
  <si>
    <t>fabrication_efficiency_transport</t>
  </si>
  <si>
    <t>lifetime_mean_construction</t>
  </si>
  <si>
    <t>lifetime_mean_electrical</t>
  </si>
  <si>
    <t>lifetime_mean_industrial</t>
  </si>
  <si>
    <t>lifetime_mean_other</t>
  </si>
  <si>
    <t>lifetime_mean_transport</t>
  </si>
  <si>
    <t>C:\Users\ryter\Dropbox (MIT)\Group Research Folder_Olivetti\Displacement\00 Simulation\06 Module integration\Other scenarios\China import ban\Integration\Data\scrap supply\All accounting matrix.xlsx, sheet product lifetime and efficiency</t>
  </si>
  <si>
    <t>Pt notes</t>
  </si>
  <si>
    <t>Li notes</t>
  </si>
  <si>
    <t>C:\Users\ryter\Dropbox (MIT)\John MIT\Research\MFAplusOutside\baseline_scenario_pre_trade.xlsx, sheet lifetime_parameters</t>
  </si>
  <si>
    <t>C:\Users\ryter\Dropbox (MIT)\John MIT\Research\MFAplusOutside\baseline_scenario_pre_trade.xlsx, sheet new_scrap_rate</t>
  </si>
  <si>
    <t>https://countertop.mit.edu:3048/notebooks/SQL/Second%20round%20generalization%20mine%20parameters.ipynb, section Getting all the values to check with</t>
  </si>
  <si>
    <t>Ni</t>
  </si>
  <si>
    <t>Pb</t>
  </si>
  <si>
    <t>Ag</t>
  </si>
  <si>
    <t>Zn</t>
  </si>
  <si>
    <t>Ni notes</t>
  </si>
  <si>
    <t>Ag notes</t>
  </si>
  <si>
    <t>Zn notes</t>
  </si>
  <si>
    <t>Pb notes</t>
  </si>
  <si>
    <t>Mo notes</t>
  </si>
  <si>
    <t>Mo</t>
  </si>
  <si>
    <t>Put mining from brines in placer, from SP Global Cost Curve 2019</t>
  </si>
  <si>
    <t>SP Global cost curve 2019</t>
  </si>
  <si>
    <t>initial_scrap_spread</t>
  </si>
  <si>
    <t>All but REEs, W, Ta, Li are from SP Global Commodities Estimates: https://www.capitaliq.spglobal.com/web/client?auth=inherit#industry/CommoditiesEstimates</t>
  </si>
  <si>
    <t xml:space="preserve"> </t>
  </si>
  <si>
    <t>Assumed equal to global, where 575 Mt scrap were used to produce 1700 Mt total steel</t>
  </si>
  <si>
    <t>See historical scrap availability: https://worldsteel.org/steel-by-topic/raw-materials/. Also: " global steel recovery rates are estimated at at 
least 85% for construction, 90% for automotive (reaching 
close to 100% in the US), 90% for machinery, and 50% for 
electrical and domestic appliances", https://worldsteel.org/wp-content/uploads/Fact-sheet-steel-and-raw-materials.pdf, which also has 575 Mt scrap were used to produce 1700 Mt total steel</t>
  </si>
  <si>
    <t>assumed same as aluminum</t>
  </si>
  <si>
    <t>Since scrap fed into EAF and BF/BOFs doesn't have all its impurities removed, and doesn't produce a "refined steel" that's 100% Fe, it makes sense to treat this with the blending model, with most impurities removed from the scrap streams. See Katrin Daehn 2017 for info about alloying elements that can't be removed (https://pubs.acs.org/doi/pdf/10.1021/acs.est.7b00997)</t>
  </si>
  <si>
    <t>World Steel, https://worldsteel.org/wp-content/uploads/2020-World-Steel-in-Figures.pdf</t>
  </si>
  <si>
    <t xml:space="preserve">World Steel, https://worldsteel.org/wp-content/uploads/2020-World-Steel-in-Figures.pdf, using 189 Mt production in 1950 and 1869 Mt production in 2019 to calculate average annual growth rate. </t>
  </si>
  <si>
    <t>World Steel, https://worldsteel.org/wp-content/uploads/2020-World-Steel-in-Figures.pdf, 2019</t>
  </si>
  <si>
    <t>collection_rate_target_construction</t>
  </si>
  <si>
    <t>collection_rate_target_electrical</t>
  </si>
  <si>
    <t>collection_rate_target_industrial</t>
  </si>
  <si>
    <t>collection_rate_target_other</t>
  </si>
  <si>
    <t>collection_rate_target_transport</t>
  </si>
  <si>
    <t>90% comes from jewelry, rest from electronics, 10-year average shows 33% from recycling https://www.gold.org/gold-supply; https://www.gold.org/about-gold/market-structure-and-flows</t>
  </si>
  <si>
    <t>10-year average shows 33% from recycling https://www.gold.org/gold-supply; https://www.gold.org/about-gold/market-structure-and-flows</t>
  </si>
  <si>
    <t>Sectors are being renamed for gold: electrical is electronics, industrial is bar and coin, transport is jewelry, https://www.gold.org/about-gold/market-structure-and-flows</t>
  </si>
  <si>
    <t>Electronics, https://www.gold.org/about-gold/market-structure-and-flows, 10-year average demand distribution</t>
  </si>
  <si>
    <t>Bar and coin, https://www.gold.org/about-gold/market-structure-and-flows, 10-year average demand distribution</t>
  </si>
  <si>
    <t>Other, https://www.gold.org/about-gold/market-structure-and-flows, 10-year average demand distribution</t>
  </si>
  <si>
    <t>Jewelry, https://www.gold.org/about-gold/market-structure-and-flows, 10-year average demand distribution</t>
  </si>
  <si>
    <t>Highly alloyed: https://www.gold.org/about-gold/about-gold-jewellery, 1% price increase increases recycled supply by 0.6%, page 6: https://www.gold.org/goldhub/research/ups-and-downs-gold-recycling</t>
  </si>
  <si>
    <t>World Gold Council https://www.gold.org/goldhub/data/gold-production-by-country</t>
  </si>
  <si>
    <t>World Gold Council, https://www.gold.org/goldhub/data/gold-demand-by-country</t>
  </si>
  <si>
    <t>World Gold Council, https://www.gold.org/download/file/17130/GDT-Q1-2022-Statistics_EN.xlsx, accessible via https://www.gold.org/goldhub/data/gold-demand-by-country</t>
  </si>
  <si>
    <t>Same from Al since it doesn't matter</t>
  </si>
  <si>
    <t>Mean from https://www.sciencedirect.com/science/article/pii/S0959652617302408?casa_token=N84JwDiussgAAAAA:mkccvh9t_nU95saIYweKunJIKZd5gtCyDTvz95fEnDRbbKwUCw36cKAGnlItkoVUzsKzL3bV8fA, Quanyin Tan 2017</t>
  </si>
  <si>
    <t>Jewelry, from https://pubs.acs.org/doi/pdf/10.1021/acs.est.9b01912?casa_token=KhucvPiIm74AAAAA:eU7DhgyS61VMdmYh6hWgbhMQj5IbOaznOjAYiV83vW7-4l1rz8A3V_p9zQdS9sF7V2YXkxwF3_B_6pf-, Rasmussen 2017, platinum</t>
  </si>
  <si>
    <t>Bar and coin, https://www.gao.gov/products/gao-11-281</t>
  </si>
  <si>
    <t>Other, assumed same as aluminum</t>
  </si>
  <si>
    <t>From World Aluminum https://alucycle.international-aluminium.org/public-access/</t>
  </si>
  <si>
    <t>From World Aluminum https://alucycle.international-aluminium.org/public-access/, using primary and recycled ingot production as primary aluminum and scrap aluminum demand, global</t>
  </si>
  <si>
    <t>From World Aluminum https://alucycle.international-aluminium.org/public-access/, using primary and recycled ingot production as primary aluminum and scrap aluminum demand, China</t>
  </si>
  <si>
    <t>Our model, mod.smelt_prod.loc[2019]/mod.smelt_prod['World'][2019]</t>
  </si>
  <si>
    <t>Our model, mod.demand_sectors.groupby(level=0,axis=1).sum().loc[2019]/mod.demand_sectors.sum(axis=1).loc[2019]</t>
  </si>
  <si>
    <t>Our model, mod.demand_sectors.groupby(level=1,axis=1).sum().loc[2019]/mod.demand_sectors.sum(axis=1).loc[2019]</t>
  </si>
  <si>
    <t>Our model, (np.log(mod.minemod.ml.loc[2019]['Production (Mt)']*1000).var())</t>
  </si>
  <si>
    <t>World Aluminum, fabrication section https://alucycle.international-aluminium.org/public-access/</t>
  </si>
  <si>
    <t>Assumed all open pit</t>
  </si>
  <si>
    <t>Our model (mod.ref_prices['Ref_Al']-mod.scrap_prices.mean(axis=1))</t>
  </si>
  <si>
    <t>Looking at scrapmonster.com, hallmarked and unhallmarked gold scrap prices, the mean scrap price appeared to be around 1000 USD/oz, accessed 5/30/2022</t>
  </si>
  <si>
    <t>Scrapmonster.com showed $120/ton for #1 HMS Prepared Iron Scrap, national index, August 3, 2021; accessed 5/30/22</t>
  </si>
  <si>
    <t>Scrapmonster.com, showed 696.31 USD/oz Pt scrap, reported 02/27/22, accessed 5/30/22 for N America</t>
  </si>
  <si>
    <t>Scrapmonster.com, showed 0.74 USD/lb lead scrap, reported 02/24/22, accessed 5/30/22 for N America</t>
  </si>
  <si>
    <t>Scrapmonster.com, showed 0.88 USD/lb zinc scrap, reported 02/24/22, accessed 5/30/22 for N America</t>
  </si>
  <si>
    <t>assumed 95%, no basis</t>
  </si>
  <si>
    <t>Our model, np.exp(np.log(mod.minemod.ml.loc[2019]['Head grade (%)']).mean()), dividing by 1.93, the ratio of alumina per aluminum since our grade is in %Al2O3</t>
  </si>
  <si>
    <t>Our model, np.exp(np.log(mod.minemod.ml.loc[2019]['Production (Mt)']*1000).mean()). This was production of bauxite, so divide by 5.1 t bauxite per t aluminum</t>
  </si>
  <si>
    <t>Source(s)</t>
  </si>
  <si>
    <t>From our aluminum model, mod.old_cr for construction=BC, electrical=EE, industrial=ME, transport=TR, other=mod.old_collected.groupby(level=1,axis=1).sum()[['CD','CP-cans','CP-foil','CP-others','Others']].sum(axis=1)/mod.old_generated.groupby(level=1,axis=1).sum()[['CD','CP-cans','CP-foil','CP-others','Others']].sum(axis=1)</t>
  </si>
  <si>
    <t>From C:\Users\ryter\Dropbox (MIT)\Group Research Folder_Olivetti\Displacement\00 Simulation\06 Module integration\Data\scrap supply\All accounting matrix.xlsx, construction=C&amp;D, electrical=IEW, industrial=INEW, other=WEEE, transport=ELV; multiplied collection*sorting</t>
  </si>
  <si>
    <t>Total demand</t>
  </si>
  <si>
    <t>Primary demand</t>
  </si>
  <si>
    <t>baseline_scenario.xlsx for aluminum, sheet primary_consump_kt</t>
  </si>
  <si>
    <t>baseline_scenario.xlsx for aluminum, sheet demand_sectors summed across. Assumed 2019 was same ratio with 2018 as that of primary demand</t>
  </si>
  <si>
    <t>Primary commodity price</t>
  </si>
  <si>
    <t>Primary supply</t>
  </si>
  <si>
    <t>Total production</t>
  </si>
  <si>
    <t>https://worldsteel.org/wp-content/uploads/2020-World-Steel-in-Figures.pdf</t>
  </si>
  <si>
    <t>https://worldsteel.org/wp-content/uploads/2020-World-Steel-in-Figures.pdf (2013-2019), https://www.sciencedirect.com/science/article/abs/pii/S0301420713001207 (2001-2011), 2012 linearly interpolated</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</si>
  <si>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t>
  </si>
  <si>
    <t>https://www.steelconstruction.info/Recycling_and_reuse (they cite worldsteel)</t>
  </si>
  <si>
    <t>Scrap demand</t>
  </si>
  <si>
    <t>see page 375 in critical metals handbook for demand, pg 381 for price</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</si>
  <si>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 This version removes the differences associated with oil price, performed here: http://localhost:8888/notebooks/Dropbox%20(MIT)/Group%20Research%20Folder_Olivetti/Displacement/08%20Generalization/_Python/Integration/Generalization%20integration.ipynb#Demand-experimentation, section 8 prices and price adjustments</t>
  </si>
  <si>
    <t>Primary commodity price, not adjusted for oil</t>
  </si>
  <si>
    <t>baseline_scenario.xlsx for aluminum, sheet ref_prices, but subtracting out oil price effects from regression. Done in http://localhost:8888/notebooks/Dropbox%20(MIT)/Group%20Research%20Folder_Olivetti/Displacement/08%20Generalization/_Python/Integration/Generalization%20integration.ipynb#Demand-experimentation, Section 8 prices and price adjustments</t>
  </si>
  <si>
    <t>World gold council for 2010-2019: https://www.gold.org/goldhub/data/gold-demand-by-country, remainder from USGS minerals yearbooks</t>
  </si>
  <si>
    <t>Assuming no recycling</t>
  </si>
  <si>
    <t>Various, see data sheet on dropbox folder</t>
  </si>
  <si>
    <t xml:space="preserve">S&amp;P global, average from LiCO3 and LiOH, not including concentrate </t>
  </si>
  <si>
    <t>S&amp;P global and validated with USGS</t>
  </si>
  <si>
    <t>https://www.sciencedirect.com/science/article/pii/S0263436821000780</t>
  </si>
  <si>
    <t>https://pubs.usgs.gov/periodicals/mcs2020/mcs2020-tin.pdf</t>
  </si>
  <si>
    <t>https://pubs.usgs.gov/periodicals/mcs2021/mcs2021-tantalum.pdf</t>
  </si>
  <si>
    <t>https://pubs.usgs.gov/periodicals/mcs2020/mcs2020-nickel.pdf</t>
  </si>
  <si>
    <t>https://www.globenewswire.com/news-release/2020/04/22/2020156/0/en/Global-Silver-Demand-Edged-Higher-in-2019-With-Investment-Demand-Up-12-While-Silver-Mine-Supply-Fell-for-the-Fourth-Consecutive-Year.html#:~:text=Global%20silver%20demand%20edged%20higher%20in%202019%20to%20991.8%20Moz,from%202018%20at%20510.9%20Moz.</t>
  </si>
  <si>
    <t>https://pubs.usgs.gov/periodicals/mcs2020/mcs2020-zinc.pdf</t>
  </si>
  <si>
    <t>https://www.statista.com/statistics/264877/world-consumption-of-lead-metal/</t>
  </si>
  <si>
    <t>https://www.imoa.info/molybdenum-media-centre/latest-news/latest-news-details.php?objectID=630&amp;lang=en#:~:text=Global%20production%20of%20molybdenum%20rose,Molybdenum%20Association%20(IMOA)%20show.</t>
  </si>
  <si>
    <t>https://ar2019.nornickel.com/pdf/ar/en/commodity-market-overview_platinum.pdf</t>
  </si>
  <si>
    <t>World Aluminum, fabrication section https://alucycle.international-aluminium.org/public-access/, from 1962 and 2019. Originally set to 0.050833=(99671/5904)^(1/(2019-1962))-1, but found that too little material was reaching end of life to make current RIR feasible. Lowered to 0.04 based on trial and error</t>
  </si>
  <si>
    <t>Forecast period 2018 to 2025 CAGR:https://www.gminsights.com/industry-analysis/tungsten-market</t>
  </si>
  <si>
    <t>https://pubs.usgs.gov/periodicals/mcs2020/mcs2020-tin.pdf // https://pubs.usgs.gov/periodicals/mcs2021/mcs2021-tin.pdf// ((296000+11000)/(180000+12000))^(1/(2019-1995)-1)</t>
  </si>
  <si>
    <t>(2405/415)^(1/(2019-1994)-1) // https://pubs.usgs.gov/periodicals/mcs2020/mcs2020-tantalum.pdf</t>
  </si>
  <si>
    <t>(2700+2700*0.47)/{920+66}^{1}/{2019-1995}}-1</t>
  </si>
  <si>
    <t>(28117.057/16000)^(2/{2019-1995}-1)} /// https://d9-wret.s3.us-west-2.amazonaws.com/assets/palladium/production/mineral-pubs/silver/silvemcs96.pdf</t>
  </si>
  <si>
    <t>https://www.prnewswire.com/news-releases/global-lead-acid-battery-market-2015-2019---steady-cagr-of-75-by-2019-300190709.html</t>
  </si>
  <si>
    <t>[(294+294*0.3)/104]^(1/(2019-1994)))-1 /// https://d9-wret.s3.us-west-2.amazonaws.com/assets/palladium/production/mineral-pubs/molybdenum/molybmcs96.pdf</t>
  </si>
  <si>
    <t>https://d9-wret.s3.us-west-2.amazonaws.com/assets/palladium/production/mineral-pubs/platinum/platimcs96.pdf</t>
  </si>
  <si>
    <t>section 3.3 (58.7 is the value) China's tungsten production shifts (data from 2017):: http://www.iue.cas.cn/xwzx/kydt/202007/P020200724633579351342.pdf</t>
  </si>
  <si>
    <t>177.9/(296+18)https://www.statista.com/statistics/1131731/china-refined-tin-consumption-volume/</t>
  </si>
  <si>
    <t>https://www.researchgate.net/figure/Chinas-import-of-tantalum-concentrate-and-export-of-tantalum-intermediate-products-and_fig8_320474531</t>
  </si>
  <si>
    <t>https://www.statista.com/statistics/1131720/china-refined-nickel-consumption-volume/</t>
  </si>
  <si>
    <t>https://www.statista.com/statistics/1131866/china-zinc-slab-consumption-volume/</t>
  </si>
  <si>
    <t>https://www.imoa.info/molybdenum/molybdenum-global-production-use.php</t>
  </si>
  <si>
    <t>tungsten carbide products 2016</t>
  </si>
  <si>
    <t>sputtering targets</t>
  </si>
  <si>
    <t>jewelry</t>
  </si>
  <si>
    <t>solar</t>
  </si>
  <si>
    <t>steels &amp; superalloys 2016</t>
  </si>
  <si>
    <t>alloy additives //https://www.sciencedirect.com/science/article/pii/S0921344917301556</t>
  </si>
  <si>
    <t>foundries</t>
  </si>
  <si>
    <t>tungsten metal products 2016</t>
  </si>
  <si>
    <t>chemicals and carbides</t>
  </si>
  <si>
    <t>silverware</t>
  </si>
  <si>
    <t>mo-metals</t>
  </si>
  <si>
    <t>chemicals &amp; others 2016</t>
  </si>
  <si>
    <t>mill produts</t>
  </si>
  <si>
    <t xml:space="preserve">chemicals </t>
  </si>
  <si>
    <t>capacitors</t>
  </si>
  <si>
    <t>https://www.sprott.com/media/2268/world-silver-survey-2019.pdf</t>
  </si>
  <si>
    <t>nickel alloys</t>
  </si>
  <si>
    <t>980 tonnes of recycled material 2014 data (2800-980)/2800</t>
  </si>
  <si>
    <t>https://www.statista.com/statistics/209386/recycled-volume-of-nickel-in-the-us/</t>
  </si>
  <si>
    <t>(855.7-151/}(855.7)</t>
  </si>
  <si>
    <t>2017 ///. https://www.statista.com/statistics/209390/recycled-volume-of-zinc-in-the-us/</t>
  </si>
  <si>
    <t>(5920-1200)/5920</t>
  </si>
  <si>
    <t>https://www.imoa.info/download_files/molyreview/excerpts/13-2/Molybdenum_scrap_saves_resources.pdf</t>
  </si>
  <si>
    <t>http://www.vulcanite.com.au/wp-content/uploads/technical/TDS-Shelf-Life-of-Rubber-Components.pdf</t>
  </si>
  <si>
    <t>(21610000-111000)/2610000</t>
  </si>
  <si>
    <t>(264+41.4)/(264+12.5+41.4)</t>
  </si>
  <si>
    <t>https://en.wikipedia.org/wiki/Cadmium_telluride_photovoltaics#:~:text=Photovoltaic%20modules%20can%20last%20anywhere%20from%2025%20%E2%80%93%2030%20years.</t>
  </si>
  <si>
    <t>http://www.osta.org/technology/cdqa13.htm</t>
  </si>
  <si>
    <t>https://www.worldstainless.org/files/issf/non-image-files/PDF/Team_Stainless/The_Global_Life_Cycle_of_Stainless_Steels.pdf</t>
  </si>
  <si>
    <t>https://www.bridgersteel.com/blog/how-long-do-metal-roofs-last</t>
  </si>
  <si>
    <t>https://tantaline.com/technology/corrosion-properties/</t>
  </si>
  <si>
    <t>https://money.usnews.com/money/personal-finance/family-finance/articles/how-long-can-you-expect-your-roof-or-fridge-to-last#:~:text=Slate%2C%20copper%20and%20tile%20roofs,20%20years%2C%20the%20NAHB%20found.</t>
  </si>
  <si>
    <t>https://www.hanceconstruction.com/news/blog/butler-building-renovation-and-durability-of-steel#:~:text=Steel%20buildings%20face%20fewer%20issues,from%2050%20to%20100%20years.</t>
  </si>
  <si>
    <t>https://www.sciencedirect.com/topics/social-sciences/tungsten</t>
  </si>
  <si>
    <t>pg. 32 https://www.epa.gov/sites/default/files/2013-12/documents/lead_free_solder_lca_summary.pdf // https://blog.evbox.com/ev-battery-longevity#:~:text=How%20long%20do%20EV%20batteries,costs%20associated%20with%20battery%20replacement.</t>
  </si>
  <si>
    <t>https://www.electronicsweekly.com/news/now-alternative-solid-tantalum-capacitors-2017-03/#:~:text=Whilst%20MLCCs%20are%20susceptible%20to,of%202%20years%20or%20less.</t>
  </si>
  <si>
    <t>https://www.power-sonic.com/blog/features-of-sealed-lead-acid-batteries/#:~:text=Sealed%20lead%20acid%20batteries%20can,manufacturing%20process%20of%20the%20battery.</t>
  </si>
  <si>
    <t>https://semiengineering.com/are-chips-getting-more-reliable/#:~:text=Most%20advanced%20semiconductors%20are%20reliable,them%20could%20last%2050%20years.</t>
  </si>
  <si>
    <t>solder /// https://www.evilmadscientist.com/2013/solder-expire/#:~:text=Flux%20cored%20solder%20wire%20has,years%20from%20date%20of%20manufacture.</t>
  </si>
  <si>
    <t>https://metrofence.net/what-is-the-longevity-that-you-can-expect-of-a-chain-link-fence/</t>
  </si>
  <si>
    <t>Platinum Group Metals: A Review of Resources, Production .</t>
  </si>
  <si>
    <t>chemical ::: https://www.sciencedirect.com/science/article/pii/S0263436821000780</t>
  </si>
  <si>
    <t>https://blog.evbox.com/ev-battery-longevity#:~:text=How%20long%20do%20EV%20batteries,costs%20associated%20with%20battery%20replacement.</t>
  </si>
  <si>
    <t>https://www.heatandplumb.com/blog/how-often-should-radiators-be-replaced#:~:text=If%20you're%20asking%20%E2%80%9Chow,of%20how%20they're%20performing.</t>
  </si>
  <si>
    <t>used as a lubricant :: https://www.bellperformance.com/blog/motor-oil-shelf-life#:~:text=Simply%20put%2C%20the%20shelf%20life,in%20a%20couple%20of%20months.</t>
  </si>
  <si>
    <t>https://www.walkerexhaust.com/support/exhaust-101/why-exhaust-systems-wear-out.html</t>
  </si>
  <si>
    <t>2017 data // https://www.sciencedirect.com/science/article/pii/S0263436821000780</t>
  </si>
  <si>
    <t>https://www.sciencedirect.com/science/article/pii/S0921344917301556</t>
  </si>
  <si>
    <t>from 2011 data</t>
  </si>
  <si>
    <t>year is 2017 // http://www.iue.cas.cn/xwzx/kydt/202007/P020200724633579351342.pdf</t>
  </si>
  <si>
    <t>https://sustainability.zinc.org/recycling/</t>
  </si>
  <si>
    <t>(12.5+41.4)/260.997</t>
  </si>
  <si>
    <t>https://pubs.usgs.gov/periodicals/mcs2021/mcs2021-tungsten.pdf</t>
  </si>
  <si>
    <t> (revert+new+old+blend)/production</t>
  </si>
  <si>
    <t>https://www.911metallurgist.com/solvent-extraction-sx/</t>
  </si>
  <si>
    <t>https://feeco.com/sx-ew-moves-into-new-metal-markets/</t>
  </si>
  <si>
    <t>https://min-eng.com/pdf/sxew.pdf</t>
  </si>
  <si>
    <t>https://www.researchgate.net/publication/260189335_The_Evolving_Copper-Tellurium_Byproduct_System_A_Review_of_Changing_Production_Techniques_Their_Implications</t>
  </si>
  <si>
    <t>data from 2018: https://www.sciencedirect.com/science/article/pii/S0263436821000780#bb0015</t>
  </si>
  <si>
    <t>https://pubs.usgs.gov/periodicals/mcs2021/mcs2021-tin.pdf</t>
  </si>
  <si>
    <t>2014 data // https://globemetal.com/tantalum-recycling/</t>
  </si>
  <si>
    <t>https://www.statista.com/statistics/264878/world-production-of-zinc-metal/</t>
  </si>
  <si>
    <t>new_scrap_fraction</t>
  </si>
  <si>
    <t>(new+revert)/revert // (12.5)/(12.5+41.1) ///https://www.imoa.info/download_files/molyreview/excerpts/13-2/Molybdenum_scrap_saves_resources.pdf</t>
  </si>
  <si>
    <t>statista:https://www.statista.com/statistics/1011060/tungsten-production-worldwide/</t>
  </si>
  <si>
    <t>https://www.internationaltin.org/wp-content/uploads/2020/02/Global-Resources-Reserves-2020-Update.pdf</t>
  </si>
  <si>
    <t>https://pubs.usgs.gov/periodicals/mcs2021/mcs2021-platinum.pdf</t>
  </si>
  <si>
    <t>https://trade-metal.com/news-copper-scrap-prices-review-12.html</t>
  </si>
  <si>
    <t>https://www.scrapmonster.com/scrap-yard/price/lead-scrap/5      //0.39 dollars per pound</t>
  </si>
  <si>
    <t>https://tradingeconomics.com/commodity/tellurium</t>
  </si>
  <si>
    <t>https://www.forbes.com/sites/halahtouryalai/2012/04/02/a-rare-metal-youve-never-heard-of-is-on-a-tear/?sh=51bf93b2290d</t>
  </si>
  <si>
    <t>https://rockawayrecycling.com/scrap-metal-prices/   // https://www.statista.com/statistics/675883/average-prices-tin-worldwide/</t>
  </si>
  <si>
    <t>2018 copper cathode price minus 2018 No.1 scrap price, C:\Users\ryter\Dropbox (MIT)\Group Research Folder_Olivetti\Displacement\08 Generalization\_Python\Data\Historical prices.xlsx</t>
  </si>
  <si>
    <t>https://www.statista.com/statistics/236578/iron-ore-prices-since-2003/          // https://www.recycleinme.com/scrapresources/detailedpricearchive?psect=6&amp;cat=US%20Metal%20Prices&amp;subcat=Nickel&amp;mnth=12&amp;yr=2019</t>
  </si>
  <si>
    <t>https://www.argusmedia.com/en/news/1956766-tungsten-carbide-scrap-hits-new-lows-amid-headwinds</t>
  </si>
  <si>
    <t>https://www.metalary.com/tungsten-price/</t>
  </si>
  <si>
    <t>Te</t>
  </si>
  <si>
    <t>Te notes</t>
  </si>
  <si>
    <t>C:\Users\ryter\Dropbox (MIT)\Group Research Folder_Olivetti\Displacement\00 Simulation\05 Data Compile\Metalor and other, iron ore and precious metals, daily.xls   // oil price adjusted for 2002-2018 // assumed 2001 48 dollar decrease // assumed 2019 had 18% increase based on Macrotrends Hundred Year Price Chart</t>
  </si>
  <si>
    <t>Primary commodity price old</t>
  </si>
  <si>
    <t>World gold council for 2010-2019: https://www.gold.org/goldhub/data/gold-demand-by-country, remainder using the BCG Recycled Content plot (exhibit 2, https://www.gold.org/goldhub/research/ups-and-downs-gold-recycling) to calculate total and secondary production from primary supply</t>
  </si>
  <si>
    <t>World gold council for 2010-2019: https://www.gold.org/goldhub/data/gold-demand-by-country, Seeking Alpha 2003-2009: https://seekingalpha.com/article/1461891-is-it-time-to-buy-gold. Assumed 2001-2002 followed the same trend as primary supply. 2006-2015 validated by https://www.spdrgoldshares.com/media/GLD/file/GDT_Q1_2016.pdf (this one is on google scholar as Gold Demand Trends, Street 2016), table 10 in https://www.spdrgoldshares.com/media/GLD/file/GDT_Q1_2010.pdf, table 9 in https://www.spdrgoldshares.com/media/GLD/file/GDT_Q1_2012.pdf; for early years, taking the largest value I can find since it appears from price changes that demand exceeds supply</t>
  </si>
  <si>
    <t>Actual demand</t>
  </si>
  <si>
    <t>Other one is doing 5-yr rolling mean</t>
  </si>
  <si>
    <t xml:space="preserve">Based on 400t production in 1900 from this paper (https://www.sciencedirect.com/science/article/pii/0301420782900253) and 4870 t production in 2019 below (0.021225); took the mean of that and the value using 2001-2019 demand in the Au sheet (0.01344), giving </t>
  </si>
  <si>
    <t>Our model, (np.log(mod.minemod.ml.loc[2019]['Head grade (%)']).var()) = 0.0177, trying with higher value due to no opening happening</t>
  </si>
  <si>
    <t>CHECK THAT ALL THESE ARE USING STD DEV NOT VARIANCE</t>
  </si>
  <si>
    <t>ICSG World Copper Factbooks 2012 and 2021, for 2002-2010 and 2010-2019 respectively, see https://icsg.org/wp-content/uploads/2021/11/ICSG-Factbook-2021.pdf (pages 40 and 55) and https://vdocument.in/2012-world-copper-factbook.html?page=43 (page 43). For 2010, took the average of the values from the 2012 and 2021 factbooks, and for 2001 assumed the same growth rate as for total demand.</t>
  </si>
  <si>
    <t>2001-2016 from ICSG Statistical Yearbook 2018, with 2017-2019 from 2021 ICSG World Copper Factbook page 40</t>
  </si>
  <si>
    <t>THE WORLD NICKEL FACTBOOK 2021 (insg.org), page 37, assuming that a negligible amount of nickel has been recycled outside the stainless steel industry, for 2015-2019. For 1995-2014, use figure 2 from Elshkaki et al 2017 (https://www.sciencedirect.com/science/article/pii/S0921344917301817) to get recycling input rate, and scale using primary demand reported in world nickel factbook page 24</t>
  </si>
  <si>
    <t>Smelter production of tin which claims to include both primary and secondary sources, from British Geological Survey, found here: https://www2.bgs.ac.uk/mineralsuk/statistics/worldArchive.html</t>
  </si>
  <si>
    <t>IGSG Factbook 2018</t>
  </si>
  <si>
    <t>The Silver Institute, World Silver Surveys, taking the maximum value reported in the surveys from 2001-2022, https://www.silverinstitute.org/all-world-silver-surveys/. Using total demand after hedging adjustments (appears equal to total supply)</t>
  </si>
  <si>
    <t>The Silver Institute, World Silver Surveys, taking the maximum value reported in the surveys from 2001-2022, https://www.silverinstitute.org/all-world-silver-surveys/. Using scrap supply reported, assuming that only the scrap that is consumed is reported as collected</t>
  </si>
  <si>
    <t>International Zinc Association Publication: Zinc Recycling 2050 Demand and Supply, https://www.zinc.org/wp-content/uploads/sites/24/2022/03/2050-Demand-Supply_VF_3_22.pdf, figure 3</t>
  </si>
  <si>
    <t>1990-2005: http://large.stanford.edu/publications/power/references/docs/ILZSG.pdf (page 35, has data back to the 1970s), 2017-2021: https://www.ilzsg.org/static/statistics.aspx?from=1, 2005-2016: used page 21 of https://gdb-online.org/www.blei-online.org/wp-content/uploads/2021/10/ILZSG-Lead-Factbook.pdf, asserted alignment between this data and previously existing data by assuming a linear change in the ratio between the original data and this data for years where there was overlap, and multiplying this data by this ratio to maximize continuity</t>
  </si>
  <si>
    <t>Total production minus mine prod</t>
  </si>
  <si>
    <t>Mine production</t>
  </si>
  <si>
    <t>2007-2018: used page 21 of https://gdb-online.org/www.blei-online.org/wp-content/uploads/2021/10/ILZSG-Lead-Factbook.pdf, 1990-2004: use Total production minus Mine production from page 21 of https://gdb-online.org/www.blei-online.org/wp-content/uploads/2021/10/ILZSG-Lead-Factbook.pdf. 2018-2021 use Metal production minus Mine production from https://www.ilzsg.org/static/statistics.aspx?from=1. For 2005, interpolate recycling input rate from 2004 and 2006 and calculate scrap demand from that</t>
  </si>
  <si>
    <t>https://www.statista.com/statistics/1131647/china-refined-lead-consumption-volume/, 5.08/12.162</t>
  </si>
  <si>
    <t>S&amp;P Global Market Intelligence, using recovered metal content for all nickel-producing mines in 2019. Assuming SX-EW if payable percent is 100%.", https://feeco.com/sx-ew-moves-into-new-metal-markets/</t>
  </si>
  <si>
    <t>S&amp;P Global Market Intelligence, using recovered metal content for all nickel-producing mines in 2019. Assuming SX-EW if payable percent is 100%.", https://feeco.com/sx-ew-moves-into-new-metal-markets/, https://www.copper.org/publications/newsletters/innovations/2001/08/hydrometallurgy.html</t>
  </si>
  <si>
    <t>https://www.statista.com/statistics/1009446/tungsten-price/, https://www.metalary.com/tungsten-price/</t>
  </si>
  <si>
    <t>https://www.argusmedia.com/en/news/2222244-eu-tantalum-prices-rebound-on-higher-input-costs, https://www.statista.com/statistics/1009173/tantalum-price/, reported 161 USD/kg</t>
  </si>
  <si>
    <t>https://www.argusmedia.com/en/news/2222244-eu-tantalum-prices-rebound-on-higher-input-costs, reported 135 USD/lb</t>
  </si>
  <si>
    <t>https://www.macrotrends.net/1470/historical-silver-prices-100-year-chart</t>
  </si>
  <si>
    <t>Scrapmonster.com, showed 18.33 USD/oz silver scrap, reported 02/27/22, accessed 5/30/22 for N America, https://www.scrapmonster.com/news/29th-october-2019-scrap-gold-silver-and-platinum-prices-dipped-on-index/1/73213 - 14.86 USD/oz</t>
  </si>
  <si>
    <t>https://platinuminvestment.com/about/60-seconds-in-platinum/2020/06/24#:~:text=China%20is%20the%20second%20largest,per%20cent%20of%20global%20demand</t>
  </si>
  <si>
    <t>https://pubs.usgs.gov/periodicals/mcs2021/mcs2021-tellurium.pdf</t>
  </si>
  <si>
    <t>https://d9-wret.s3.us-west-2.amazonaws.com/assets/palladium/production/mineral-pubs/zinc/zinc_mcs96.pdf</t>
  </si>
  <si>
    <t>https://www.silverinstitute.org/wp-content/uploads/2018/09/ChineseSilverMarket20182.pdf - using this sector as industrial</t>
  </si>
  <si>
    <t>bar and coin</t>
  </si>
  <si>
    <t>From the Ag sheet</t>
  </si>
  <si>
    <t>https://www.sciencedirect.com/science/article/pii/S0921344916300064, table 1 , The anthropogenic cycle of zinc: Status quo and perspectives, Meylan 2017</t>
  </si>
  <si>
    <t>Anthropogenic nickel supply, demand, and associated energy and water use - ScienceDirect, https://www.sciencedirect.com/science/article/pii/S0921344917301817, figure 1 using most recent year</t>
  </si>
  <si>
    <t>Measuring the sustainability of tin in China - ScienceDirect, https://www.sciencedirect.com/science/article/pii/S0048969718312373, table 1, assuming that solder is evenly distributed between electrical and industrial, chemicals are fully in construction, tin platings are other, brass and bronze are evenly distributed between construction and transportation, batterials are in transportation, and float glass is evenly distributed between buildings and automotive</t>
  </si>
  <si>
    <t>Assuming same as aluminum</t>
  </si>
  <si>
    <t>https://www.sprott.com/media/2268/world-silver-survey-2019.pdf, using this sector as industrial; renamed as per gold</t>
  </si>
  <si>
    <t>https://www.essentialchemicalindustry.org/metals/lead.html, where batteries are primarily used in transportation, we assume compounds are industrial, no electrical use, building industry is construction, and all the rest is other</t>
  </si>
  <si>
    <t>expect these other uses to be more dissipative</t>
  </si>
  <si>
    <t>Study finds nearly 100 percent recycling rate for lead ...</t>
  </si>
  <si>
    <t>https://www.sciencedirect.com/science/article/pii/S0921344917301817, table 2</t>
  </si>
  <si>
    <t>https://www.sciencedirect.com/science/article/pii/S0048969718312373, using table 1, the subjective recycling possiblity labels as easy=0.75, moderate=0.5, difficult as 0.05. Blend of difficult and moderate was given 0.25</t>
  </si>
  <si>
    <t>Assuming half of gold jewelry can be directly remelted</t>
  </si>
  <si>
    <t>Assuming half of silver jewelry can be directly remelted</t>
  </si>
  <si>
    <t>assumed same as steel</t>
  </si>
  <si>
    <t>assumed same as gold</t>
  </si>
  <si>
    <t>https://www2.bgs.ac.uk/mineralsuk/statistics/wms.cfc?method=searchWMS</t>
  </si>
  <si>
    <t>BGS: searched for Pt mine all countries, then manually added skipping Palladium and "other Pt metals" rows</t>
  </si>
  <si>
    <t>Using SP Global as well, standard deviation of ore treated</t>
  </si>
  <si>
    <t>Using SP Global as well, reported head grade (modeled were fewer in number)</t>
  </si>
  <si>
    <t>Using SP Global as well, reported head grade (modeled were fewer in number), standard deviation</t>
  </si>
  <si>
    <t xml:space="preserve">Also using SP global, on an ore treated basis due to data limitations </t>
  </si>
  <si>
    <t>From SP Global Market Intelligence downloaded data, using ore processed multiplied by ore grade, since the mean production from the 7 mines with reported production seemed excessively large and perhaps incompatible with our model. 15 ore treated reported, 2 modeled recovered metal, 7 reported production, 4 reported grade, 2 modeled grade</t>
  </si>
  <si>
    <t>Description</t>
  </si>
  <si>
    <t>Future average growth rate of the underlying volume drivers</t>
  </si>
  <si>
    <t>Historical average growth rate of the underlying volume drivers</t>
  </si>
  <si>
    <t>Total commodity demand (consumption) in 2019</t>
  </si>
  <si>
    <t>Fraction of total demand (consumption) coming from China</t>
  </si>
  <si>
    <t>Fabrication efficiency of semifabrication - transport</t>
  </si>
  <si>
    <t>Fabrication efficiency of semifabrication - other</t>
  </si>
  <si>
    <t>Sectoral fraction of scrap generated available for use, or the product of collection rate and sorting efficiency - other</t>
  </si>
  <si>
    <t>Global recycling input rate (fraction of consumption coming from scrap, including post-consumer, post-industrial, and refined scrap</t>
  </si>
  <si>
    <t>China recycling input rate (fraction of consumption coming from scrap, including post-consumer, post-industrial, and refined scrap</t>
  </si>
  <si>
    <t>Fraction of total refined commodity production, global (will always be 1)</t>
  </si>
  <si>
    <t>China fraction of total refined commodity production</t>
  </si>
  <si>
    <t xml:space="preserve">Fraction of China's scrap consumption that first undergoes a refining process to remove impurities (the remainder being directly remelted/blended with primary to reach target composition). Currently not a very relevant metric since we don't have the composition-based model integrated. </t>
  </si>
  <si>
    <t xml:space="preserve">Fraction of global scrap consumption that first undergoes a refining process to remove impurities (the remainder being directly remelted/blended with primary to reach target composition). Currently not a very relevant metric since we don't have the composition-based model integrated. </t>
  </si>
  <si>
    <t>Fraction of China's mine production coming from SX-EW process, or any other process that produces the refined product directly (e.g. lithium brines)</t>
  </si>
  <si>
    <t>Total commodity production in 2019 (mine production plus scrap supply)</t>
  </si>
  <si>
    <t>Fraction of post-industrial scrap that is sold on the open market as new scrap, where the remainder of fabrication efficiency losses are runaround/home scrap</t>
  </si>
  <si>
    <t>The natural log of mine production is normally distributed; this is the exponentiated mean of that distribution.</t>
  </si>
  <si>
    <t>The natural log of mine production is normally distributed; this is the standard deviation of that distribution.</t>
  </si>
  <si>
    <t>The natural log of ore grade is normally distributed; this is the exponentiated mean of that distribution.</t>
  </si>
  <si>
    <t>The mean scrap spread (difference between refined price and scrap price) in 2019, choosing the highest-grade scrap for which data were available. See commodity-specific notes for more details.</t>
  </si>
  <si>
    <t>The mean price of the refined commodity in 2019 (see commodity-level notes for deviations from elemental composition)</t>
  </si>
  <si>
    <t>Fraction of mines that are primarily categorized as stockpile mines</t>
  </si>
  <si>
    <t>Fraction of mines that are primarily categorized as placer mines</t>
  </si>
  <si>
    <t>Fraction of mines that are primarily categorized as underground mines</t>
  </si>
  <si>
    <t>Fraction of mines that are primarily categorized as open pit mines</t>
  </si>
  <si>
    <t>Fraction of mines that are primarily categorized as tailings mines</t>
  </si>
  <si>
    <t>Currently just listing the primary sources of the commodity, but ideally will have it as "percent production from each main-element mine." This is not an actual input to the model, just information I would like to compile so we're only using the correct commodities with the primary-only/monoproduct mining model</t>
  </si>
  <si>
    <t>Sector distribution of demand - construction (industrial for gold/silver)</t>
  </si>
  <si>
    <t>Sector distribution of demand - electrical (electronics for gold/silver)</t>
  </si>
  <si>
    <t>Sector distribution of demand - industrial (bar and coin for gold/silver)</t>
  </si>
  <si>
    <t xml:space="preserve">Sector distribution of demand - other </t>
  </si>
  <si>
    <t>Sector distribution of demand - transport (jewelry for gold/silver)</t>
  </si>
  <si>
    <t>Mean product lifetime of sector - transport (jewelry for gold/silver)</t>
  </si>
  <si>
    <t>Sectoral fraction of scrap generated available for use, or the product of collection rate and sorting efficiency - transport (jewelry for gold/silver)</t>
  </si>
  <si>
    <t>Fabrication efficiency of semifabrication - industrial (bar and coin for gold/silver)</t>
  </si>
  <si>
    <t>Mean product lifetime of sector - industrial (bar and coin for gold/silver)</t>
  </si>
  <si>
    <t>Sectoral fraction of scrap generated available for use, or the product of collection rate and sorting efficiency - industrial (bar and coin for gold/silver)</t>
  </si>
  <si>
    <t>Fabrication efficiency of semifabrication - electrical (electronics for gold/silver)</t>
  </si>
  <si>
    <t>Mean product lifetime of sector - electrical (electronics for gold/silver)</t>
  </si>
  <si>
    <t>Sectoral fraction of scrap generated available for use, or the product of collection rate and sorting efficiency - electrical (electronics for gold/silver)</t>
  </si>
  <si>
    <t>Fabrication efficiency of semifabrication - construction (industrial for gold/silver)</t>
  </si>
  <si>
    <t>Mean product lifetime of sector - construction (industrial for gold/silver)</t>
  </si>
  <si>
    <t>Sectoral fraction of scrap generated available for use, or the product of collection rate and sorting efficiency - construction (industrial for gold/silver)</t>
  </si>
  <si>
    <t>Jewelry. Mean value from Gunn (2014), Critical Metals Handbook, Figure 3.5 (pg 50)</t>
  </si>
  <si>
    <t>Other. Assumed low, fits with approximation of other categories from Gunn (2014), Critical Metals Handbook, Figure 3.5 (pg 50)</t>
  </si>
  <si>
    <t>Bar and Coin. Mean value from Gunn (2014), Critical Metals Handbook, Figure 3.5 (pg 50)</t>
  </si>
  <si>
    <t>Electronics. Mean value from Gunn (2014), Critical Metals Handbook, Figure 3.5 (pg 50)</t>
  </si>
  <si>
    <t>Not a necesssary sector. Mean value from Gunn (2014), Critical Metals Handbook, Figure 3.5 (pg 50)</t>
  </si>
  <si>
    <t>Mean value from Gunn (2014), Critical Metals Handbook, Figure 3.5 (pg 50)</t>
  </si>
  <si>
    <t>The weighted mean of our volume drivers developed for copper</t>
  </si>
  <si>
    <t xml:space="preserve">Variable name in the Python model. All reported for 2019 where available or most recent year. </t>
  </si>
  <si>
    <t>Total minus primary</t>
  </si>
  <si>
    <t>Fit a lognormal distribution such that the min/max would be 0.12-0.2, as described by http://news.chinatungsten.com/en/tungsten-information/95194-ti-12232.html#:~:text=Tungsten%20ore%20grade%20is%20tungsten%20trioxide%20%28WO3%29%20content,ore%2C%20low%20grade%20one%20is%20called%20poor%20ore. Worth noting that grades and prices for tungsten are in WO3 equivalent. Additional concern - highest grade is mentioned to be 1.9%, with many high-grade ores 0.7%. Generally confirmed by https://www.911metallurgist.com/blog/tungsten-metallurgy</t>
  </si>
  <si>
    <t>kt W</t>
  </si>
  <si>
    <t>kt WO3</t>
  </si>
  <si>
    <t>t W</t>
  </si>
  <si>
    <t>https://www.usgs.gov/media/files/tungsten-historical-statistics-data-series-140, using 0.793 W fraction of WO3 to convert from W content to WO3</t>
  </si>
  <si>
    <t>Barruecopardo mine in Spain is ~1.5 kt/yr (https://www.refractorymetal.org/barruecopardo-tungsten-mine/), two different mines claiming to be the largest at 5% of global production (5.285) (https://almonty.com/2020/11/04/construction-of-the-worlds-largest-tungsten-mine-has-begun/#GmediaGallery_35-all-0, https://miningdigital.com/smart-mining/masan-resources-nui-phao-mine-worlds-largest-tungsten-mine), the one claims 30% but I assume they mean 30% of ex-China, dolphin would be 2.92 kt WO3 (https://www.mining-technology.com/projects/dolphin-tungsten-project/, reserve grade 0.73%*400 kt/yr capacity), Drakelands is producing 5 kt concentrate at 65% WO3 so 3.25 kt/yr (https://www.mining-technology.com/projects/hemerdon-ball/), la parilla is 2.5 kt/yr concentrate at 60% WO3 so 1.5 kt WO3 (https://www.mining-technology.com/projects/la-parrilla-tungsten-mine/), Molyhill expected to product 1.24 kt/yr WO3 from 0.31% grade and 400 kt ore/yr (https://www.mining-technology.com/projects/molyhil-tungsten-molybdenum-project-australia/), Sisson will be 5.57 kt APT/yr so 4.95 kt WO3 (https://www.mining-technology.com/projects/sisson-tungsten-molybdenum-project-new-brunswick/, W is 70.4%wt in APT, 79.3%wt of WO3). Values determined by making a distribution from the values reported here and appending a uniform distribution (0,1.5) such that the total sum matched 2019 mine production, then visually fitting a lognromal distribution to the resulting distribution with the same number of data points.</t>
  </si>
  <si>
    <t>61% Cu, rem. Self</t>
  </si>
  <si>
    <t>20% Cu, 13% Au, 35% Pb/Zn, 32% Ag</t>
  </si>
  <si>
    <t>2% Pb, 5% Ni, 0.1% Ag, 92.9% Cu</t>
  </si>
  <si>
    <t>35% Cu, 50% Ni, 15% Co</t>
  </si>
  <si>
    <t>12% Cu, 0.5% Ag, 0.1% Ni, 1% Pb/Zn, 0.32% PGM, 86.08% Au</t>
  </si>
  <si>
    <t>33% Sn, 27% Nb, 40% Ta</t>
  </si>
  <si>
    <t>8% Pb, 77% Cu, 15% Te</t>
  </si>
  <si>
    <t>4% Cu, 2% Au, 3% Ag, 91% Zn</t>
  </si>
  <si>
    <t>Fu et al. 2018. High-resolution insight into material criticality: quantifying risk for byproduct metals, https://onlinelibrary.wiley.com/action/downloadSupplement?doi=10.1111%2Fjiec.12757&amp;file=jiec12757-sup-0001-SuppMat.pdf</t>
  </si>
  <si>
    <t>New scrap from end use production</t>
  </si>
  <si>
    <t>New scrap from first use production</t>
  </si>
  <si>
    <t>Old scrap</t>
  </si>
  <si>
    <t>International Zinc Association Publication: Zinc Recycling 2050 Demand and Supply, https://www.zinc.org/wp-content/uploads/sites/24/2022/03/2050-Demand-Supply_VF_3_22.pdf, figure 6</t>
  </si>
  <si>
    <t>International Zinc Association Publication: Zinc Recycling 2050 Demand and Supply, https://www.zinc.org/wp-content/uploads/sites/24/2022/03/2050-Demand-Supply_VF_3_22.pdf, figure 4, using old scrap only due to massive supply-demand imbalance otherwise</t>
  </si>
  <si>
    <t>sum of primary supply and scrap demand</t>
  </si>
  <si>
    <t xml:space="preserve">Fraction of global mine production coming from SX-EW process, or any other process that produces the refined product directly rather than having it pass through a refinery (e.g. lithium brines) </t>
  </si>
  <si>
    <t>baseline_scenario.xlsx for aluminum, sheet smelter_prod (trying to account for bauxite/alumina used for things other than aluminum)</t>
  </si>
  <si>
    <t>Primary supply (BGS)</t>
  </si>
  <si>
    <t xml:space="preserve">The Silver Institute, World Silver Surveys, taking the most recent  value reported in the surveys from 2005-2022, https://www.silverinstitute.org/all-world-silver-surveys/. </t>
  </si>
  <si>
    <t>lifetime_sigma_construction</t>
  </si>
  <si>
    <t>lifetime_sigma_electrical</t>
  </si>
  <si>
    <t>lifetime_sigma_industrial</t>
  </si>
  <si>
    <t>lifetime_sigma_other</t>
  </si>
  <si>
    <t>lifetime_sigma_transport</t>
  </si>
  <si>
    <t>Product lifetime standard deviation of sector - construction (industrial for gold/silver)</t>
  </si>
  <si>
    <t>Product lifetime standard deviation of sector - electrical (electronics for gold/silver)</t>
  </si>
  <si>
    <t>Product lifetime standard deviation of sector - industrial (bar and coin for gold/silver)</t>
  </si>
  <si>
    <t>Product lifetime standard deviation of sector - construction</t>
  </si>
  <si>
    <t>Product lifetime standard deviation of sector - transport (jewelry for gold/silver)</t>
  </si>
  <si>
    <t>Set all to assume the same ratios with sector mean lifetime as that we had for copper</t>
  </si>
  <si>
    <t>https://d9-wret.s3-us-west-2.amazonaws.com/assets/palladium/production/atoms/files/mcs-2019-nicke.pdf; https://insg.org/wp-content/uploads/2022/02/publist_The-World-Nickel-Factbook-2021.pdf, assuming 750/2500 ratio for primary holds for secondary as well</t>
  </si>
  <si>
    <t>Li2</t>
  </si>
  <si>
    <t>Assumed</t>
  </si>
  <si>
    <t>Not recycled anyway</t>
  </si>
  <si>
    <t>From FAL's model</t>
  </si>
  <si>
    <t>Estimatiion</t>
  </si>
  <si>
    <t>Rough estimate</t>
  </si>
  <si>
    <t>From S&amp;P</t>
  </si>
  <si>
    <t>From regressions, may need to check if scale and s parameters correspond to mean and s</t>
  </si>
  <si>
    <t>Might need ot check this</t>
  </si>
  <si>
    <t xml:space="preserve">mean annual growth from 2001-2019, </t>
  </si>
  <si>
    <t>Si</t>
  </si>
  <si>
    <t>In 2010, the total production of PGMs was 690 tonnes, out of which 456 tonnes were mined from primary sources, 11 tonnes were co-produced from nickel ores, and 222 tonnes were obtained from secondary production [46] - Ayres, Material Efficiency: Rare and Critical Metals 2013</t>
  </si>
  <si>
    <t>97.6% self, 2.4% Ni</t>
  </si>
  <si>
    <t>Mean product lifetime of sector - other</t>
  </si>
  <si>
    <t>80% of scrap is from auto catalysts in the USA in 2014 - Hughes, Platinum Group Metals: A Review of Resources, Production, and Usage with a Focus on Catalysts</t>
  </si>
  <si>
    <t>Assuming jewelry acts as direct melt</t>
  </si>
  <si>
    <t>commodity-market-overview_platinum.pdf (nornickel.com)</t>
  </si>
  <si>
    <t>using jewelry value from Au/Ag</t>
  </si>
  <si>
    <t>Using Al value</t>
  </si>
  <si>
    <t>Using value from Au/Ag</t>
  </si>
  <si>
    <t>Minimal collection</t>
  </si>
  <si>
    <t>World Platinum Investment Council - Supply &amp; Demand - Historical Data</t>
  </si>
  <si>
    <t>Primary supply - BGS</t>
  </si>
  <si>
    <t>World Platinum Investment Council - Supply &amp; Demand - Historical Data (1975-2012 from Johnson Matthey, 2013-2018 from SFA (Oxford), 2019-2021 from Metals Focus)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</si>
</sst>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Te"/>
    <numFmt numFmtId="165" formatCode="0.0000"/>
    <numFmt numFmtId="166" formatCode="0.00000"/>
    <numFmt numFmtId="167" formatCode="#,##0.000"/>
  </numFmts>
  <fonts count="15">
    <font>
      <sz val="11"/>
      <color theme="1"/>
      <name val="Calibri"/>
      <family val="2"/>
      <scheme val="minor"/>
    </font>
    <font>
      <sz val="11"/>
      <color rgb="FF9C5700"/>
      <name val="Calibri"/>
      <family val="2"/>
      <scheme val="minor"/>
    </font>
    <font>
      <u/>
      <sz val="11"/>
      <color theme="10"/>
      <name val="Calibri"/>
      <family val="2"/>
      <scheme val="minor"/>
    </font>
    <font>
      <sz val="10"/>
      <color theme="1"/>
      <name val="Arial Unicode MS"/>
      <family val="2"/>
    </font>
    <font>
      <sz val="10"/>
      <name val="Arial"/>
      <family val="2"/>
    </font>
    <font>
      <sz val="11"/>
      <color rgb="FFFF0000"/>
      <name val="Calibri"/>
      <family val="2"/>
      <scheme val="minor"/>
    </font>
    <font>
      <b/>
      <sz val="11"/>
      <color theme="1"/>
      <name val="Calibri"/>
      <family val="2"/>
      <scheme val="minor"/>
    </font>
    <font>
      <i/>
      <sz val="11"/>
      <color theme="1"/>
      <name val="Calibri"/>
      <family val="2"/>
      <scheme val="minor"/>
    </font>
    <font>
      <sz val="12"/>
      <color rgb="FF1D1C1D"/>
      <name val="Arial"/>
      <family val="2"/>
    </font>
    <font>
      <sz val="14"/>
      <color rgb="FF000000"/>
      <name val="Courier New"/>
      <family val="1"/>
    </font>
    <font>
      <sz val="11"/>
      <color rgb="FF000000"/>
      <name val="Calibri"/>
      <family val="2"/>
      <scheme val="minor"/>
    </font>
    <font>
      <sz val="10"/>
      <color theme="1"/>
      <name val="Var(--jp-code-font-family)"/>
    </font>
    <font>
      <sz val="8"/>
      <name val="Calibri"/>
      <family val="2"/>
      <scheme val="minor"/>
    </font>
    <font>
      <sz val="14"/>
      <color rgb="FF000000"/>
      <name val="Times"/>
      <family val="1"/>
    </font>
    <font>
      <sz val="10"/>
      <name val="Times New Roman"/>
      <family val="1"/>
    </font>
  </fonts>
  <fills count="6">
    <fill>
      <patternFill patternType="none"/>
    </fill>
    <fill>
      <patternFill patternType="gray125"/>
    </fill>
    <fill>
      <patternFill patternType="solid">
        <fgColor rgb="FFFFEB9C"/>
      </patternFill>
    </fill>
    <fill>
      <patternFill patternType="solid">
        <fgColor theme="0" tint="-0.14999847407452621"/>
        <bgColor theme="0" tint="-0.14999847407452621"/>
      </patternFill>
    </fill>
    <fill>
      <patternFill patternType="solid">
        <fgColor theme="8" tint="0.79998168889431442"/>
        <bgColor indexed="64"/>
      </patternFill>
    </fill>
    <fill>
      <patternFill patternType="solid">
        <fgColor theme="8" tint="0.79998168889431442"/>
        <bgColor theme="0" tint="-0.14999847407452621"/>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49">
    <xf numFmtId="0" fontId="0" fillId="0" borderId="0" xfId="0"/>
    <xf numFmtId="0" fontId="2" fillId="0" borderId="0" xfId="2"/>
    <xf numFmtId="0" fontId="3" fillId="0" borderId="0" xfId="0" applyFont="1" applyAlignment="1">
      <alignment vertical="center"/>
    </xf>
    <xf numFmtId="14" fontId="3" fillId="0" borderId="0" xfId="0" applyNumberFormat="1" applyFont="1" applyAlignment="1">
      <alignment vertical="center"/>
    </xf>
    <xf numFmtId="0" fontId="4" fillId="0" borderId="0" xfId="0" applyFont="1"/>
    <xf numFmtId="0" fontId="0" fillId="3" borderId="0" xfId="0" applyFill="1"/>
    <xf numFmtId="0" fontId="0" fillId="3" borderId="0" xfId="0" applyFill="1" applyAlignment="1">
      <alignment wrapText="1"/>
    </xf>
    <xf numFmtId="0" fontId="0" fillId="0" borderId="0" xfId="0" applyAlignment="1">
      <alignment wrapText="1"/>
    </xf>
    <xf numFmtId="3" fontId="0" fillId="0" borderId="0" xfId="0" applyNumberFormat="1" applyAlignment="1">
      <alignment horizontal="right"/>
    </xf>
    <xf numFmtId="3" fontId="0" fillId="3" borderId="0" xfId="0" applyNumberFormat="1" applyFill="1" applyAlignment="1">
      <alignment horizontal="right"/>
    </xf>
    <xf numFmtId="11" fontId="0" fillId="0" borderId="0" xfId="0" applyNumberFormat="1"/>
    <xf numFmtId="11" fontId="0" fillId="3" borderId="0" xfId="0" applyNumberFormat="1" applyFill="1"/>
    <xf numFmtId="0" fontId="1" fillId="2" borderId="0" xfId="1"/>
    <xf numFmtId="0" fontId="1" fillId="2" borderId="0" xfId="1" applyAlignment="1">
      <alignment wrapText="1"/>
    </xf>
    <xf numFmtId="0" fontId="0" fillId="3" borderId="0" xfId="0" quotePrefix="1" applyFill="1"/>
    <xf numFmtId="3" fontId="0" fillId="0" borderId="0" xfId="0" applyNumberFormat="1"/>
    <xf numFmtId="0" fontId="0" fillId="0" borderId="0" xfId="0" quotePrefix="1"/>
    <xf numFmtId="0" fontId="2" fillId="0" borderId="0" xfId="2" applyAlignment="1">
      <alignment wrapText="1"/>
    </xf>
    <xf numFmtId="0" fontId="7" fillId="0" borderId="0" xfId="0" applyFont="1"/>
    <xf numFmtId="0" fontId="2" fillId="3" borderId="0" xfId="2" applyFill="1" applyAlignment="1">
      <alignment wrapText="1"/>
    </xf>
    <xf numFmtId="164" fontId="0" fillId="3" borderId="0" xfId="0" applyNumberFormat="1" applyFill="1"/>
    <xf numFmtId="164" fontId="0" fillId="0" borderId="0" xfId="0" applyNumberFormat="1"/>
    <xf numFmtId="0" fontId="8" fillId="3" borderId="0" xfId="0" applyFont="1" applyFill="1"/>
    <xf numFmtId="0" fontId="5" fillId="3" borderId="0" xfId="0" applyFont="1" applyFill="1"/>
    <xf numFmtId="0" fontId="5" fillId="0" borderId="0" xfId="0" applyFont="1"/>
    <xf numFmtId="165" fontId="4" fillId="3" borderId="0" xfId="0" applyNumberFormat="1" applyFont="1" applyFill="1"/>
    <xf numFmtId="0" fontId="5" fillId="2" borderId="0" xfId="1" applyFont="1"/>
    <xf numFmtId="164" fontId="1" fillId="2" borderId="0" xfId="1" applyNumberFormat="1"/>
    <xf numFmtId="0" fontId="6" fillId="0" borderId="0" xfId="0" applyFont="1"/>
    <xf numFmtId="164" fontId="6" fillId="0" borderId="0" xfId="0" applyNumberFormat="1" applyFont="1"/>
    <xf numFmtId="0" fontId="6" fillId="0" borderId="0" xfId="0" applyFont="1" applyAlignment="1">
      <alignment wrapText="1"/>
    </xf>
    <xf numFmtId="14" fontId="9" fillId="0" borderId="0" xfId="0" applyNumberFormat="1" applyFont="1"/>
    <xf numFmtId="0" fontId="10" fillId="0" borderId="0" xfId="0" applyFont="1"/>
    <xf numFmtId="0" fontId="11" fillId="0" borderId="0" xfId="0" applyFont="1"/>
    <xf numFmtId="1" fontId="0" fillId="0" borderId="0" xfId="0" applyNumberFormat="1"/>
    <xf numFmtId="0" fontId="13" fillId="0" borderId="0" xfId="0" applyFont="1"/>
    <xf numFmtId="2" fontId="0" fillId="3" borderId="0" xfId="0" applyNumberFormat="1" applyFill="1"/>
    <xf numFmtId="166" fontId="0" fillId="0" borderId="0" xfId="0" applyNumberFormat="1"/>
    <xf numFmtId="166" fontId="0" fillId="3" borderId="0" xfId="0" applyNumberFormat="1" applyFill="1"/>
    <xf numFmtId="3" fontId="14" fillId="0" borderId="1" xfId="0" applyNumberFormat="1" applyFont="1" applyBorder="1"/>
    <xf numFmtId="3" fontId="14" fillId="0" borderId="1" xfId="0" applyNumberFormat="1" applyFont="1" applyBorder="1" applyAlignment="1">
      <alignment horizontal="right" vertical="justify"/>
    </xf>
    <xf numFmtId="2" fontId="0" fillId="0" borderId="0" xfId="0" applyNumberFormat="1"/>
    <xf numFmtId="167" fontId="0" fillId="0" borderId="0" xfId="0" applyNumberFormat="1" applyAlignment="1">
      <alignment horizontal="right"/>
    </xf>
    <xf numFmtId="0" fontId="0" fillId="4" borderId="0" xfId="0" quotePrefix="1" applyFill="1"/>
    <xf numFmtId="0" fontId="0" fillId="5" borderId="0" xfId="0" quotePrefix="1" applyFill="1"/>
    <xf numFmtId="0" fontId="0" fillId="4" borderId="0" xfId="0" applyFill="1"/>
    <xf numFmtId="0" fontId="0" fillId="0" borderId="0" xfId="0" quotePrefix="1" applyAlignment="1">
      <alignment wrapText="1"/>
    </xf>
    <xf numFmtId="164" fontId="0" fillId="3" borderId="0" xfId="0" applyNumberFormat="1" applyFill="1" applyAlignment="1">
      <alignment wrapText="1"/>
    </xf>
    <xf numFmtId="0" fontId="0" fillId="3" borderId="0" xfId="0" quotePrefix="1" applyFill="1" applyAlignment="1">
      <alignment wrapText="1"/>
    </xf>
  </cellXfs>
  <cellStyles count="3">
    <cellStyle name="Hyperlink" xfId="2" builtinId="8"/>
    <cellStyle name="Neutral" xfId="1" builtinId="28"/>
    <cellStyle name="Normal" xfId="0" builtinId="0"/>
  </cellStyles>
  <dxfs count="43">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numFmt numFmtId="164" formatCode="\Te"/>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thin">
          <color theme="1"/>
        </bottom>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Mean total</c:v>
          </c:tx>
          <c:spPr>
            <a:ln w="28575" cap="rnd">
              <a:solidFill>
                <a:schemeClr val="accent1"/>
              </a:solidFill>
              <a:round/>
            </a:ln>
            <a:effectLst/>
          </c:spPr>
          <c:marker>
            <c:symbol val="none"/>
          </c:marker>
          <c:val>
            <c:numLit>
              <c:formatCode>General</c:formatCode>
              <c:ptCount val="32"/>
              <c:pt idx="0">
                <c:v>141.9</c:v>
              </c:pt>
              <c:pt idx="1">
                <c:v>148.30000000000001</c:v>
              </c:pt>
              <c:pt idx="2">
                <c:v>148.5</c:v>
              </c:pt>
              <c:pt idx="3">
                <c:v>151.92500000000001</c:v>
              </c:pt>
              <c:pt idx="4">
                <c:v>162.82</c:v>
              </c:pt>
              <c:pt idx="5">
                <c:v>158.30000000000001</c:v>
              </c:pt>
              <c:pt idx="6">
                <c:v>169.2428571428571</c:v>
              </c:pt>
              <c:pt idx="7">
                <c:v>193.83500000000001</c:v>
              </c:pt>
              <c:pt idx="8">
                <c:v>179.92222222222222</c:v>
              </c:pt>
              <c:pt idx="9">
                <c:v>180.43</c:v>
              </c:pt>
              <c:pt idx="10">
                <c:v>183.39000000000001</c:v>
              </c:pt>
              <c:pt idx="11">
                <c:v>188.94</c:v>
              </c:pt>
              <c:pt idx="12">
                <c:v>188.07</c:v>
              </c:pt>
              <c:pt idx="13">
                <c:v>188.48000000000002</c:v>
              </c:pt>
              <c:pt idx="14">
                <c:v>194.05</c:v>
              </c:pt>
              <c:pt idx="15">
                <c:v>198.76999999999998</c:v>
              </c:pt>
              <c:pt idx="16">
                <c:v>196.53000000000003</c:v>
              </c:pt>
              <c:pt idx="17">
                <c:v>195.38000000000002</c:v>
              </c:pt>
              <c:pt idx="18">
                <c:v>195.73</c:v>
              </c:pt>
              <c:pt idx="19">
                <c:v>225.97777777777779</c:v>
              </c:pt>
              <c:pt idx="20">
                <c:v>256.87777777777779</c:v>
              </c:pt>
              <c:pt idx="21">
                <c:v>245.65555555555551</c:v>
              </c:pt>
              <c:pt idx="22">
                <c:v>190.61111111111111</c:v>
              </c:pt>
              <c:pt idx="23">
                <c:v>168.26249999999999</c:v>
              </c:pt>
              <c:pt idx="24">
                <c:v>151.25714285714284</c:v>
              </c:pt>
              <c:pt idx="25">
                <c:v>151</c:v>
              </c:pt>
              <c:pt idx="26">
                <c:v>154.91999999999999</c:v>
              </c:pt>
              <c:pt idx="27">
                <c:v>158.85</c:v>
              </c:pt>
              <c:pt idx="28">
                <c:v>162.69999999999999</c:v>
              </c:pt>
              <c:pt idx="29">
                <c:v>171.23333333333335</c:v>
              </c:pt>
              <c:pt idx="30">
                <c:v>184.6</c:v>
              </c:pt>
              <c:pt idx="31">
                <c:v>180.5</c:v>
              </c:pt>
            </c:numLit>
          </c:val>
          <c:smooth val="0"/>
          <c:extLst>
            <c:ext xmlns:c16="http://schemas.microsoft.com/office/drawing/2014/chart" uri="{C3380CC4-5D6E-409C-BE32-E72D297353CC}">
              <c16:uniqueId val="{00000000-7348-C64D-9341-5088CE44A817}"/>
            </c:ext>
          </c:extLst>
        </c:ser>
        <c:ser>
          <c:idx val="1"/>
          <c:order val="1"/>
          <c:tx>
            <c:v>Max total</c:v>
          </c:tx>
          <c:spPr>
            <a:ln w="28575" cap="rnd">
              <a:solidFill>
                <a:schemeClr val="accent2"/>
              </a:solidFill>
              <a:round/>
            </a:ln>
            <a:effectLst/>
          </c:spPr>
          <c:marker>
            <c:symbol val="none"/>
          </c:marker>
          <c:val>
            <c:numLit>
              <c:formatCode>General</c:formatCode>
              <c:ptCount val="32"/>
              <c:pt idx="0">
                <c:v>141.9</c:v>
              </c:pt>
              <c:pt idx="1">
                <c:v>148.30000000000001</c:v>
              </c:pt>
              <c:pt idx="2">
                <c:v>148.5</c:v>
              </c:pt>
              <c:pt idx="3">
                <c:v>152</c:v>
              </c:pt>
              <c:pt idx="4">
                <c:v>162.9</c:v>
              </c:pt>
              <c:pt idx="5">
                <c:v>158.4</c:v>
              </c:pt>
              <c:pt idx="6">
                <c:v>169.3</c:v>
              </c:pt>
              <c:pt idx="7">
                <c:v>193.98</c:v>
              </c:pt>
              <c:pt idx="8">
                <c:v>181.6</c:v>
              </c:pt>
              <c:pt idx="9">
                <c:v>180.8</c:v>
              </c:pt>
              <c:pt idx="10">
                <c:v>189</c:v>
              </c:pt>
              <c:pt idx="11">
                <c:v>197.3</c:v>
              </c:pt>
              <c:pt idx="12">
                <c:v>196</c:v>
              </c:pt>
              <c:pt idx="13">
                <c:v>198.7</c:v>
              </c:pt>
              <c:pt idx="14">
                <c:v>203.4</c:v>
              </c:pt>
              <c:pt idx="15">
                <c:v>207.1</c:v>
              </c:pt>
              <c:pt idx="16">
                <c:v>204.2</c:v>
              </c:pt>
              <c:pt idx="17">
                <c:v>202</c:v>
              </c:pt>
              <c:pt idx="18">
                <c:v>201.2</c:v>
              </c:pt>
              <c:pt idx="19">
                <c:v>228.8</c:v>
              </c:pt>
              <c:pt idx="20">
                <c:v>261.5</c:v>
              </c:pt>
              <c:pt idx="21">
                <c:v>255.5</c:v>
              </c:pt>
              <c:pt idx="22">
                <c:v>192.7</c:v>
              </c:pt>
              <c:pt idx="23">
                <c:v>175</c:v>
              </c:pt>
              <c:pt idx="24">
                <c:v>166.5</c:v>
              </c:pt>
              <c:pt idx="25">
                <c:v>164.5</c:v>
              </c:pt>
              <c:pt idx="26">
                <c:v>167.8</c:v>
              </c:pt>
              <c:pt idx="27">
                <c:v>167.8</c:v>
              </c:pt>
              <c:pt idx="28">
                <c:v>170.5</c:v>
              </c:pt>
              <c:pt idx="29">
                <c:v>182.1</c:v>
              </c:pt>
              <c:pt idx="30">
                <c:v>196.2</c:v>
              </c:pt>
              <c:pt idx="31">
                <c:v>180.5</c:v>
              </c:pt>
            </c:numLit>
          </c:val>
          <c:smooth val="0"/>
          <c:extLst>
            <c:ext xmlns:c16="http://schemas.microsoft.com/office/drawing/2014/chart" uri="{C3380CC4-5D6E-409C-BE32-E72D297353CC}">
              <c16:uniqueId val="{00000001-7348-C64D-9341-5088CE44A817}"/>
            </c:ext>
          </c:extLst>
        </c:ser>
        <c:dLbls>
          <c:showLegendKey val="0"/>
          <c:showVal val="0"/>
          <c:showCatName val="0"/>
          <c:showSerName val="0"/>
          <c:showPercent val="0"/>
          <c:showBubbleSize val="0"/>
        </c:dLbls>
        <c:smooth val="0"/>
        <c:axId val="662318752"/>
        <c:axId val="662047088"/>
      </c:lineChart>
      <c:catAx>
        <c:axId val="66231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047088"/>
        <c:crosses val="autoZero"/>
        <c:auto val="1"/>
        <c:lblAlgn val="ctr"/>
        <c:lblOffset val="100"/>
        <c:noMultiLvlLbl val="0"/>
      </c:catAx>
      <c:valAx>
        <c:axId val="662047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318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16</xdr:col>
      <xdr:colOff>0</xdr:colOff>
      <xdr:row>86</xdr:row>
      <xdr:rowOff>0</xdr:rowOff>
    </xdr:from>
    <xdr:to>
      <xdr:col>22</xdr:col>
      <xdr:colOff>533400</xdr:colOff>
      <xdr:row>100</xdr:row>
      <xdr:rowOff>76200</xdr:rowOff>
    </xdr:to>
    <xdr:graphicFrame macro="">
      <xdr:nvGraphicFramePr>
        <xdr:cNvPr id="3" name="Chart 2">
          <a:extLst>
            <a:ext uri="{FF2B5EF4-FFF2-40B4-BE49-F238E27FC236}">
              <a16:creationId xmlns:a16="http://schemas.microsoft.com/office/drawing/2014/main" id="{6296167A-4490-CE4F-A274-5315865BF1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ryter/Dropbox%20(MIT)/Group%20Research%20Folder_Olivetti/Displacement/08%20Generalization/Mining/SNL/estimated_productio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snloffice"/>
      <sheetName val="Input"/>
      <sheetName val="Property_list"/>
      <sheetName val="Top_producers"/>
      <sheetName val="___snlqueryparms"/>
      <sheetName val="Country_Region_data"/>
      <sheetName val="Time_series"/>
      <sheetName val="Property_owner_view"/>
      <sheetName val="___snlqueryparms2"/>
      <sheetName val="Intermedi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6">
          <cell r="A6">
            <v>856</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92E5DA3-703D-0047-BF49-56E3494702E7}" name="Table2" displayName="Table2" ref="A1:AN79" totalsRowShown="0" headerRowDxfId="42" dataDxfId="41" tableBorderDxfId="40">
  <autoFilter ref="A1:AN79" xr:uid="{B92E5DA3-703D-0047-BF49-56E3494702E7}"/>
  <tableColumns count="40">
    <tableColumn id="1" xr3:uid="{40ADE3C0-5A2A-EF4F-8C0A-E78782D82E02}" name="Variable name in the Python model. All reported for 2019 where available or most recent year. " dataDxfId="39"/>
    <tableColumn id="38" xr3:uid="{F1CC51E3-9D58-CB4E-B592-23659F5AD648}" name="Description" dataDxfId="38"/>
    <tableColumn id="2" xr3:uid="{615A6B59-EBEC-C844-A1FB-87796630DC11}" name="Al" dataDxfId="37"/>
    <tableColumn id="3" xr3:uid="{8BEB2A1A-6045-C140-997C-34C452B1D3D0}" name="Steel" dataDxfId="36"/>
    <tableColumn id="4" xr3:uid="{5C86A66D-6EE9-B146-B55C-D8757F17B037}" name="Au" dataDxfId="35"/>
    <tableColumn id="5" xr3:uid="{A6078A25-9A0C-A64B-9EE1-BA43315A365F}" name="Co" dataDxfId="34"/>
    <tableColumn id="6" xr3:uid="{E0CEDA03-DC55-3B44-A7E5-0053003CDB10}" name="REEs" dataDxfId="33"/>
    <tableColumn id="7" xr3:uid="{5865B79F-C134-2C40-BDEB-BBEAD1CBA704}" name="W" dataDxfId="32"/>
    <tableColumn id="8" xr3:uid="{2C843D4E-B4BF-1B45-83BE-B63E46646133}" name="Sn" dataDxfId="31"/>
    <tableColumn id="9" xr3:uid="{A5579C27-C0E7-FB46-A381-F1A4B88888E9}" name="Ta" dataDxfId="30"/>
    <tableColumn id="10" xr3:uid="{57F0C03A-F849-764C-9937-672AC7FA7056}" name="Cu" dataDxfId="29"/>
    <tableColumn id="11" xr3:uid="{58BB8033-7C57-D848-942D-0BA35942A4E5}" name="Ni" dataDxfId="28"/>
    <tableColumn id="12" xr3:uid="{7D2E504B-DE0F-5048-8A9E-3349B8C91362}" name="Ag" dataDxfId="27"/>
    <tableColumn id="13" xr3:uid="{20ADECBC-5BD7-1F43-B665-1C03CE65BE68}" name="Zn" dataDxfId="26"/>
    <tableColumn id="14" xr3:uid="{F86548EA-FD6C-A542-8346-EE943D12FCEB}" name="Pb" dataDxfId="25"/>
    <tableColumn id="15" xr3:uid="{D9E7B89D-2742-EE4A-A97B-9AA324E90CDA}" name="Mo" dataDxfId="24"/>
    <tableColumn id="16" xr3:uid="{393A35BC-6237-DC47-B65B-B89C8241358C}" name="Pt" dataDxfId="23"/>
    <tableColumn id="17" xr3:uid="{05D2296D-799C-314E-8B01-0CF90882530E}" name="Te" dataDxfId="22"/>
    <tableColumn id="18" xr3:uid="{557B8136-A6CC-1240-B516-243DE5E1D903}" name="Li" dataDxfId="21"/>
    <tableColumn id="39" xr3:uid="{523A77EA-FE5C-7D48-A73A-9DFC1D5873F6}" name="Li2" dataDxfId="20"/>
    <tableColumn id="40" xr3:uid="{E8EA4472-4BAF-F842-971D-55B5841B5E06}" name="Si" dataDxfId="19"/>
    <tableColumn id="19" xr3:uid="{40279C4B-C46A-C043-BFA9-9E1B21916E95}" name="Module" dataDxfId="18"/>
    <tableColumn id="20" xr3:uid="{66B61934-2D32-564F-96D5-09E9629E5D56}" name="Notes" dataDxfId="17"/>
    <tableColumn id="21" xr3:uid="{645E4E69-6F50-804C-881D-880C834B0203}" name="Al notes" dataDxfId="16"/>
    <tableColumn id="22" xr3:uid="{90DD4288-CE4B-6044-A517-09272624FD8D}" name="Steel notes" dataDxfId="15"/>
    <tableColumn id="23" xr3:uid="{147C405E-F3EA-7A4A-B2B2-24BF3CD11D9B}" name="Au notes" dataDxfId="14"/>
    <tableColumn id="24" xr3:uid="{F16BEC0B-1427-144A-8799-B5F379A06D94}" name="Co notes" dataDxfId="13"/>
    <tableColumn id="25" xr3:uid="{DB7EFCEC-6DAF-134B-8C11-E0A0DB189656}" name="REEs notes" dataDxfId="12"/>
    <tableColumn id="26" xr3:uid="{D80FA022-D2D4-7E4F-8FC4-237080C65C3B}" name="W notes" dataDxfId="11"/>
    <tableColumn id="27" xr3:uid="{6F235120-4D08-EA44-8D0E-93E8DA46A412}" name="Sn notes" dataDxfId="10"/>
    <tableColumn id="28" xr3:uid="{E8A3ED14-7138-1747-937A-59AE67C88670}" name="Ta notes" dataDxfId="9"/>
    <tableColumn id="29" xr3:uid="{8414FDCB-8789-3140-BAD7-FF7E6B2D2B2E}" name="Cu notes" dataDxfId="8"/>
    <tableColumn id="30" xr3:uid="{528927B4-EB07-BA42-8453-4372AA6AA6F7}" name="Ni notes" dataDxfId="7"/>
    <tableColumn id="31" xr3:uid="{00A41D60-8D5D-4F46-AEA2-F8B47E88F804}" name="Ag notes" dataDxfId="6"/>
    <tableColumn id="32" xr3:uid="{CEFD473E-CB57-2D4E-AC03-EF8A9102460F}" name="Zn notes" dataDxfId="5"/>
    <tableColumn id="33" xr3:uid="{B9002D23-6D76-254D-AD25-D4D170F9ED6C}" name="Pb notes" dataDxfId="4"/>
    <tableColumn id="34" xr3:uid="{DBC52FBD-93CC-ED4B-9723-C7D95A6F9AAC}" name="Mo notes" dataDxfId="3"/>
    <tableColumn id="35" xr3:uid="{C7BCB0B4-C007-984B-B50C-A9B456069155}" name="Pt notes" dataDxfId="2"/>
    <tableColumn id="36" xr3:uid="{DE757BB8-09AD-9C43-9442-34299E449C4B}" name="Li notes" dataDxfId="1"/>
    <tableColumn id="37" xr3:uid="{5CC38546-ED90-B24C-83FB-87EE19E5E686}" name="Te note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sciencedirect.com/science/article/pii/S0048969718312373" TargetMode="External"/><Relationship Id="rId21" Type="http://schemas.openxmlformats.org/officeDocument/2006/relationships/hyperlink" Target="https://www.sprott.com/media/2268/world-silver-survey-2019.pdf,%20using%20this%20sector%20as%20industrial;%20renamed%20as%20per%20gold" TargetMode="External"/><Relationship Id="rId42"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47" Type="http://schemas.openxmlformats.org/officeDocument/2006/relationships/hyperlink" Target="https://www.sciencedirect.com/science/article/pii/S0921344916300064,%20table%201%20,%20The%20anthropogenic%20cycle%20of%20zinc:%20Status%20quo%20and%20perspectives,%20Meylan%202017" TargetMode="External"/><Relationship Id="rId63" Type="http://schemas.openxmlformats.org/officeDocument/2006/relationships/hyperlink" Target="https://ar2019.nornickel.com/pdf/ar/en/commodity-market-overview_platinum.pdf" TargetMode="External"/><Relationship Id="rId68" Type="http://schemas.openxmlformats.org/officeDocument/2006/relationships/hyperlink" Target="https://platinuminvestment.com/supply-and-demand/historic-data" TargetMode="External"/><Relationship Id="rId7" Type="http://schemas.openxmlformats.org/officeDocument/2006/relationships/hyperlink" Target="https://www.statista.com/statistics/1009446/tungsten-price/" TargetMode="External"/><Relationship Id="rId2" Type="http://schemas.openxmlformats.org/officeDocument/2006/relationships/hyperlink" Target="https://www.sciencedirect.com/topics/social-sciences/tungsten" TargetMode="External"/><Relationship Id="rId16" Type="http://schemas.openxmlformats.org/officeDocument/2006/relationships/hyperlink" Target="https://min-eng.com/pdf/sxew.pdf" TargetMode="External"/><Relationship Id="rId29" Type="http://schemas.openxmlformats.org/officeDocument/2006/relationships/hyperlink" Target="https://www.essentialchemicalindustry.org/metals/lead.html,%20where%20batteries%20are%20primarily%20used%20in%20transportation,%20we%20assume%20compounds%20are%20industrial,%20no%20electrical%20use,%20building%20industry%20is%20construction,%20and%20all%20the%20rest%20is%20other" TargetMode="External"/><Relationship Id="rId11" Type="http://schemas.openxmlformats.org/officeDocument/2006/relationships/hyperlink" Target="https://www.argusmedia.com/en/news/2222244-eu-tantalum-prices-rebound-on-higher-input-costs" TargetMode="External"/><Relationship Id="rId24" Type="http://schemas.openxmlformats.org/officeDocument/2006/relationships/hyperlink" Target="https://www.sciencedirect.com/science/article/pii/S0048969718312373" TargetMode="External"/><Relationship Id="rId32" Type="http://schemas.openxmlformats.org/officeDocument/2006/relationships/hyperlink" Target="https://www.sciencedirect.com/science/article/pii/S0921344917301817,%20table%202" TargetMode="External"/><Relationship Id="rId37" Type="http://schemas.openxmlformats.org/officeDocument/2006/relationships/hyperlink" Target="https://www.sciencedirect.com/science/article/pii/S0921344917301817,%20table%202" TargetMode="External"/><Relationship Id="rId40" Type="http://schemas.openxmlformats.org/officeDocument/2006/relationships/hyperlink" Target="https://www.sciencedirect.com/science/article/pii/S0921344917301817,%20table%202" TargetMode="External"/><Relationship Id="rId45"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53" Type="http://schemas.openxmlformats.org/officeDocument/2006/relationships/hyperlink" Target="https://www.electronicsweekly.com/news/now-alternative-solid-tantalum-capacitors-2017-03/" TargetMode="External"/><Relationship Id="rId58" Type="http://schemas.openxmlformats.org/officeDocument/2006/relationships/hyperlink" Target="https://www.sciencedirect.com/science/article/pii/S0921344917301817,%20table%202" TargetMode="External"/><Relationship Id="rId66" Type="http://schemas.openxmlformats.org/officeDocument/2006/relationships/hyperlink" Target="https://ar2019.nornickel.com/pdf/ar/en/commodity-market-overview_platinum.pdf" TargetMode="External"/><Relationship Id="rId5" Type="http://schemas.openxmlformats.org/officeDocument/2006/relationships/hyperlink" Target="https://www.sciencedirect.com/science/article/pii/S0263436821000780" TargetMode="External"/><Relationship Id="rId61" Type="http://schemas.openxmlformats.org/officeDocument/2006/relationships/hyperlink" Target="https://insg.org/wp-content/uploads/2022/02/publist_The-World-Nickel-Factbook-2021.pdf" TargetMode="External"/><Relationship Id="rId19" Type="http://schemas.openxmlformats.org/officeDocument/2006/relationships/hyperlink" Target="https://www.globenewswire.com/news-release/2020/04/22/2020156/0/en/Global-Silver-Demand-Edged-Higher-in-2019-With-Investment-Demand-Up-12-While-Silver-Mine-Supply-Fell-for-the-Fourth-Consecutive-Year.html" TargetMode="External"/><Relationship Id="rId14" Type="http://schemas.openxmlformats.org/officeDocument/2006/relationships/hyperlink" Target="https://www.forbes.com/sites/halahtouryalai/2012/04/02/a-rare-metal-youve-never-heard-of-is-on-a-tear/?sh=51bf93b2290d" TargetMode="External"/><Relationship Id="rId22" Type="http://schemas.openxmlformats.org/officeDocument/2006/relationships/hyperlink" Target="https://www.sciencedirect.com/science/article/pii/S0921344916300064,%20table%201%20,%20The%20anthropogenic%20cycle%20of%20zinc:%20Status%20quo%20and%20perspectives,%20Meylan%202017" TargetMode="External"/><Relationship Id="rId27" Type="http://schemas.openxmlformats.org/officeDocument/2006/relationships/hyperlink" Target="https://www.sciencedirect.com/science/article/pii/S0048969718312373" TargetMode="External"/><Relationship Id="rId30" Type="http://schemas.openxmlformats.org/officeDocument/2006/relationships/hyperlink" Target="https://www.recyclingtoday.com/article/battery-council-international-lead-battery-recycling/" TargetMode="External"/><Relationship Id="rId35" Type="http://schemas.openxmlformats.org/officeDocument/2006/relationships/hyperlink" Target="https://www.sciencedirect.com/science/article/pii/S0921344917301817,%20table%202" TargetMode="External"/><Relationship Id="rId43"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48" Type="http://schemas.openxmlformats.org/officeDocument/2006/relationships/hyperlink" Target="https://countertop.mit.edu:3048/notebooks/SQL/Second%20round%20generalization%20mine%20parameters.ipynb,%20section%20Getting%20all%20the%20values%20to%20check%20with" TargetMode="External"/><Relationship Id="rId56" Type="http://schemas.openxmlformats.org/officeDocument/2006/relationships/hyperlink" Target="https://www.sciencedirect.com/science/article/pii/S0921344917301817,%20table%202" TargetMode="External"/><Relationship Id="rId64" Type="http://schemas.openxmlformats.org/officeDocument/2006/relationships/hyperlink" Target="https://ar2019.nornickel.com/pdf/ar/en/commodity-market-overview_platinum.pdf" TargetMode="External"/><Relationship Id="rId69" Type="http://schemas.openxmlformats.org/officeDocument/2006/relationships/printerSettings" Target="../printerSettings/printerSettings1.bin"/><Relationship Id="rId8" Type="http://schemas.openxmlformats.org/officeDocument/2006/relationships/hyperlink" Target="https://pubs.usgs.gov/periodicals/mcs2020/mcs2020-tin.pdf" TargetMode="External"/><Relationship Id="rId51" Type="http://schemas.openxmlformats.org/officeDocument/2006/relationships/hyperlink" Target="https://www.sciencedirect.com/science/article/pii/S0921344916300064,%20table%201%20,%20The%20anthropogenic%20cycle%20of%20zinc:%20Status%20quo%20and%20perspectives,%20Meylan%202017" TargetMode="External"/><Relationship Id="rId3" Type="http://schemas.openxmlformats.org/officeDocument/2006/relationships/hyperlink" Target="https://www.electronicsweekly.com/news/now-alternative-solid-tantalum-capacitors-2017-03/" TargetMode="External"/><Relationship Id="rId12" Type="http://schemas.openxmlformats.org/officeDocument/2006/relationships/hyperlink" Target="https://www.sciencedirect.com/science/article/pii/S0921344917301556" TargetMode="External"/><Relationship Id="rId17" Type="http://schemas.openxmlformats.org/officeDocument/2006/relationships/hyperlink" Target="https://www.mdpi.com/2079-9276/10/9/93/pdf" TargetMode="External"/><Relationship Id="rId25" Type="http://schemas.openxmlformats.org/officeDocument/2006/relationships/hyperlink" Target="https://www.sciencedirect.com/science/article/pii/S0048969718312373" TargetMode="External"/><Relationship Id="rId33" Type="http://schemas.openxmlformats.org/officeDocument/2006/relationships/hyperlink" Target="https://www.sciencedirect.com/science/article/pii/S0921344917301817,%20table%202" TargetMode="External"/><Relationship Id="rId38" Type="http://schemas.openxmlformats.org/officeDocument/2006/relationships/hyperlink" Target="https://www.sciencedirect.com/science/article/pii/S0921344917301817,%20table%202" TargetMode="External"/><Relationship Id="rId46"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59" Type="http://schemas.openxmlformats.org/officeDocument/2006/relationships/hyperlink" Target="https://www.sciencedirect.com/science/article/pii/S0921344917301817,%20table%202" TargetMode="External"/><Relationship Id="rId67" Type="http://schemas.openxmlformats.org/officeDocument/2006/relationships/hyperlink" Target="https://platinuminvestment.com/about/60-seconds-in-platinum/2020/06/24" TargetMode="External"/><Relationship Id="rId20" Type="http://schemas.openxmlformats.org/officeDocument/2006/relationships/hyperlink" Target="https://www.statista.com/statistics/1131647/china-refined-lead-consumption-volume/,%205.08/12.162" TargetMode="External"/><Relationship Id="rId41" Type="http://schemas.openxmlformats.org/officeDocument/2006/relationships/hyperlink" Target="https://www.sciencedirect.com/science/article/pii/S0921344917301817,%20table%202" TargetMode="External"/><Relationship Id="rId54" Type="http://schemas.openxmlformats.org/officeDocument/2006/relationships/hyperlink" Target="https://www.mdpi.com/2079-9276/10/9/93/pdf" TargetMode="External"/><Relationship Id="rId62" Type="http://schemas.openxmlformats.org/officeDocument/2006/relationships/hyperlink" Target="https://ar2019.nornickel.com/pdf/ar/en/commodity-market-overview_platinum.pdf" TargetMode="External"/><Relationship Id="rId70" Type="http://schemas.openxmlformats.org/officeDocument/2006/relationships/table" Target="../tables/table1.xml"/><Relationship Id="rId1" Type="http://schemas.openxmlformats.org/officeDocument/2006/relationships/hyperlink" Target="https://www.internationaltin.org/wp-content/uploads/2020/02/Global-Resources-Reserves-2020-Update.pdf" TargetMode="External"/><Relationship Id="rId6" Type="http://schemas.openxmlformats.org/officeDocument/2006/relationships/hyperlink" Target="https://pubs.usgs.gov/periodicals/mcs2021/mcs2021-tungsten.pdf" TargetMode="External"/><Relationship Id="rId15" Type="http://schemas.openxmlformats.org/officeDocument/2006/relationships/hyperlink" Target="https://www.scrapmonster.com/scrap-yard/price/lead-scrap/5%20%20%20%20%20%20/0.39%20dollars%20per%20pound" TargetMode="External"/><Relationship Id="rId23" Type="http://schemas.openxmlformats.org/officeDocument/2006/relationships/hyperlink" Target="https://www.sciencedirect.com/science/article/pii/S0921344917301817" TargetMode="External"/><Relationship Id="rId28" Type="http://schemas.openxmlformats.org/officeDocument/2006/relationships/hyperlink" Target="https://www.sciencedirect.com/science/article/pii/S0048969718312373" TargetMode="External"/><Relationship Id="rId36" Type="http://schemas.openxmlformats.org/officeDocument/2006/relationships/hyperlink" Target="https://www.sciencedirect.com/science/article/pii/S0921344917301817,%20table%202" TargetMode="External"/><Relationship Id="rId49" Type="http://schemas.openxmlformats.org/officeDocument/2006/relationships/hyperlink" Target="https://www.sciencedirect.com/science/article/pii/S0921344916300064,%20table%201%20,%20The%20anthropogenic%20cycle%20of%20zinc:%20Status%20quo%20and%20perspectives,%20Meylan%202017" TargetMode="External"/><Relationship Id="rId57" Type="http://schemas.openxmlformats.org/officeDocument/2006/relationships/hyperlink" Target="https://www.sciencedirect.com/science/article/pii/S0921344917301817,%20table%202" TargetMode="External"/><Relationship Id="rId10" Type="http://schemas.openxmlformats.org/officeDocument/2006/relationships/hyperlink" Target="https://www.argusmedia.com/en/news/2222244-eu-tantalum-prices-rebound-on-higher-input-costs,%20reported%20135%20USD/lb" TargetMode="External"/><Relationship Id="rId31" Type="http://schemas.openxmlformats.org/officeDocument/2006/relationships/hyperlink" Target="https://www.sciencedirect.com/science/article/pii/S0921344916300064,%20table%201%20,%20The%20anthropogenic%20cycle%20of%20zinc:%20Status%20quo%20and%20perspectives,%20Meylan%202017" TargetMode="External"/><Relationship Id="rId44"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52" Type="http://schemas.openxmlformats.org/officeDocument/2006/relationships/hyperlink" Target="https://www.sciencedirect.com/topics/social-sciences/tungsten" TargetMode="External"/><Relationship Id="rId60" Type="http://schemas.openxmlformats.org/officeDocument/2006/relationships/hyperlink" Target="https://insg.org/wp-content/uploads/2022/02/publist_The-World-Nickel-Factbook-2021.pdf" TargetMode="External"/><Relationship Id="rId65" Type="http://schemas.openxmlformats.org/officeDocument/2006/relationships/hyperlink" Target="https://ar2019.nornickel.com/pdf/ar/en/commodity-market-overview_platinum.pdf" TargetMode="External"/><Relationship Id="rId4" Type="http://schemas.openxmlformats.org/officeDocument/2006/relationships/hyperlink" Target="https://www.sciencedirect.com/science/article/pii/S0263436821000780" TargetMode="External"/><Relationship Id="rId9" Type="http://schemas.openxmlformats.org/officeDocument/2006/relationships/hyperlink" Target="https://pubs.usgs.gov/periodicals/mcs2021/mcs2021-tantalum.pdf" TargetMode="External"/><Relationship Id="rId13" Type="http://schemas.openxmlformats.org/officeDocument/2006/relationships/hyperlink" Target="https://www.sciencedirect.com/science/article/pii/S0921344917301556" TargetMode="External"/><Relationship Id="rId18" Type="http://schemas.openxmlformats.org/officeDocument/2006/relationships/hyperlink" Target="https://www.copper.org/publications/newsletters/innovations/2001/08/hydrometallurgy.html" TargetMode="External"/><Relationship Id="rId39" Type="http://schemas.openxmlformats.org/officeDocument/2006/relationships/hyperlink" Target="https://www.sciencedirect.com/science/article/pii/S0921344917301817,%20table%202" TargetMode="External"/><Relationship Id="rId34" Type="http://schemas.openxmlformats.org/officeDocument/2006/relationships/hyperlink" Target="https://www.sciencedirect.com/science/article/pii/S0921344917301817,%20table%202" TargetMode="External"/><Relationship Id="rId50" Type="http://schemas.openxmlformats.org/officeDocument/2006/relationships/hyperlink" Target="https://www.sciencedirect.com/science/article/pii/S0921344916300064,%20table%201%20,%20The%20anthropogenic%20cycle%20of%20zinc:%20Status%20quo%20and%20perspectives,%20Meylan%202017" TargetMode="External"/><Relationship Id="rId55" Type="http://schemas.openxmlformats.org/officeDocument/2006/relationships/hyperlink" Target="https://www.sciencedirect.com/science/article/pii/S0921344917301817,%20table%202"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3" Type="http://schemas.openxmlformats.org/officeDocument/2006/relationships/hyperlink" Target="https://platinuminvestment.com/supply-and-demand/historic-data" TargetMode="External"/><Relationship Id="rId2" Type="http://schemas.openxmlformats.org/officeDocument/2006/relationships/hyperlink" Target="https://platinuminvestment.com/supply-and-demand/historic-data" TargetMode="External"/><Relationship Id="rId1" Type="http://schemas.openxmlformats.org/officeDocument/2006/relationships/hyperlink" Target="https://platinuminvestment.com/supply-and-demand/historic-dat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steelconstruction.info/Recycling_and_reuse%20(they%20cite%20worldsteel)" TargetMode="External"/><Relationship Id="rId2" Type="http://schemas.openxmlformats.org/officeDocument/2006/relationships/hyperlink" Target="https://worldsteel.org/wp-content/uploads/2020-World-Steel-in-Figures.pdf" TargetMode="External"/><Relationship Id="rId1" Type="http://schemas.openxmlformats.org/officeDocument/2006/relationships/hyperlink" Target="https://worldsteel.org/wp-content/uploads/2020-World-Steel-in-Figures.pdf"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s://www.usgs.gov/media/files/tungsten-historical-statistics-data-series-140,%20using%200.793%20W%20fraction%20of%20WO3%20to%20convert%20from%20W%20content%20to%20WO3"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2.bgs.ac.uk/mineralsuk/statistics/wms.cfc?method=searchWMS" TargetMode="External"/><Relationship Id="rId2" Type="http://schemas.openxmlformats.org/officeDocument/2006/relationships/hyperlink" Target="https://insg.org/wp-content/uploads/2022/02/publist_The-World-Nickel-Factbook-2021.pdf" TargetMode="External"/><Relationship Id="rId1" Type="http://schemas.openxmlformats.org/officeDocument/2006/relationships/hyperlink" Target="https://insg.org/wp-content/uploads/2022/02/publist_The-World-Nickel-Factbook-202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EEA05-303F-4351-9872-7B8EAAB6CD92}">
  <dimension ref="A1:AN79"/>
  <sheetViews>
    <sheetView tabSelected="1" zoomScale="114" workbookViewId="0">
      <pane ySplit="1" topLeftCell="A3" activePane="bottomLeft" state="frozen"/>
      <selection pane="bottomLeft" activeCell="E15" sqref="E15"/>
    </sheetView>
  </sheetViews>
  <sheetFormatPr baseColWidth="10" defaultColWidth="8.83203125" defaultRowHeight="15"/>
  <cols>
    <col min="1" max="1" width="47.1640625" bestFit="1" customWidth="1"/>
    <col min="2" max="2" width="47.1640625" customWidth="1"/>
    <col min="3" max="18" width="8.83203125" customWidth="1"/>
    <col min="19" max="21" width="12.33203125" customWidth="1"/>
    <col min="22" max="22" width="9.6640625" customWidth="1"/>
    <col min="23" max="23" width="8.83203125" customWidth="1"/>
    <col min="24" max="24" width="9.83203125" customWidth="1"/>
    <col min="25" max="25" width="12.1640625" customWidth="1"/>
    <col min="26" max="26" width="10.33203125" customWidth="1"/>
    <col min="27" max="27" width="10.1640625" customWidth="1"/>
    <col min="28" max="28" width="11.5" customWidth="1"/>
    <col min="29" max="29" width="9.83203125" customWidth="1"/>
    <col min="30" max="30" width="10" customWidth="1"/>
    <col min="31" max="31" width="9.83203125" customWidth="1"/>
    <col min="32" max="32" width="10.1640625" customWidth="1"/>
    <col min="33" max="33" width="9.83203125" customWidth="1"/>
    <col min="34" max="34" width="10.1640625" customWidth="1"/>
    <col min="35" max="35" width="10" customWidth="1"/>
    <col min="36" max="36" width="10.1640625" customWidth="1"/>
    <col min="37" max="37" width="10.83203125" customWidth="1"/>
    <col min="38" max="38" width="9.83203125" customWidth="1"/>
    <col min="39" max="39" width="9.5" customWidth="1"/>
    <col min="40" max="40" width="10" customWidth="1"/>
  </cols>
  <sheetData>
    <row r="1" spans="1:40" s="28" customFormat="1" ht="34" customHeight="1">
      <c r="A1" s="28" t="s">
        <v>406</v>
      </c>
      <c r="B1" s="28" t="s">
        <v>355</v>
      </c>
      <c r="C1" s="28" t="s">
        <v>0</v>
      </c>
      <c r="D1" s="28" t="s">
        <v>1</v>
      </c>
      <c r="E1" s="28" t="s">
        <v>2</v>
      </c>
      <c r="F1" s="28" t="s">
        <v>3</v>
      </c>
      <c r="G1" s="28" t="s">
        <v>4</v>
      </c>
      <c r="H1" s="28" t="s">
        <v>5</v>
      </c>
      <c r="I1" s="28" t="s">
        <v>6</v>
      </c>
      <c r="J1" s="28" t="s">
        <v>7</v>
      </c>
      <c r="K1" s="28" t="s">
        <v>8</v>
      </c>
      <c r="L1" s="28" t="s">
        <v>112</v>
      </c>
      <c r="M1" s="28" t="s">
        <v>114</v>
      </c>
      <c r="N1" s="28" t="s">
        <v>115</v>
      </c>
      <c r="O1" s="28" t="s">
        <v>113</v>
      </c>
      <c r="P1" s="28" t="s">
        <v>121</v>
      </c>
      <c r="Q1" s="28" t="s">
        <v>94</v>
      </c>
      <c r="R1" s="29" t="s">
        <v>297</v>
      </c>
      <c r="S1" s="28" t="s">
        <v>95</v>
      </c>
      <c r="T1" s="28" t="s">
        <v>445</v>
      </c>
      <c r="U1" s="28" t="s">
        <v>455</v>
      </c>
      <c r="V1" s="28" t="s">
        <v>23</v>
      </c>
      <c r="W1" s="30" t="s">
        <v>12</v>
      </c>
      <c r="X1" s="28" t="s">
        <v>79</v>
      </c>
      <c r="Y1" s="28" t="s">
        <v>80</v>
      </c>
      <c r="Z1" s="28" t="s">
        <v>81</v>
      </c>
      <c r="AA1" s="28" t="s">
        <v>82</v>
      </c>
      <c r="AB1" s="28" t="s">
        <v>83</v>
      </c>
      <c r="AC1" s="28" t="s">
        <v>84</v>
      </c>
      <c r="AD1" s="28" t="s">
        <v>85</v>
      </c>
      <c r="AE1" s="28" t="s">
        <v>86</v>
      </c>
      <c r="AF1" s="28" t="s">
        <v>87</v>
      </c>
      <c r="AG1" s="28" t="s">
        <v>116</v>
      </c>
      <c r="AH1" s="28" t="s">
        <v>117</v>
      </c>
      <c r="AI1" s="28" t="s">
        <v>118</v>
      </c>
      <c r="AJ1" s="28" t="s">
        <v>119</v>
      </c>
      <c r="AK1" s="28" t="s">
        <v>120</v>
      </c>
      <c r="AL1" s="28" t="s">
        <v>107</v>
      </c>
      <c r="AM1" s="28" t="s">
        <v>108</v>
      </c>
      <c r="AN1" s="28" t="s">
        <v>298</v>
      </c>
    </row>
    <row r="2" spans="1:40" ht="14.5" customHeight="1">
      <c r="A2" s="5" t="s">
        <v>9</v>
      </c>
      <c r="B2" s="5" t="s">
        <v>382</v>
      </c>
      <c r="C2" s="5" t="s">
        <v>10</v>
      </c>
      <c r="D2" s="5" t="s">
        <v>10</v>
      </c>
      <c r="E2" s="5" t="s">
        <v>418</v>
      </c>
      <c r="F2" s="5" t="s">
        <v>417</v>
      </c>
      <c r="G2" s="5" t="s">
        <v>11</v>
      </c>
      <c r="H2" s="5" t="s">
        <v>10</v>
      </c>
      <c r="I2" s="5" t="s">
        <v>10</v>
      </c>
      <c r="J2" s="5" t="s">
        <v>419</v>
      </c>
      <c r="K2" s="5" t="s">
        <v>416</v>
      </c>
      <c r="L2" s="5" t="s">
        <v>10</v>
      </c>
      <c r="M2" s="5" t="s">
        <v>415</v>
      </c>
      <c r="N2" s="5" t="s">
        <v>421</v>
      </c>
      <c r="O2" s="5"/>
      <c r="P2" s="5" t="s">
        <v>414</v>
      </c>
      <c r="Q2" s="5" t="s">
        <v>457</v>
      </c>
      <c r="R2" s="14" t="s">
        <v>420</v>
      </c>
      <c r="S2" s="5" t="s">
        <v>10</v>
      </c>
      <c r="T2" s="14" t="s">
        <v>10</v>
      </c>
      <c r="U2" s="14"/>
      <c r="V2" s="5"/>
      <c r="W2" s="6" t="s">
        <v>13</v>
      </c>
      <c r="X2" s="6"/>
      <c r="Y2" s="6"/>
      <c r="Z2" s="6" t="s">
        <v>422</v>
      </c>
      <c r="AA2" s="6" t="s">
        <v>422</v>
      </c>
      <c r="AB2" s="6"/>
      <c r="AC2" s="6"/>
      <c r="AD2" s="6"/>
      <c r="AE2" s="6" t="s">
        <v>422</v>
      </c>
      <c r="AF2" s="6" t="s">
        <v>422</v>
      </c>
      <c r="AG2" s="6"/>
      <c r="AH2" s="6" t="s">
        <v>422</v>
      </c>
      <c r="AI2" s="6" t="s">
        <v>422</v>
      </c>
      <c r="AJ2" s="6"/>
      <c r="AK2" s="6" t="s">
        <v>422</v>
      </c>
      <c r="AL2" s="6" t="s">
        <v>456</v>
      </c>
      <c r="AM2" s="14"/>
      <c r="AN2" s="6" t="s">
        <v>422</v>
      </c>
    </row>
    <row r="3" spans="1:40" ht="14.5" customHeight="1">
      <c r="A3" t="s">
        <v>17</v>
      </c>
      <c r="B3" t="s">
        <v>358</v>
      </c>
      <c r="C3">
        <v>85768.388145129153</v>
      </c>
      <c r="D3">
        <v>1767000</v>
      </c>
      <c r="E3">
        <v>4.3593999999999999</v>
      </c>
      <c r="H3">
        <v>97.8</v>
      </c>
      <c r="I3">
        <v>371.81700000000001</v>
      </c>
      <c r="J3">
        <v>2.4049999999999998</v>
      </c>
      <c r="K3">
        <v>30046.0829493087</v>
      </c>
      <c r="L3">
        <v>3226.8622280817385</v>
      </c>
      <c r="M3">
        <v>26.704941782475718</v>
      </c>
      <c r="N3">
        <v>17448.642054092597</v>
      </c>
      <c r="O3">
        <v>12244</v>
      </c>
      <c r="P3">
        <v>261.40530000000001</v>
      </c>
      <c r="Q3">
        <v>0.24299999999999999</v>
      </c>
      <c r="R3" s="16">
        <v>0.52</v>
      </c>
      <c r="S3">
        <v>298.08800000000002</v>
      </c>
      <c r="T3" s="43">
        <v>298.08800000000002</v>
      </c>
      <c r="U3" s="43"/>
      <c r="V3" t="s">
        <v>24</v>
      </c>
      <c r="W3" s="7" t="s">
        <v>18</v>
      </c>
      <c r="X3" s="7" t="s">
        <v>162</v>
      </c>
      <c r="Y3" s="7" t="s">
        <v>133</v>
      </c>
      <c r="Z3" s="6" t="s">
        <v>146</v>
      </c>
      <c r="AA3" s="7"/>
      <c r="AB3" s="7"/>
      <c r="AC3" s="17" t="s">
        <v>197</v>
      </c>
      <c r="AD3" s="7" t="s">
        <v>198</v>
      </c>
      <c r="AE3" s="17" t="s">
        <v>199</v>
      </c>
      <c r="AF3" s="7"/>
      <c r="AG3" s="7" t="s">
        <v>200</v>
      </c>
      <c r="AH3" s="17" t="s">
        <v>201</v>
      </c>
      <c r="AI3" s="7" t="s">
        <v>202</v>
      </c>
      <c r="AJ3" s="7" t="s">
        <v>203</v>
      </c>
      <c r="AK3" s="7" t="s">
        <v>204</v>
      </c>
      <c r="AL3" s="17" t="s">
        <v>205</v>
      </c>
      <c r="AM3" s="16"/>
      <c r="AN3" s="7"/>
    </row>
    <row r="4" spans="1:40" ht="14.5" customHeight="1">
      <c r="A4" s="5" t="s">
        <v>19</v>
      </c>
      <c r="B4" s="5" t="s">
        <v>356</v>
      </c>
      <c r="C4" s="5"/>
      <c r="D4" s="5"/>
      <c r="E4" s="5"/>
      <c r="F4" s="5"/>
      <c r="G4" s="5"/>
      <c r="H4" s="5"/>
      <c r="I4" s="5"/>
      <c r="J4" s="5"/>
      <c r="K4" s="5">
        <v>2.5399999999999999E-2</v>
      </c>
      <c r="L4" s="5"/>
      <c r="M4" s="5"/>
      <c r="N4" s="5"/>
      <c r="O4" s="5"/>
      <c r="P4" s="5"/>
      <c r="Q4" s="5"/>
      <c r="R4" s="14">
        <v>1</v>
      </c>
      <c r="S4" s="5"/>
      <c r="T4" s="44"/>
      <c r="U4" s="44"/>
      <c r="V4" s="5" t="s">
        <v>24</v>
      </c>
      <c r="W4" s="6" t="s">
        <v>20</v>
      </c>
      <c r="X4" s="6"/>
      <c r="Y4" s="6"/>
      <c r="Z4" s="6"/>
      <c r="AA4" s="6"/>
      <c r="AB4" s="6"/>
      <c r="AC4" s="6"/>
      <c r="AD4" s="6"/>
      <c r="AE4" s="6"/>
      <c r="AF4" s="6" t="s">
        <v>405</v>
      </c>
      <c r="AG4" s="6"/>
      <c r="AH4" s="6"/>
      <c r="AI4" s="6"/>
      <c r="AJ4" s="6"/>
      <c r="AK4" s="6"/>
      <c r="AL4" s="6"/>
      <c r="AM4" s="14"/>
      <c r="AN4" s="6"/>
    </row>
    <row r="5" spans="1:40" ht="14.5" customHeight="1">
      <c r="A5" t="s">
        <v>22</v>
      </c>
      <c r="B5" t="s">
        <v>357</v>
      </c>
      <c r="C5">
        <v>0.04</v>
      </c>
      <c r="D5">
        <v>3.3765999999999997E-2</v>
      </c>
      <c r="E5">
        <v>1.7332E-2</v>
      </c>
      <c r="H5">
        <v>0.08</v>
      </c>
      <c r="I5">
        <v>0.02</v>
      </c>
      <c r="J5">
        <v>7.2999999999999995E-2</v>
      </c>
      <c r="K5">
        <v>0.03</v>
      </c>
      <c r="L5">
        <v>0.06</v>
      </c>
      <c r="M5">
        <v>2.4E-2</v>
      </c>
      <c r="N5">
        <v>2.8000000000000001E-2</v>
      </c>
      <c r="O5">
        <v>7.4999999999999997E-2</v>
      </c>
      <c r="P5">
        <v>0.05</v>
      </c>
      <c r="Q5">
        <v>1.4999999999999999E-2</v>
      </c>
      <c r="R5" s="16">
        <v>0.08</v>
      </c>
      <c r="T5" s="43">
        <v>0.1</v>
      </c>
      <c r="U5" s="43"/>
      <c r="V5" t="s">
        <v>24</v>
      </c>
      <c r="W5" s="7" t="s">
        <v>21</v>
      </c>
      <c r="X5" s="7" t="s">
        <v>206</v>
      </c>
      <c r="Y5" s="7" t="s">
        <v>132</v>
      </c>
      <c r="Z5" s="7" t="s">
        <v>305</v>
      </c>
      <c r="AA5" s="7"/>
      <c r="AB5" s="7"/>
      <c r="AC5" s="7" t="s">
        <v>207</v>
      </c>
      <c r="AD5" s="17" t="s">
        <v>208</v>
      </c>
      <c r="AE5" s="7" t="s">
        <v>209</v>
      </c>
      <c r="AF5" s="7"/>
      <c r="AG5" s="7" t="s">
        <v>210</v>
      </c>
      <c r="AH5" s="7" t="s">
        <v>211</v>
      </c>
      <c r="AI5" s="35" t="s">
        <v>330</v>
      </c>
      <c r="AJ5" s="7" t="s">
        <v>212</v>
      </c>
      <c r="AK5" s="7" t="s">
        <v>213</v>
      </c>
      <c r="AL5" s="7" t="s">
        <v>214</v>
      </c>
      <c r="AM5" s="46" t="s">
        <v>454</v>
      </c>
      <c r="AN5" s="7"/>
    </row>
    <row r="6" spans="1:40" ht="14.5" customHeight="1">
      <c r="A6" s="5" t="s">
        <v>25</v>
      </c>
      <c r="B6" s="5" t="s">
        <v>359</v>
      </c>
      <c r="C6" s="5">
        <v>0.45100000000000001</v>
      </c>
      <c r="D6" s="5">
        <v>0.51300000000000001</v>
      </c>
      <c r="E6" s="5">
        <v>0.41267999999999999</v>
      </c>
      <c r="F6" s="5"/>
      <c r="G6" s="5"/>
      <c r="H6" s="5">
        <v>0.6</v>
      </c>
      <c r="I6" s="5">
        <v>0.56000000000000005</v>
      </c>
      <c r="J6" s="5"/>
      <c r="K6" s="5">
        <v>0.52644999999999997</v>
      </c>
      <c r="L6" s="5">
        <v>0.53</v>
      </c>
      <c r="M6" s="5">
        <v>0.17499999999999999</v>
      </c>
      <c r="N6" s="5">
        <v>0.48980000000000001</v>
      </c>
      <c r="O6" s="5">
        <f>5.08/12.162</f>
        <v>0.41769445814833084</v>
      </c>
      <c r="P6" s="5">
        <v>0.35589999999999999</v>
      </c>
      <c r="Q6" s="5">
        <v>0.26</v>
      </c>
      <c r="R6" s="14">
        <v>0.625</v>
      </c>
      <c r="S6" s="5">
        <v>0</v>
      </c>
      <c r="T6" s="44">
        <v>0.4</v>
      </c>
      <c r="U6" s="44"/>
      <c r="V6" s="5" t="s">
        <v>24</v>
      </c>
      <c r="W6" s="6"/>
      <c r="X6" s="6" t="s">
        <v>159</v>
      </c>
      <c r="Y6" s="6" t="s">
        <v>131</v>
      </c>
      <c r="Z6" s="6" t="s">
        <v>149</v>
      </c>
      <c r="AA6" s="6"/>
      <c r="AB6" s="6"/>
      <c r="AC6" s="6" t="s">
        <v>215</v>
      </c>
      <c r="AD6" s="6" t="s">
        <v>216</v>
      </c>
      <c r="AE6" s="6" t="s">
        <v>217</v>
      </c>
      <c r="AF6" s="6" t="s">
        <v>78</v>
      </c>
      <c r="AG6" s="6" t="s">
        <v>218</v>
      </c>
      <c r="AH6" s="6" t="s">
        <v>331</v>
      </c>
      <c r="AI6" s="6" t="s">
        <v>219</v>
      </c>
      <c r="AJ6" s="19" t="s">
        <v>320</v>
      </c>
      <c r="AK6" s="6" t="s">
        <v>220</v>
      </c>
      <c r="AL6" s="1" t="s">
        <v>328</v>
      </c>
      <c r="AM6" s="14"/>
      <c r="AN6" s="35" t="s">
        <v>329</v>
      </c>
    </row>
    <row r="7" spans="1:40" ht="14.5" customHeight="1">
      <c r="A7" t="s">
        <v>26</v>
      </c>
      <c r="B7" t="s">
        <v>383</v>
      </c>
      <c r="C7">
        <v>0.251</v>
      </c>
      <c r="D7">
        <v>0.52</v>
      </c>
      <c r="E7" s="10">
        <v>9.9999999999999995E-7</v>
      </c>
      <c r="H7">
        <v>0.65</v>
      </c>
      <c r="I7">
        <f>1-SUM(I8:I11)</f>
        <v>0.19100000000000006</v>
      </c>
      <c r="J7">
        <f>14.5/100</f>
        <v>0.14499999999999999</v>
      </c>
      <c r="K7">
        <v>0.3</v>
      </c>
      <c r="L7" s="5">
        <v>0.17605633802816922</v>
      </c>
      <c r="M7">
        <f>(578.6/1033.5)-0.000001</f>
        <v>0.55984418626028054</v>
      </c>
      <c r="N7">
        <v>0.33</v>
      </c>
      <c r="O7">
        <v>0.05</v>
      </c>
      <c r="P7">
        <v>0.71</v>
      </c>
      <c r="Q7">
        <v>0.06</v>
      </c>
      <c r="R7" s="16">
        <v>0.4</v>
      </c>
      <c r="S7">
        <v>0.14000000000000001</v>
      </c>
      <c r="T7" s="43">
        <v>0.14000000000000001</v>
      </c>
      <c r="U7" s="43"/>
      <c r="V7" t="s">
        <v>24</v>
      </c>
      <c r="W7" s="7"/>
      <c r="X7" s="7" t="s">
        <v>160</v>
      </c>
      <c r="Y7" s="7" t="s">
        <v>131</v>
      </c>
      <c r="Z7" s="7" t="s">
        <v>141</v>
      </c>
      <c r="AA7" s="7"/>
      <c r="AB7" s="7"/>
      <c r="AC7" s="7" t="s">
        <v>221</v>
      </c>
      <c r="AD7" s="1" t="s">
        <v>336</v>
      </c>
      <c r="AE7" s="7" t="s">
        <v>222</v>
      </c>
      <c r="AF7" s="7" t="s">
        <v>78</v>
      </c>
      <c r="AG7" s="1" t="s">
        <v>335</v>
      </c>
      <c r="AH7" s="17" t="s">
        <v>338</v>
      </c>
      <c r="AI7" s="17" t="s">
        <v>334</v>
      </c>
      <c r="AJ7" s="17" t="s">
        <v>339</v>
      </c>
      <c r="AK7" s="7" t="s">
        <v>220</v>
      </c>
      <c r="AL7" s="17" t="s">
        <v>205</v>
      </c>
      <c r="AM7" s="16"/>
      <c r="AN7" s="7" t="s">
        <v>224</v>
      </c>
    </row>
    <row r="8" spans="1:40" ht="14.5" customHeight="1">
      <c r="A8" s="5" t="s">
        <v>27</v>
      </c>
      <c r="B8" t="s">
        <v>384</v>
      </c>
      <c r="C8" s="5">
        <v>0.11899999999999999</v>
      </c>
      <c r="D8" s="5">
        <v>0.03</v>
      </c>
      <c r="E8" s="5">
        <v>0.09</v>
      </c>
      <c r="F8" s="5"/>
      <c r="G8" s="5"/>
      <c r="H8" s="5">
        <v>0.1</v>
      </c>
      <c r="I8">
        <f>(48.3/2+1+5.2/2)/100</f>
        <v>0.27750000000000002</v>
      </c>
      <c r="J8" s="5">
        <v>0.191</v>
      </c>
      <c r="K8" s="5">
        <v>0.24</v>
      </c>
      <c r="L8" s="5">
        <v>0.12103873239436645</v>
      </c>
      <c r="M8" s="11">
        <v>9.9999999999999995E-7</v>
      </c>
      <c r="N8" s="5">
        <v>0.19</v>
      </c>
      <c r="O8" s="11">
        <v>9.9999999999999995E-7</v>
      </c>
      <c r="P8" s="5">
        <v>0.05</v>
      </c>
      <c r="Q8" s="5">
        <v>0.03</v>
      </c>
      <c r="R8" s="14">
        <v>0.15</v>
      </c>
      <c r="S8" s="5">
        <v>0.05</v>
      </c>
      <c r="T8" s="44">
        <v>0.05</v>
      </c>
      <c r="U8" s="44"/>
      <c r="V8" s="5" t="s">
        <v>24</v>
      </c>
      <c r="W8" s="6"/>
      <c r="X8" s="6" t="s">
        <v>160</v>
      </c>
      <c r="Y8" s="6" t="s">
        <v>131</v>
      </c>
      <c r="Z8" s="6" t="s">
        <v>142</v>
      </c>
      <c r="AA8" s="6"/>
      <c r="AB8" s="6"/>
      <c r="AC8" s="6" t="s">
        <v>225</v>
      </c>
      <c r="AD8" s="1" t="s">
        <v>336</v>
      </c>
      <c r="AE8" s="6" t="s">
        <v>226</v>
      </c>
      <c r="AF8" s="6" t="s">
        <v>78</v>
      </c>
      <c r="AG8" s="6"/>
      <c r="AH8" s="6"/>
      <c r="AI8" s="6"/>
      <c r="AJ8" s="6"/>
      <c r="AK8" s="6" t="s">
        <v>227</v>
      </c>
      <c r="AL8" s="6"/>
      <c r="AM8" s="14"/>
      <c r="AN8" s="6"/>
    </row>
    <row r="9" spans="1:40" ht="14.5" customHeight="1">
      <c r="A9" t="s">
        <v>28</v>
      </c>
      <c r="B9" t="s">
        <v>385</v>
      </c>
      <c r="C9">
        <v>0.11899999999999999</v>
      </c>
      <c r="D9">
        <v>0.26</v>
      </c>
      <c r="E9">
        <v>0.27</v>
      </c>
      <c r="H9">
        <v>0.08</v>
      </c>
      <c r="I9">
        <f>48.3/2/100</f>
        <v>0.24149999999999999</v>
      </c>
      <c r="J9">
        <v>0.25919999999999999</v>
      </c>
      <c r="K9">
        <v>0.1</v>
      </c>
      <c r="L9" s="5">
        <v>0.30589788732394352</v>
      </c>
      <c r="M9">
        <f>181.2/1033.5</f>
        <v>0.1753265602322206</v>
      </c>
      <c r="N9">
        <v>0.08</v>
      </c>
      <c r="O9" s="18">
        <v>0.09</v>
      </c>
      <c r="P9">
        <v>0.08</v>
      </c>
      <c r="Q9">
        <v>0.22</v>
      </c>
      <c r="R9" s="16">
        <v>0.2</v>
      </c>
      <c r="S9">
        <v>0</v>
      </c>
      <c r="T9" s="43">
        <v>0</v>
      </c>
      <c r="U9" s="43"/>
      <c r="V9" t="s">
        <v>24</v>
      </c>
      <c r="W9" s="7"/>
      <c r="X9" s="7" t="s">
        <v>160</v>
      </c>
      <c r="Y9" s="7" t="s">
        <v>131</v>
      </c>
      <c r="Z9" s="7" t="s">
        <v>143</v>
      </c>
      <c r="AA9" s="7"/>
      <c r="AB9" s="7"/>
      <c r="AC9" s="7" t="s">
        <v>228</v>
      </c>
      <c r="AD9" s="1" t="s">
        <v>336</v>
      </c>
      <c r="AE9" s="7" t="s">
        <v>229</v>
      </c>
      <c r="AF9" s="7" t="s">
        <v>78</v>
      </c>
      <c r="AG9" s="7"/>
      <c r="AH9" s="7" t="s">
        <v>332</v>
      </c>
      <c r="AI9" s="7"/>
      <c r="AJ9" s="7"/>
      <c r="AK9" s="7" t="s">
        <v>231</v>
      </c>
      <c r="AL9" s="7"/>
      <c r="AM9" s="16"/>
      <c r="AN9" s="7"/>
    </row>
    <row r="10" spans="1:40" ht="14.5" customHeight="1">
      <c r="A10" s="5" t="s">
        <v>29</v>
      </c>
      <c r="B10" t="s">
        <v>386</v>
      </c>
      <c r="C10" s="5">
        <f>1-C11-C7-C9-C8</f>
        <v>0.23799999999999999</v>
      </c>
      <c r="D10" s="5">
        <v>0.02</v>
      </c>
      <c r="E10" s="5">
        <f>1-E11-E9-E8</f>
        <v>0.11999999999999997</v>
      </c>
      <c r="F10" s="5"/>
      <c r="G10" s="5"/>
      <c r="H10" s="5">
        <v>1</v>
      </c>
      <c r="I10">
        <f>(7+14.7)/100</f>
        <v>0.217</v>
      </c>
      <c r="J10" s="5">
        <v>0.107</v>
      </c>
      <c r="K10" s="5">
        <v>0.25</v>
      </c>
      <c r="L10">
        <v>0.23019366197183075</v>
      </c>
      <c r="M10" s="5">
        <f>61.1/1033.5</f>
        <v>5.9119496855345913E-2</v>
      </c>
      <c r="N10" s="5">
        <v>0.15</v>
      </c>
      <c r="O10" s="36">
        <f>1-O11-O9-O8-O7</f>
        <v>5.9998999999999955E-2</v>
      </c>
      <c r="P10" s="5">
        <v>0.13</v>
      </c>
      <c r="Q10" s="5">
        <v>0.28000000000000003</v>
      </c>
      <c r="R10" s="14">
        <v>0.2</v>
      </c>
      <c r="S10" s="5">
        <f>1-S11-S7-S8</f>
        <v>0.31</v>
      </c>
      <c r="T10" s="44">
        <v>0.31</v>
      </c>
      <c r="U10" s="44"/>
      <c r="V10" s="5" t="s">
        <v>24</v>
      </c>
      <c r="W10" s="6"/>
      <c r="X10" s="6" t="s">
        <v>160</v>
      </c>
      <c r="Y10" s="6" t="s">
        <v>131</v>
      </c>
      <c r="Z10" s="6" t="s">
        <v>144</v>
      </c>
      <c r="AA10" s="6"/>
      <c r="AB10" s="6"/>
      <c r="AC10" s="6" t="s">
        <v>232</v>
      </c>
      <c r="AD10" s="1" t="s">
        <v>336</v>
      </c>
      <c r="AE10" s="6" t="s">
        <v>233</v>
      </c>
      <c r="AF10" s="6" t="s">
        <v>78</v>
      </c>
      <c r="AG10" s="6"/>
      <c r="AH10" s="7" t="s">
        <v>230</v>
      </c>
      <c r="AI10" s="6"/>
      <c r="AJ10" s="6"/>
      <c r="AK10" s="6" t="s">
        <v>234</v>
      </c>
      <c r="AL10" s="6" t="s">
        <v>223</v>
      </c>
      <c r="AM10" s="14"/>
      <c r="AN10" s="6"/>
    </row>
    <row r="11" spans="1:40" ht="14.5" customHeight="1">
      <c r="A11" t="s">
        <v>30</v>
      </c>
      <c r="B11" t="s">
        <v>387</v>
      </c>
      <c r="C11">
        <v>0.27300000000000002</v>
      </c>
      <c r="D11">
        <v>0.17</v>
      </c>
      <c r="E11">
        <v>0.52</v>
      </c>
      <c r="H11">
        <v>0.17</v>
      </c>
      <c r="I11">
        <f>7.3/100</f>
        <v>7.2999999999999995E-2</v>
      </c>
      <c r="J11">
        <v>0.29799999999999999</v>
      </c>
      <c r="K11">
        <v>0.11</v>
      </c>
      <c r="L11">
        <v>0.16681338028169013</v>
      </c>
      <c r="M11">
        <f>212.5/1033.5</f>
        <v>0.20561199806482824</v>
      </c>
      <c r="N11">
        <v>0.25</v>
      </c>
      <c r="O11">
        <v>0.8</v>
      </c>
      <c r="P11">
        <v>0.03</v>
      </c>
      <c r="Q11">
        <v>0.41</v>
      </c>
      <c r="R11" s="16">
        <v>0.05</v>
      </c>
      <c r="S11">
        <v>0.5</v>
      </c>
      <c r="T11" s="43">
        <v>0.5</v>
      </c>
      <c r="U11" s="43"/>
      <c r="V11" t="s">
        <v>24</v>
      </c>
      <c r="W11" s="7"/>
      <c r="X11" s="7" t="s">
        <v>160</v>
      </c>
      <c r="Y11" s="7" t="s">
        <v>131</v>
      </c>
      <c r="Z11" s="7" t="s">
        <v>145</v>
      </c>
      <c r="AA11" s="7"/>
      <c r="AB11" s="7"/>
      <c r="AC11" s="7"/>
      <c r="AD11" s="1" t="s">
        <v>336</v>
      </c>
      <c r="AE11" s="7" t="s">
        <v>235</v>
      </c>
      <c r="AF11" s="7" t="s">
        <v>78</v>
      </c>
      <c r="AG11" s="7"/>
      <c r="AH11" s="7" t="s">
        <v>223</v>
      </c>
      <c r="AI11" s="7"/>
      <c r="AJ11" s="7"/>
      <c r="AK11" s="7" t="s">
        <v>237</v>
      </c>
      <c r="AL11" s="7"/>
      <c r="AM11" s="16"/>
      <c r="AN11" s="7"/>
    </row>
    <row r="12" spans="1:40" ht="14.5" customHeight="1">
      <c r="A12" s="5" t="s">
        <v>96</v>
      </c>
      <c r="B12" s="5" t="s">
        <v>396</v>
      </c>
      <c r="C12" s="5">
        <v>0.9</v>
      </c>
      <c r="D12" s="5">
        <v>0.9</v>
      </c>
      <c r="E12" s="5">
        <v>0.95</v>
      </c>
      <c r="F12" s="5"/>
      <c r="G12" s="5"/>
      <c r="H12" s="5">
        <v>0.90300000000000002</v>
      </c>
      <c r="I12" s="5">
        <v>0.9</v>
      </c>
      <c r="J12" s="5">
        <v>0.65</v>
      </c>
      <c r="K12" s="5">
        <v>0.95</v>
      </c>
      <c r="L12" s="5">
        <v>0.996</v>
      </c>
      <c r="M12" s="5">
        <v>0.82399999999999995</v>
      </c>
      <c r="N12" s="5">
        <v>0.98799999999999999</v>
      </c>
      <c r="O12" s="5">
        <v>0.79700000000000004</v>
      </c>
      <c r="P12" s="5">
        <v>0.96</v>
      </c>
      <c r="Q12" s="5">
        <v>0.61</v>
      </c>
      <c r="R12" s="14">
        <v>1</v>
      </c>
      <c r="S12" s="5">
        <v>0.95</v>
      </c>
      <c r="T12" s="44">
        <v>0.95</v>
      </c>
      <c r="U12" s="44"/>
      <c r="V12" s="5" t="s">
        <v>24</v>
      </c>
      <c r="W12" s="6"/>
      <c r="X12" s="6" t="s">
        <v>110</v>
      </c>
      <c r="Y12" s="6" t="s">
        <v>129</v>
      </c>
      <c r="Z12" s="6" t="s">
        <v>170</v>
      </c>
      <c r="AA12" s="6"/>
      <c r="AB12" s="6"/>
      <c r="AC12" s="6"/>
      <c r="AD12" s="6" t="s">
        <v>337</v>
      </c>
      <c r="AE12" s="6" t="s">
        <v>238</v>
      </c>
      <c r="AF12" s="6" t="s">
        <v>106</v>
      </c>
      <c r="AG12" s="6" t="s">
        <v>239</v>
      </c>
      <c r="AH12" s="6" t="s">
        <v>240</v>
      </c>
      <c r="AI12" s="6" t="s">
        <v>241</v>
      </c>
      <c r="AJ12" s="6" t="s">
        <v>242</v>
      </c>
      <c r="AK12" s="6" t="s">
        <v>243</v>
      </c>
      <c r="AL12" s="6" t="s">
        <v>205</v>
      </c>
      <c r="AM12" s="14" t="s">
        <v>446</v>
      </c>
      <c r="AN12" s="6" t="s">
        <v>244</v>
      </c>
    </row>
    <row r="13" spans="1:40" ht="14.5" customHeight="1">
      <c r="A13" t="s">
        <v>97</v>
      </c>
      <c r="B13" s="5" t="s">
        <v>393</v>
      </c>
      <c r="C13">
        <v>0.95</v>
      </c>
      <c r="D13">
        <v>0.95</v>
      </c>
      <c r="E13">
        <v>0.95</v>
      </c>
      <c r="H13">
        <v>0.90300000000000002</v>
      </c>
      <c r="I13">
        <v>0.95</v>
      </c>
      <c r="J13">
        <v>0.65</v>
      </c>
      <c r="K13">
        <v>0.9</v>
      </c>
      <c r="L13">
        <v>0.996</v>
      </c>
      <c r="M13">
        <v>0.82399999999999995</v>
      </c>
      <c r="N13">
        <v>0.98799999999999999</v>
      </c>
      <c r="O13">
        <v>0.79700000000000004</v>
      </c>
      <c r="P13">
        <v>0.96</v>
      </c>
      <c r="Q13">
        <v>0.61</v>
      </c>
      <c r="R13" s="16">
        <v>1</v>
      </c>
      <c r="S13">
        <v>0.95</v>
      </c>
      <c r="T13" s="43">
        <v>0.95</v>
      </c>
      <c r="U13" s="43"/>
      <c r="V13" t="s">
        <v>24</v>
      </c>
      <c r="W13" s="7"/>
      <c r="X13" s="7" t="s">
        <v>110</v>
      </c>
      <c r="Y13" s="7" t="s">
        <v>129</v>
      </c>
      <c r="Z13" s="7" t="s">
        <v>170</v>
      </c>
      <c r="AA13" s="7"/>
      <c r="AB13" s="7"/>
      <c r="AC13" s="7"/>
      <c r="AD13" s="7"/>
      <c r="AE13" s="7"/>
      <c r="AF13" s="7" t="s">
        <v>106</v>
      </c>
      <c r="AG13" s="7" t="s">
        <v>245</v>
      </c>
      <c r="AH13" s="7" t="s">
        <v>236</v>
      </c>
      <c r="AI13" s="7"/>
      <c r="AJ13" s="7"/>
      <c r="AK13" s="7" t="s">
        <v>246</v>
      </c>
      <c r="AL13" s="7"/>
      <c r="AM13" s="16" t="s">
        <v>446</v>
      </c>
      <c r="AN13" s="7" t="s">
        <v>247</v>
      </c>
    </row>
    <row r="14" spans="1:40" ht="14.5" customHeight="1">
      <c r="A14" s="5" t="s">
        <v>98</v>
      </c>
      <c r="B14" s="5" t="s">
        <v>390</v>
      </c>
      <c r="C14" s="5">
        <v>0.9</v>
      </c>
      <c r="D14" s="5">
        <v>0.9</v>
      </c>
      <c r="E14" s="5">
        <v>0.95</v>
      </c>
      <c r="F14" s="5"/>
      <c r="G14" s="5"/>
      <c r="H14" s="5">
        <v>0.90300000000000002</v>
      </c>
      <c r="I14" s="5">
        <v>0.9</v>
      </c>
      <c r="J14" s="5">
        <v>0.65000000000000013</v>
      </c>
      <c r="K14" s="5">
        <v>0.85</v>
      </c>
      <c r="L14" s="5">
        <v>0.996</v>
      </c>
      <c r="M14" s="5">
        <v>0.82399999999999995</v>
      </c>
      <c r="N14" s="5">
        <v>0.98799999999999999</v>
      </c>
      <c r="O14" s="5">
        <v>0.79700000000000004</v>
      </c>
      <c r="P14" s="5">
        <v>0.96</v>
      </c>
      <c r="Q14" s="5">
        <v>0.61</v>
      </c>
      <c r="R14" s="14">
        <v>1</v>
      </c>
      <c r="S14" s="5">
        <v>0.95</v>
      </c>
      <c r="T14" s="44">
        <v>0.95</v>
      </c>
      <c r="U14" s="44"/>
      <c r="V14" s="5" t="s">
        <v>24</v>
      </c>
      <c r="W14" s="6"/>
      <c r="X14" s="6" t="s">
        <v>110</v>
      </c>
      <c r="Y14" s="6" t="s">
        <v>129</v>
      </c>
      <c r="Z14" s="6" t="s">
        <v>170</v>
      </c>
      <c r="AA14" s="6"/>
      <c r="AB14" s="6"/>
      <c r="AC14" s="6"/>
      <c r="AD14" s="6"/>
      <c r="AE14" s="6"/>
      <c r="AF14" s="6" t="s">
        <v>106</v>
      </c>
      <c r="AG14" s="6"/>
      <c r="AH14" s="6"/>
      <c r="AI14" s="6"/>
      <c r="AJ14" s="6"/>
      <c r="AK14" s="6"/>
      <c r="AL14" s="6"/>
      <c r="AM14" s="14" t="s">
        <v>446</v>
      </c>
      <c r="AN14" s="6" t="s">
        <v>248</v>
      </c>
    </row>
    <row r="15" spans="1:40" ht="14.5" customHeight="1">
      <c r="A15" t="s">
        <v>99</v>
      </c>
      <c r="B15" s="5" t="s">
        <v>361</v>
      </c>
      <c r="C15">
        <v>0.95</v>
      </c>
      <c r="D15">
        <v>0.95</v>
      </c>
      <c r="E15">
        <v>0.95</v>
      </c>
      <c r="G15" s="8"/>
      <c r="H15">
        <v>0.90300000000000002</v>
      </c>
      <c r="I15">
        <v>0.95</v>
      </c>
      <c r="J15">
        <v>0.65</v>
      </c>
      <c r="K15">
        <v>0.75</v>
      </c>
      <c r="L15">
        <v>0.996</v>
      </c>
      <c r="M15">
        <v>0.82399999999999995</v>
      </c>
      <c r="N15">
        <v>0.98799999999999999</v>
      </c>
      <c r="O15">
        <v>0.79700000000000004</v>
      </c>
      <c r="P15">
        <v>0.96</v>
      </c>
      <c r="Q15">
        <v>0.61</v>
      </c>
      <c r="R15" s="16">
        <v>1</v>
      </c>
      <c r="S15">
        <v>0.95</v>
      </c>
      <c r="T15" s="43">
        <v>0.95</v>
      </c>
      <c r="U15" s="43"/>
      <c r="V15" t="s">
        <v>24</v>
      </c>
      <c r="W15" s="7"/>
      <c r="X15" s="7" t="s">
        <v>110</v>
      </c>
      <c r="Y15" s="7" t="s">
        <v>129</v>
      </c>
      <c r="Z15" s="7"/>
      <c r="AA15" s="7"/>
      <c r="AB15" s="7"/>
      <c r="AC15" s="7"/>
      <c r="AD15" s="7"/>
      <c r="AE15" s="7"/>
      <c r="AF15" s="7" t="s">
        <v>106</v>
      </c>
      <c r="AG15" s="7"/>
      <c r="AH15" s="7"/>
      <c r="AI15" s="7"/>
      <c r="AJ15" s="7"/>
      <c r="AK15" s="7"/>
      <c r="AL15" s="7"/>
      <c r="AM15" s="16" t="s">
        <v>446</v>
      </c>
      <c r="AN15" s="7"/>
    </row>
    <row r="16" spans="1:40" ht="14.5" customHeight="1">
      <c r="A16" s="5" t="s">
        <v>100</v>
      </c>
      <c r="B16" s="5" t="s">
        <v>360</v>
      </c>
      <c r="C16" s="5">
        <v>0.9</v>
      </c>
      <c r="D16" s="5">
        <v>0.9</v>
      </c>
      <c r="E16" s="5">
        <v>0.95</v>
      </c>
      <c r="F16" s="5"/>
      <c r="G16" s="9"/>
      <c r="H16" s="5">
        <v>0.90300000000000002</v>
      </c>
      <c r="I16" s="5">
        <v>0.9</v>
      </c>
      <c r="J16" s="5">
        <v>0.65</v>
      </c>
      <c r="K16" s="5">
        <v>0.8</v>
      </c>
      <c r="L16" s="5">
        <v>0.996</v>
      </c>
      <c r="M16" s="5">
        <v>0.82399999999999995</v>
      </c>
      <c r="N16" s="5">
        <v>0.98799999999999999</v>
      </c>
      <c r="O16" s="5">
        <v>0.79700000000000004</v>
      </c>
      <c r="P16" s="5">
        <v>0.96</v>
      </c>
      <c r="Q16" s="5">
        <v>0.61</v>
      </c>
      <c r="R16" s="14">
        <v>1</v>
      </c>
      <c r="S16" s="5">
        <v>0.95</v>
      </c>
      <c r="T16" s="44">
        <v>0.95</v>
      </c>
      <c r="U16" s="44"/>
      <c r="V16" s="5" t="s">
        <v>24</v>
      </c>
      <c r="W16" s="6"/>
      <c r="X16" s="6" t="s">
        <v>110</v>
      </c>
      <c r="Y16" s="6" t="s">
        <v>129</v>
      </c>
      <c r="Z16" s="6"/>
      <c r="AA16" s="6"/>
      <c r="AB16" s="6"/>
      <c r="AC16" s="6"/>
      <c r="AD16" s="6"/>
      <c r="AE16" s="6"/>
      <c r="AF16" s="6" t="s">
        <v>106</v>
      </c>
      <c r="AG16" s="6"/>
      <c r="AH16" s="6"/>
      <c r="AI16" s="6"/>
      <c r="AJ16" s="6"/>
      <c r="AK16" s="6"/>
      <c r="AL16" s="6"/>
      <c r="AM16" s="14" t="s">
        <v>446</v>
      </c>
      <c r="AN16" s="6" t="s">
        <v>249</v>
      </c>
    </row>
    <row r="17" spans="1:40" ht="14.5" customHeight="1">
      <c r="A17" t="s">
        <v>101</v>
      </c>
      <c r="B17" t="s">
        <v>397</v>
      </c>
      <c r="C17">
        <v>50</v>
      </c>
      <c r="D17">
        <v>50</v>
      </c>
      <c r="E17">
        <v>50</v>
      </c>
      <c r="G17" s="8"/>
      <c r="H17">
        <v>1</v>
      </c>
      <c r="I17">
        <v>50</v>
      </c>
      <c r="J17">
        <v>40</v>
      </c>
      <c r="K17">
        <v>40</v>
      </c>
      <c r="L17">
        <v>50</v>
      </c>
      <c r="M17">
        <v>50</v>
      </c>
      <c r="N17">
        <v>50</v>
      </c>
      <c r="O17">
        <v>50</v>
      </c>
      <c r="P17">
        <v>75</v>
      </c>
      <c r="Q17">
        <v>50</v>
      </c>
      <c r="R17" s="16">
        <v>5</v>
      </c>
      <c r="S17">
        <v>0</v>
      </c>
      <c r="T17" s="43">
        <v>1</v>
      </c>
      <c r="U17" s="43"/>
      <c r="V17" t="s">
        <v>24</v>
      </c>
      <c r="W17" s="7"/>
      <c r="X17" s="7" t="s">
        <v>109</v>
      </c>
      <c r="Y17" s="7" t="s">
        <v>129</v>
      </c>
      <c r="Z17" s="7" t="s">
        <v>150</v>
      </c>
      <c r="AA17" s="7"/>
      <c r="AB17" s="7"/>
      <c r="AC17" s="7"/>
      <c r="AD17" s="7" t="s">
        <v>250</v>
      </c>
      <c r="AE17" s="7" t="s">
        <v>251</v>
      </c>
      <c r="AF17" s="7" t="s">
        <v>106</v>
      </c>
      <c r="AG17" s="17" t="s">
        <v>342</v>
      </c>
      <c r="AH17" s="7" t="s">
        <v>347</v>
      </c>
      <c r="AI17" s="7" t="s">
        <v>346</v>
      </c>
      <c r="AJ17" s="7" t="s">
        <v>252</v>
      </c>
      <c r="AK17" s="7" t="s">
        <v>253</v>
      </c>
      <c r="AL17" s="7" t="s">
        <v>463</v>
      </c>
      <c r="AM17" s="16" t="s">
        <v>447</v>
      </c>
      <c r="AN17" s="7"/>
    </row>
    <row r="18" spans="1:40" ht="14.5" customHeight="1">
      <c r="A18" s="5" t="s">
        <v>102</v>
      </c>
      <c r="B18" t="s">
        <v>394</v>
      </c>
      <c r="C18" s="5">
        <v>25</v>
      </c>
      <c r="D18" s="5">
        <v>25</v>
      </c>
      <c r="E18" s="5">
        <v>3</v>
      </c>
      <c r="F18" s="5"/>
      <c r="G18" s="9"/>
      <c r="H18" s="5">
        <v>3</v>
      </c>
      <c r="I18" s="5">
        <v>15</v>
      </c>
      <c r="J18" s="5">
        <v>20</v>
      </c>
      <c r="K18" s="5">
        <v>30</v>
      </c>
      <c r="L18" s="5">
        <v>15</v>
      </c>
      <c r="M18" s="5">
        <v>3</v>
      </c>
      <c r="N18" s="5">
        <v>25</v>
      </c>
      <c r="O18" s="5">
        <v>5</v>
      </c>
      <c r="P18" s="5">
        <v>50</v>
      </c>
      <c r="Q18" s="5">
        <v>25</v>
      </c>
      <c r="R18" s="14">
        <v>30</v>
      </c>
      <c r="S18" s="5">
        <v>0</v>
      </c>
      <c r="T18" s="44">
        <v>1</v>
      </c>
      <c r="U18" s="44"/>
      <c r="V18" s="5" t="s">
        <v>24</v>
      </c>
      <c r="W18" s="6"/>
      <c r="X18" s="6" t="s">
        <v>109</v>
      </c>
      <c r="Y18" s="6" t="s">
        <v>129</v>
      </c>
      <c r="Z18" s="6" t="s">
        <v>151</v>
      </c>
      <c r="AA18" s="6"/>
      <c r="AB18" s="6"/>
      <c r="AC18" s="19" t="s">
        <v>254</v>
      </c>
      <c r="AD18" s="6" t="s">
        <v>255</v>
      </c>
      <c r="AE18" s="19" t="s">
        <v>256</v>
      </c>
      <c r="AF18" s="6" t="s">
        <v>106</v>
      </c>
      <c r="AG18" s="17" t="s">
        <v>342</v>
      </c>
      <c r="AH18" s="7" t="s">
        <v>347</v>
      </c>
      <c r="AI18" s="6" t="s">
        <v>346</v>
      </c>
      <c r="AJ18" s="6"/>
      <c r="AK18" s="6" t="s">
        <v>258</v>
      </c>
      <c r="AL18" s="6" t="s">
        <v>463</v>
      </c>
      <c r="AM18" s="14" t="s">
        <v>447</v>
      </c>
      <c r="AN18" s="6"/>
    </row>
    <row r="19" spans="1:40" ht="14.5" customHeight="1">
      <c r="A19" t="s">
        <v>103</v>
      </c>
      <c r="B19" t="s">
        <v>391</v>
      </c>
      <c r="C19">
        <v>20</v>
      </c>
      <c r="D19">
        <v>20</v>
      </c>
      <c r="E19">
        <v>30</v>
      </c>
      <c r="G19" s="8"/>
      <c r="H19">
        <v>25</v>
      </c>
      <c r="I19">
        <v>50</v>
      </c>
      <c r="J19">
        <v>40</v>
      </c>
      <c r="K19">
        <v>20</v>
      </c>
      <c r="L19">
        <v>25</v>
      </c>
      <c r="M19">
        <v>30</v>
      </c>
      <c r="N19">
        <v>20</v>
      </c>
      <c r="O19">
        <v>20</v>
      </c>
      <c r="P19">
        <v>25</v>
      </c>
      <c r="Q19">
        <v>20</v>
      </c>
      <c r="R19" s="16">
        <v>10</v>
      </c>
      <c r="S19">
        <v>0</v>
      </c>
      <c r="T19" s="43">
        <v>1</v>
      </c>
      <c r="U19" s="43"/>
      <c r="V19" t="s">
        <v>24</v>
      </c>
      <c r="W19" s="7"/>
      <c r="X19" s="7" t="s">
        <v>109</v>
      </c>
      <c r="Y19" s="7" t="s">
        <v>129</v>
      </c>
      <c r="Z19" s="7" t="s">
        <v>153</v>
      </c>
      <c r="AA19" s="7"/>
      <c r="AB19" s="7"/>
      <c r="AC19" s="7"/>
      <c r="AD19" s="7"/>
      <c r="AE19" s="7"/>
      <c r="AF19" s="7" t="s">
        <v>106</v>
      </c>
      <c r="AG19" s="17" t="s">
        <v>342</v>
      </c>
      <c r="AH19" s="7" t="s">
        <v>347</v>
      </c>
      <c r="AI19" s="7" t="s">
        <v>346</v>
      </c>
      <c r="AJ19" s="7" t="s">
        <v>259</v>
      </c>
      <c r="AK19" s="7" t="s">
        <v>260</v>
      </c>
      <c r="AL19" s="1" t="s">
        <v>463</v>
      </c>
      <c r="AM19" s="16" t="s">
        <v>447</v>
      </c>
      <c r="AN19" s="7"/>
    </row>
    <row r="20" spans="1:40" ht="14.5" customHeight="1">
      <c r="A20" s="5" t="s">
        <v>104</v>
      </c>
      <c r="B20" t="s">
        <v>458</v>
      </c>
      <c r="C20" s="5">
        <v>15</v>
      </c>
      <c r="D20" s="5">
        <v>15</v>
      </c>
      <c r="E20" s="5">
        <v>15</v>
      </c>
      <c r="F20" s="5"/>
      <c r="G20" s="9"/>
      <c r="H20" s="5">
        <v>1</v>
      </c>
      <c r="I20" s="5">
        <v>15</v>
      </c>
      <c r="J20" s="5">
        <v>40</v>
      </c>
      <c r="K20" s="5">
        <v>10</v>
      </c>
      <c r="L20" s="5">
        <v>15</v>
      </c>
      <c r="M20" s="5">
        <v>15</v>
      </c>
      <c r="N20" s="5">
        <v>15</v>
      </c>
      <c r="O20" s="5">
        <v>5</v>
      </c>
      <c r="P20" s="5"/>
      <c r="Q20" s="5">
        <v>35</v>
      </c>
      <c r="R20" s="14"/>
      <c r="S20" s="5">
        <v>4</v>
      </c>
      <c r="T20" s="44">
        <v>4</v>
      </c>
      <c r="U20" s="44"/>
      <c r="V20" s="5" t="s">
        <v>24</v>
      </c>
      <c r="W20" s="6"/>
      <c r="X20" s="6" t="s">
        <v>109</v>
      </c>
      <c r="Y20" s="6" t="s">
        <v>129</v>
      </c>
      <c r="Z20" s="6" t="s">
        <v>154</v>
      </c>
      <c r="AA20" s="6"/>
      <c r="AB20" s="6"/>
      <c r="AC20" s="6" t="s">
        <v>262</v>
      </c>
      <c r="AD20" s="6"/>
      <c r="AE20" s="6"/>
      <c r="AF20" s="6" t="s">
        <v>106</v>
      </c>
      <c r="AG20" s="17" t="s">
        <v>342</v>
      </c>
      <c r="AH20" s="7" t="s">
        <v>347</v>
      </c>
      <c r="AI20" s="6" t="s">
        <v>346</v>
      </c>
      <c r="AJ20" s="6" t="s">
        <v>257</v>
      </c>
      <c r="AK20" s="6"/>
      <c r="AL20" s="6" t="s">
        <v>462</v>
      </c>
      <c r="AM20" s="14"/>
      <c r="AN20" s="6"/>
    </row>
    <row r="21" spans="1:40" ht="14.5" customHeight="1">
      <c r="A21" t="s">
        <v>105</v>
      </c>
      <c r="B21" t="s">
        <v>388</v>
      </c>
      <c r="C21">
        <v>15</v>
      </c>
      <c r="D21">
        <v>15</v>
      </c>
      <c r="E21">
        <v>35</v>
      </c>
      <c r="G21" s="42"/>
      <c r="H21">
        <v>20</v>
      </c>
      <c r="I21">
        <v>15</v>
      </c>
      <c r="J21">
        <v>20</v>
      </c>
      <c r="K21">
        <v>15</v>
      </c>
      <c r="L21">
        <v>22</v>
      </c>
      <c r="M21">
        <v>35</v>
      </c>
      <c r="N21">
        <v>15</v>
      </c>
      <c r="O21">
        <v>17</v>
      </c>
      <c r="P21">
        <v>5</v>
      </c>
      <c r="Q21">
        <v>15</v>
      </c>
      <c r="R21" s="16">
        <v>20</v>
      </c>
      <c r="S21">
        <v>16</v>
      </c>
      <c r="T21" s="43">
        <v>16</v>
      </c>
      <c r="U21" s="43"/>
      <c r="V21" t="s">
        <v>24</v>
      </c>
      <c r="W21" s="7"/>
      <c r="X21" s="7" t="s">
        <v>109</v>
      </c>
      <c r="Y21" s="7" t="s">
        <v>129</v>
      </c>
      <c r="Z21" s="7" t="s">
        <v>152</v>
      </c>
      <c r="AA21" s="7"/>
      <c r="AB21" s="7"/>
      <c r="AC21" s="7"/>
      <c r="AD21" s="7" t="s">
        <v>263</v>
      </c>
      <c r="AF21" s="7" t="s">
        <v>106</v>
      </c>
      <c r="AG21" s="17" t="s">
        <v>342</v>
      </c>
      <c r="AH21" s="7" t="s">
        <v>347</v>
      </c>
      <c r="AI21" s="7" t="s">
        <v>346</v>
      </c>
      <c r="AJ21" s="7" t="s">
        <v>264</v>
      </c>
      <c r="AK21" s="7" t="s">
        <v>265</v>
      </c>
      <c r="AL21" s="7" t="s">
        <v>463</v>
      </c>
      <c r="AM21" s="16" t="s">
        <v>448</v>
      </c>
      <c r="AN21" s="7"/>
    </row>
    <row r="22" spans="1:40" ht="14.5" customHeight="1">
      <c r="A22" t="s">
        <v>433</v>
      </c>
      <c r="B22" t="s">
        <v>438</v>
      </c>
      <c r="C22">
        <v>15</v>
      </c>
      <c r="D22">
        <f>$C22/$C17*D17</f>
        <v>15</v>
      </c>
      <c r="E22">
        <f>$C22/$C17*E17</f>
        <v>15</v>
      </c>
      <c r="G22" s="8"/>
      <c r="H22">
        <f>$C22/$C17*H17</f>
        <v>0.3</v>
      </c>
      <c r="I22">
        <f t="shared" ref="I22:S22" si="0">$C22/$C17*I17</f>
        <v>15</v>
      </c>
      <c r="J22">
        <f t="shared" si="0"/>
        <v>12</v>
      </c>
      <c r="K22">
        <f t="shared" si="0"/>
        <v>12</v>
      </c>
      <c r="L22">
        <f t="shared" si="0"/>
        <v>15</v>
      </c>
      <c r="M22">
        <f t="shared" si="0"/>
        <v>15</v>
      </c>
      <c r="N22">
        <f t="shared" si="0"/>
        <v>15</v>
      </c>
      <c r="O22">
        <f t="shared" si="0"/>
        <v>15</v>
      </c>
      <c r="P22">
        <f t="shared" si="0"/>
        <v>22.5</v>
      </c>
      <c r="Q22">
        <f t="shared" si="0"/>
        <v>15</v>
      </c>
      <c r="R22">
        <f t="shared" si="0"/>
        <v>1.5</v>
      </c>
      <c r="S22">
        <f t="shared" si="0"/>
        <v>0</v>
      </c>
      <c r="T22">
        <f t="shared" ref="T22" si="1">$C22/$C17*T17</f>
        <v>0.3</v>
      </c>
      <c r="V22" t="s">
        <v>24</v>
      </c>
      <c r="W22" s="7" t="s">
        <v>443</v>
      </c>
      <c r="X22" s="7" t="s">
        <v>109</v>
      </c>
      <c r="Y22" s="7" t="s">
        <v>129</v>
      </c>
      <c r="Z22" s="7" t="s">
        <v>150</v>
      </c>
      <c r="AA22" s="7"/>
      <c r="AB22" s="7"/>
      <c r="AC22" s="7"/>
      <c r="AD22" s="7" t="s">
        <v>250</v>
      </c>
      <c r="AE22" s="7" t="s">
        <v>251</v>
      </c>
      <c r="AF22" s="7" t="s">
        <v>106</v>
      </c>
      <c r="AG22" s="17" t="s">
        <v>342</v>
      </c>
      <c r="AH22" s="7" t="s">
        <v>347</v>
      </c>
      <c r="AI22" s="7" t="s">
        <v>346</v>
      </c>
      <c r="AJ22" s="7" t="s">
        <v>252</v>
      </c>
      <c r="AK22" s="7" t="s">
        <v>253</v>
      </c>
      <c r="AL22" s="7"/>
      <c r="AM22" s="6"/>
      <c r="AN22" s="7"/>
    </row>
    <row r="23" spans="1:40" ht="14.5" customHeight="1">
      <c r="A23" s="5" t="s">
        <v>434</v>
      </c>
      <c r="B23" t="s">
        <v>439</v>
      </c>
      <c r="C23" s="5">
        <v>7.5</v>
      </c>
      <c r="D23">
        <f t="shared" ref="D23:E26" si="2">$C23/$C18*D18</f>
        <v>7.5</v>
      </c>
      <c r="E23">
        <f t="shared" si="2"/>
        <v>0.89999999999999991</v>
      </c>
      <c r="F23" s="5"/>
      <c r="G23" s="8"/>
      <c r="H23">
        <f t="shared" ref="H23:S26" si="3">$C23/$C18*H18</f>
        <v>0.89999999999999991</v>
      </c>
      <c r="I23">
        <f t="shared" si="3"/>
        <v>4.5</v>
      </c>
      <c r="J23">
        <f t="shared" si="3"/>
        <v>6</v>
      </c>
      <c r="K23">
        <f t="shared" si="3"/>
        <v>9</v>
      </c>
      <c r="L23">
        <f t="shared" si="3"/>
        <v>4.5</v>
      </c>
      <c r="M23">
        <f t="shared" si="3"/>
        <v>0.89999999999999991</v>
      </c>
      <c r="N23">
        <f t="shared" si="3"/>
        <v>7.5</v>
      </c>
      <c r="O23">
        <f t="shared" si="3"/>
        <v>1.5</v>
      </c>
      <c r="P23">
        <f t="shared" si="3"/>
        <v>15</v>
      </c>
      <c r="Q23">
        <f t="shared" si="3"/>
        <v>7.5</v>
      </c>
      <c r="R23">
        <f t="shared" si="3"/>
        <v>9</v>
      </c>
      <c r="S23">
        <f t="shared" si="3"/>
        <v>0</v>
      </c>
      <c r="T23">
        <f t="shared" ref="T23" si="4">$C23/$C18*T18</f>
        <v>0.3</v>
      </c>
      <c r="V23" s="5" t="s">
        <v>24</v>
      </c>
      <c r="W23" s="7" t="s">
        <v>443</v>
      </c>
      <c r="X23" s="6" t="s">
        <v>109</v>
      </c>
      <c r="Y23" s="6" t="s">
        <v>129</v>
      </c>
      <c r="Z23" s="6" t="s">
        <v>151</v>
      </c>
      <c r="AA23" s="6"/>
      <c r="AB23" s="6"/>
      <c r="AC23" s="19" t="s">
        <v>254</v>
      </c>
      <c r="AD23" s="6" t="s">
        <v>255</v>
      </c>
      <c r="AE23" s="19" t="s">
        <v>256</v>
      </c>
      <c r="AF23" s="6" t="s">
        <v>106</v>
      </c>
      <c r="AG23" s="17" t="s">
        <v>342</v>
      </c>
      <c r="AH23" s="7" t="s">
        <v>347</v>
      </c>
      <c r="AI23" s="6" t="s">
        <v>346</v>
      </c>
      <c r="AJ23" s="6"/>
      <c r="AK23" s="6" t="s">
        <v>258</v>
      </c>
      <c r="AL23" s="6"/>
      <c r="AM23" s="6"/>
      <c r="AN23" s="6"/>
    </row>
    <row r="24" spans="1:40" ht="14.5" customHeight="1">
      <c r="A24" t="s">
        <v>435</v>
      </c>
      <c r="B24" t="s">
        <v>440</v>
      </c>
      <c r="C24">
        <v>6</v>
      </c>
      <c r="D24">
        <f t="shared" si="2"/>
        <v>6</v>
      </c>
      <c r="E24">
        <f t="shared" si="2"/>
        <v>9</v>
      </c>
      <c r="G24" s="8"/>
      <c r="H24">
        <f t="shared" si="3"/>
        <v>7.5</v>
      </c>
      <c r="I24">
        <f t="shared" si="3"/>
        <v>15</v>
      </c>
      <c r="J24">
        <f t="shared" si="3"/>
        <v>12</v>
      </c>
      <c r="K24">
        <f t="shared" si="3"/>
        <v>6</v>
      </c>
      <c r="L24">
        <f t="shared" si="3"/>
        <v>7.5</v>
      </c>
      <c r="M24">
        <f t="shared" si="3"/>
        <v>9</v>
      </c>
      <c r="N24">
        <f t="shared" si="3"/>
        <v>6</v>
      </c>
      <c r="O24">
        <f t="shared" si="3"/>
        <v>6</v>
      </c>
      <c r="P24">
        <f t="shared" si="3"/>
        <v>7.5</v>
      </c>
      <c r="Q24">
        <f t="shared" si="3"/>
        <v>6</v>
      </c>
      <c r="R24">
        <f t="shared" si="3"/>
        <v>3</v>
      </c>
      <c r="S24">
        <f t="shared" si="3"/>
        <v>0</v>
      </c>
      <c r="T24">
        <f t="shared" ref="T24" si="5">$C24/$C19*T19</f>
        <v>0.3</v>
      </c>
      <c r="V24" t="s">
        <v>24</v>
      </c>
      <c r="W24" s="7" t="s">
        <v>443</v>
      </c>
      <c r="X24" s="7" t="s">
        <v>109</v>
      </c>
      <c r="Y24" s="7" t="s">
        <v>129</v>
      </c>
      <c r="Z24" s="7" t="s">
        <v>153</v>
      </c>
      <c r="AA24" s="7"/>
      <c r="AB24" s="7"/>
      <c r="AC24" s="7"/>
      <c r="AD24" s="7"/>
      <c r="AE24" s="7"/>
      <c r="AF24" s="7" t="s">
        <v>106</v>
      </c>
      <c r="AG24" s="17" t="s">
        <v>342</v>
      </c>
      <c r="AH24" s="7" t="s">
        <v>347</v>
      </c>
      <c r="AI24" s="7" t="s">
        <v>346</v>
      </c>
      <c r="AJ24" s="7" t="s">
        <v>259</v>
      </c>
      <c r="AK24" s="7" t="s">
        <v>260</v>
      </c>
      <c r="AL24" s="1" t="s">
        <v>261</v>
      </c>
      <c r="AM24" s="6"/>
      <c r="AN24" s="7"/>
    </row>
    <row r="25" spans="1:40" ht="14.5" customHeight="1">
      <c r="A25" s="5" t="s">
        <v>436</v>
      </c>
      <c r="B25" t="s">
        <v>441</v>
      </c>
      <c r="C25" s="5">
        <v>3</v>
      </c>
      <c r="D25">
        <f t="shared" si="2"/>
        <v>3</v>
      </c>
      <c r="E25">
        <f t="shared" si="2"/>
        <v>3</v>
      </c>
      <c r="F25" s="5"/>
      <c r="G25" s="8"/>
      <c r="H25">
        <f t="shared" si="3"/>
        <v>0.2</v>
      </c>
      <c r="I25">
        <f t="shared" si="3"/>
        <v>3</v>
      </c>
      <c r="J25">
        <f t="shared" si="3"/>
        <v>8</v>
      </c>
      <c r="K25">
        <f t="shared" si="3"/>
        <v>2</v>
      </c>
      <c r="L25">
        <f t="shared" si="3"/>
        <v>3</v>
      </c>
      <c r="M25">
        <f t="shared" si="3"/>
        <v>3</v>
      </c>
      <c r="N25">
        <f t="shared" si="3"/>
        <v>3</v>
      </c>
      <c r="O25">
        <f t="shared" si="3"/>
        <v>1</v>
      </c>
      <c r="Q25">
        <f t="shared" si="3"/>
        <v>7</v>
      </c>
      <c r="S25">
        <f t="shared" si="3"/>
        <v>0.8</v>
      </c>
      <c r="T25">
        <f t="shared" ref="T25" si="6">$C25/$C20*T20</f>
        <v>0.8</v>
      </c>
      <c r="V25" s="5" t="s">
        <v>24</v>
      </c>
      <c r="W25" s="7" t="s">
        <v>443</v>
      </c>
      <c r="X25" s="6" t="s">
        <v>109</v>
      </c>
      <c r="Y25" s="6" t="s">
        <v>129</v>
      </c>
      <c r="Z25" s="6" t="s">
        <v>154</v>
      </c>
      <c r="AA25" s="6"/>
      <c r="AB25" s="6"/>
      <c r="AC25" s="6" t="s">
        <v>262</v>
      </c>
      <c r="AD25" s="6"/>
      <c r="AE25" s="6"/>
      <c r="AF25" s="6" t="s">
        <v>106</v>
      </c>
      <c r="AG25" s="17" t="s">
        <v>342</v>
      </c>
      <c r="AH25" s="7" t="s">
        <v>347</v>
      </c>
      <c r="AI25" s="6" t="s">
        <v>346</v>
      </c>
      <c r="AJ25" s="6" t="s">
        <v>257</v>
      </c>
      <c r="AK25" s="6"/>
      <c r="AL25" s="6"/>
      <c r="AM25" s="6"/>
      <c r="AN25" s="6"/>
    </row>
    <row r="26" spans="1:40" ht="14.5" customHeight="1">
      <c r="A26" t="s">
        <v>437</v>
      </c>
      <c r="B26" t="s">
        <v>442</v>
      </c>
      <c r="C26">
        <v>4.5</v>
      </c>
      <c r="D26">
        <f t="shared" si="2"/>
        <v>4.5</v>
      </c>
      <c r="E26">
        <f t="shared" si="2"/>
        <v>10.5</v>
      </c>
      <c r="G26" s="8"/>
      <c r="H26">
        <f t="shared" si="3"/>
        <v>6</v>
      </c>
      <c r="I26">
        <f t="shared" si="3"/>
        <v>4.5</v>
      </c>
      <c r="J26">
        <f t="shared" si="3"/>
        <v>6</v>
      </c>
      <c r="K26">
        <f t="shared" si="3"/>
        <v>4.5</v>
      </c>
      <c r="L26">
        <f t="shared" si="3"/>
        <v>6.6</v>
      </c>
      <c r="M26">
        <f t="shared" si="3"/>
        <v>10.5</v>
      </c>
      <c r="N26">
        <f t="shared" si="3"/>
        <v>4.5</v>
      </c>
      <c r="O26">
        <f t="shared" si="3"/>
        <v>5.0999999999999996</v>
      </c>
      <c r="P26">
        <f t="shared" si="3"/>
        <v>1.5</v>
      </c>
      <c r="Q26">
        <f t="shared" si="3"/>
        <v>4.5</v>
      </c>
      <c r="R26">
        <f t="shared" si="3"/>
        <v>6</v>
      </c>
      <c r="S26">
        <f t="shared" si="3"/>
        <v>4.8</v>
      </c>
      <c r="T26">
        <f t="shared" ref="T26" si="7">$C26/$C21*T21</f>
        <v>4.8</v>
      </c>
      <c r="V26" t="s">
        <v>24</v>
      </c>
      <c r="W26" s="7" t="s">
        <v>443</v>
      </c>
      <c r="X26" s="7" t="s">
        <v>109</v>
      </c>
      <c r="Y26" s="7" t="s">
        <v>129</v>
      </c>
      <c r="Z26" s="7" t="s">
        <v>152</v>
      </c>
      <c r="AA26" s="7"/>
      <c r="AB26" s="7"/>
      <c r="AC26" s="7"/>
      <c r="AD26" s="7" t="s">
        <v>263</v>
      </c>
      <c r="AF26" s="7" t="s">
        <v>106</v>
      </c>
      <c r="AG26" s="17" t="s">
        <v>342</v>
      </c>
      <c r="AH26" s="7" t="s">
        <v>347</v>
      </c>
      <c r="AI26" s="7" t="s">
        <v>346</v>
      </c>
      <c r="AJ26" s="7" t="s">
        <v>264</v>
      </c>
      <c r="AK26" s="7" t="s">
        <v>265</v>
      </c>
      <c r="AL26" s="7" t="s">
        <v>266</v>
      </c>
      <c r="AM26" s="6"/>
      <c r="AN26" s="7"/>
    </row>
    <row r="27" spans="1:40" ht="14.5" customHeight="1">
      <c r="A27" s="5" t="s">
        <v>134</v>
      </c>
      <c r="B27" s="5" t="s">
        <v>398</v>
      </c>
      <c r="C27" s="5">
        <v>0.64749999999999996</v>
      </c>
      <c r="D27" s="5">
        <v>0.64749999999999996</v>
      </c>
      <c r="E27" s="5">
        <v>0.8</v>
      </c>
      <c r="F27" s="5"/>
      <c r="G27" s="5"/>
      <c r="H27" s="5">
        <v>0.46</v>
      </c>
      <c r="I27" s="5">
        <v>0.25</v>
      </c>
      <c r="J27" s="5"/>
      <c r="K27" s="5">
        <v>0.64800000000000002</v>
      </c>
      <c r="L27" s="5">
        <v>0.87</v>
      </c>
      <c r="M27" s="5">
        <v>0.5</v>
      </c>
      <c r="N27" s="5">
        <v>0.23</v>
      </c>
      <c r="O27" s="5">
        <v>0.1</v>
      </c>
      <c r="P27" s="5"/>
      <c r="Q27" s="11">
        <v>9.9999999999999995E-7</v>
      </c>
      <c r="R27" s="20"/>
      <c r="S27" s="5">
        <v>0</v>
      </c>
      <c r="T27" s="11">
        <v>9.9999999999999995E-7</v>
      </c>
      <c r="U27" s="11"/>
      <c r="V27" s="5" t="s">
        <v>24</v>
      </c>
      <c r="W27" s="6"/>
      <c r="X27" s="6" t="s">
        <v>174</v>
      </c>
      <c r="Y27" s="6"/>
      <c r="Z27" s="6" t="s">
        <v>403</v>
      </c>
      <c r="AA27" s="6"/>
      <c r="AC27" s="7"/>
      <c r="AD27" s="17" t="s">
        <v>343</v>
      </c>
      <c r="AE27" s="5"/>
      <c r="AF27" s="6" t="s">
        <v>175</v>
      </c>
      <c r="AG27" s="17" t="s">
        <v>342</v>
      </c>
      <c r="AH27" s="6" t="s">
        <v>404</v>
      </c>
      <c r="AI27" s="19" t="s">
        <v>334</v>
      </c>
      <c r="AJ27" s="6" t="s">
        <v>340</v>
      </c>
      <c r="AK27" s="6"/>
      <c r="AL27" s="6" t="s">
        <v>465</v>
      </c>
      <c r="AM27" s="6"/>
      <c r="AN27" s="5"/>
    </row>
    <row r="28" spans="1:40" ht="14.5" customHeight="1">
      <c r="A28" t="s">
        <v>135</v>
      </c>
      <c r="B28" s="5" t="s">
        <v>395</v>
      </c>
      <c r="C28">
        <v>0.72899999999999998</v>
      </c>
      <c r="D28">
        <v>0.72899999999999998</v>
      </c>
      <c r="E28">
        <v>0.125</v>
      </c>
      <c r="H28">
        <v>0.22</v>
      </c>
      <c r="I28">
        <v>0.75</v>
      </c>
      <c r="K28">
        <v>0.495</v>
      </c>
      <c r="L28">
        <v>0.87</v>
      </c>
      <c r="M28">
        <v>0.125</v>
      </c>
      <c r="N28">
        <v>0.22</v>
      </c>
      <c r="O28">
        <v>0.1</v>
      </c>
      <c r="Q28">
        <v>0.125</v>
      </c>
      <c r="R28" s="21"/>
      <c r="S28">
        <v>0</v>
      </c>
      <c r="T28" s="11">
        <v>9.9999999999999995E-7</v>
      </c>
      <c r="U28" s="11"/>
      <c r="V28" t="s">
        <v>24</v>
      </c>
      <c r="W28" s="7"/>
      <c r="X28" s="7" t="s">
        <v>174</v>
      </c>
      <c r="Y28" s="7"/>
      <c r="Z28" s="7" t="s">
        <v>402</v>
      </c>
      <c r="AA28" s="7"/>
      <c r="AC28" s="6"/>
      <c r="AD28" s="17" t="s">
        <v>343</v>
      </c>
      <c r="AE28" s="7"/>
      <c r="AF28" s="7" t="s">
        <v>175</v>
      </c>
      <c r="AG28" s="17" t="s">
        <v>342</v>
      </c>
      <c r="AH28" s="6" t="s">
        <v>404</v>
      </c>
      <c r="AI28" s="19" t="s">
        <v>334</v>
      </c>
      <c r="AJ28" s="6" t="s">
        <v>340</v>
      </c>
      <c r="AK28" s="7"/>
      <c r="AL28" s="7" t="s">
        <v>464</v>
      </c>
      <c r="AM28" s="47"/>
    </row>
    <row r="29" spans="1:40" ht="14.5" customHeight="1">
      <c r="A29" s="5" t="s">
        <v>136</v>
      </c>
      <c r="B29" s="5" t="s">
        <v>392</v>
      </c>
      <c r="C29" s="5">
        <v>0.76690000000000003</v>
      </c>
      <c r="D29" s="5">
        <v>0.76690000000000003</v>
      </c>
      <c r="E29" s="5">
        <v>0.95</v>
      </c>
      <c r="F29" s="5"/>
      <c r="G29" s="5"/>
      <c r="H29" s="5">
        <v>0.05</v>
      </c>
      <c r="I29" s="5">
        <v>0.05</v>
      </c>
      <c r="J29" s="5"/>
      <c r="K29" s="5">
        <v>0.13600000000000001</v>
      </c>
      <c r="L29" s="5">
        <v>0.87</v>
      </c>
      <c r="M29" s="5">
        <v>0.95</v>
      </c>
      <c r="N29" s="5">
        <v>0.19</v>
      </c>
      <c r="O29" s="5">
        <v>0.1</v>
      </c>
      <c r="P29" s="5"/>
      <c r="Q29" s="11">
        <v>9.9999999999999995E-7</v>
      </c>
      <c r="R29" s="20"/>
      <c r="S29" s="5">
        <v>0</v>
      </c>
      <c r="T29" s="11">
        <v>9.9999999999999995E-7</v>
      </c>
      <c r="U29" s="11"/>
      <c r="V29" s="5" t="s">
        <v>24</v>
      </c>
      <c r="W29" s="6"/>
      <c r="X29" s="6" t="s">
        <v>174</v>
      </c>
      <c r="Y29" s="6"/>
      <c r="Z29" s="6" t="s">
        <v>401</v>
      </c>
      <c r="AA29" s="6"/>
      <c r="AC29" s="7"/>
      <c r="AD29" s="17" t="s">
        <v>343</v>
      </c>
      <c r="AE29" s="5"/>
      <c r="AF29" s="6" t="s">
        <v>175</v>
      </c>
      <c r="AG29" s="17" t="s">
        <v>342</v>
      </c>
      <c r="AH29" s="6" t="s">
        <v>404</v>
      </c>
      <c r="AI29" s="19" t="s">
        <v>334</v>
      </c>
      <c r="AJ29" s="6" t="s">
        <v>340</v>
      </c>
      <c r="AK29" s="6"/>
      <c r="AL29" s="6" t="s">
        <v>465</v>
      </c>
      <c r="AM29" s="47"/>
      <c r="AN29" s="5"/>
    </row>
    <row r="30" spans="1:40" ht="14.5" customHeight="1">
      <c r="A30" t="s">
        <v>137</v>
      </c>
      <c r="B30" s="5" t="s">
        <v>362</v>
      </c>
      <c r="C30">
        <v>0.46850000000000003</v>
      </c>
      <c r="D30">
        <v>0.46850000000000003</v>
      </c>
      <c r="E30">
        <v>0.2</v>
      </c>
      <c r="H30" s="10">
        <v>9.9999999999999995E-7</v>
      </c>
      <c r="I30">
        <v>0.75</v>
      </c>
      <c r="K30">
        <v>0.34649999999999997</v>
      </c>
      <c r="L30">
        <v>0.48</v>
      </c>
      <c r="M30">
        <v>0.2</v>
      </c>
      <c r="N30">
        <v>0.11</v>
      </c>
      <c r="O30">
        <v>0.1</v>
      </c>
      <c r="Q30">
        <v>0.95</v>
      </c>
      <c r="R30" s="21"/>
      <c r="S30">
        <v>0</v>
      </c>
      <c r="T30" s="11">
        <v>9.9999999999999995E-7</v>
      </c>
      <c r="U30" s="11"/>
      <c r="V30" t="s">
        <v>24</v>
      </c>
      <c r="W30" s="7"/>
      <c r="X30" s="7" t="s">
        <v>174</v>
      </c>
      <c r="Y30" s="7"/>
      <c r="Z30" s="7" t="s">
        <v>400</v>
      </c>
      <c r="AA30" s="7"/>
      <c r="AC30" s="6"/>
      <c r="AD30" s="17" t="s">
        <v>343</v>
      </c>
      <c r="AF30" s="7" t="s">
        <v>175</v>
      </c>
      <c r="AG30" s="17" t="s">
        <v>342</v>
      </c>
      <c r="AH30" s="6" t="s">
        <v>404</v>
      </c>
      <c r="AI30" s="19" t="s">
        <v>334</v>
      </c>
      <c r="AJ30" s="6" t="s">
        <v>340</v>
      </c>
      <c r="AK30" s="7"/>
      <c r="AL30" s="7" t="s">
        <v>462</v>
      </c>
      <c r="AM30" s="47"/>
    </row>
    <row r="31" spans="1:40" ht="14.5" customHeight="1">
      <c r="A31" s="5" t="s">
        <v>138</v>
      </c>
      <c r="B31" s="5" t="s">
        <v>389</v>
      </c>
      <c r="C31" s="5">
        <v>0.75</v>
      </c>
      <c r="D31" s="5">
        <v>0.75</v>
      </c>
      <c r="E31" s="5">
        <v>0.95</v>
      </c>
      <c r="F31" s="5"/>
      <c r="G31" s="5"/>
      <c r="H31" s="5">
        <v>0.17</v>
      </c>
      <c r="I31" s="5">
        <v>0.5</v>
      </c>
      <c r="J31" s="5"/>
      <c r="K31" s="5">
        <v>0.63700000000000001</v>
      </c>
      <c r="L31" s="5">
        <v>0.74</v>
      </c>
      <c r="M31" s="5">
        <v>0.95</v>
      </c>
      <c r="N31" s="5">
        <v>0.26</v>
      </c>
      <c r="O31" s="5">
        <v>0.99299999999999999</v>
      </c>
      <c r="P31" s="5"/>
      <c r="Q31" s="5">
        <v>0.8</v>
      </c>
      <c r="R31" s="20"/>
      <c r="S31" s="5">
        <v>0.45</v>
      </c>
      <c r="T31" s="5">
        <v>0.4</v>
      </c>
      <c r="U31" s="5"/>
      <c r="V31" s="5" t="s">
        <v>24</v>
      </c>
      <c r="W31" s="6"/>
      <c r="X31" s="6" t="s">
        <v>174</v>
      </c>
      <c r="Y31" s="6"/>
      <c r="Z31" s="6" t="s">
        <v>399</v>
      </c>
      <c r="AA31" s="6"/>
      <c r="AC31" s="7"/>
      <c r="AD31" s="17" t="s">
        <v>343</v>
      </c>
      <c r="AF31" s="6" t="s">
        <v>175</v>
      </c>
      <c r="AG31" s="17" t="s">
        <v>342</v>
      </c>
      <c r="AH31" s="6" t="s">
        <v>404</v>
      </c>
      <c r="AI31" s="19" t="s">
        <v>334</v>
      </c>
      <c r="AJ31" s="1" t="s">
        <v>341</v>
      </c>
      <c r="AK31" s="6"/>
      <c r="AL31" s="6" t="s">
        <v>459</v>
      </c>
      <c r="AM31" s="47"/>
      <c r="AN31" s="5"/>
    </row>
    <row r="32" spans="1:40" ht="14.5" customHeight="1">
      <c r="A32" t="s">
        <v>70</v>
      </c>
      <c r="B32" t="s">
        <v>363</v>
      </c>
      <c r="C32">
        <v>0.34250000000000003</v>
      </c>
      <c r="D32">
        <v>0.33800000000000002</v>
      </c>
      <c r="E32">
        <v>0.26156000000000001</v>
      </c>
      <c r="G32" s="8"/>
      <c r="H32">
        <v>0.38300000000000001</v>
      </c>
      <c r="I32">
        <v>3.5000000000000003E-2</v>
      </c>
      <c r="J32">
        <v>0.35699999999999998</v>
      </c>
      <c r="K32">
        <v>0.3624</v>
      </c>
      <c r="L32">
        <v>0.24438253362692441</v>
      </c>
      <c r="M32">
        <v>0.17</v>
      </c>
      <c r="N32">
        <v>0.39</v>
      </c>
      <c r="O32">
        <v>0.73</v>
      </c>
      <c r="P32">
        <v>0.21</v>
      </c>
      <c r="Q32">
        <v>0.27307599999999999</v>
      </c>
      <c r="R32" s="16">
        <v>2.7500000000000002E-4</v>
      </c>
      <c r="T32" s="11">
        <v>0.2</v>
      </c>
      <c r="U32" s="11"/>
      <c r="V32" t="s">
        <v>31</v>
      </c>
      <c r="W32" s="7" t="s">
        <v>71</v>
      </c>
      <c r="X32" s="7" t="s">
        <v>156</v>
      </c>
      <c r="Y32" s="7" t="s">
        <v>128</v>
      </c>
      <c r="Z32" s="7" t="s">
        <v>139</v>
      </c>
      <c r="AA32" s="7"/>
      <c r="AB32" s="7"/>
      <c r="AC32" s="17" t="s">
        <v>267</v>
      </c>
      <c r="AD32" s="7"/>
      <c r="AE32" s="17" t="s">
        <v>268</v>
      </c>
      <c r="AF32" s="7" t="s">
        <v>77</v>
      </c>
      <c r="AG32" s="1" t="s">
        <v>310</v>
      </c>
      <c r="AH32" s="7" t="s">
        <v>333</v>
      </c>
      <c r="AI32" s="7"/>
      <c r="AJ32" s="7"/>
      <c r="AK32" s="7" t="s">
        <v>269</v>
      </c>
      <c r="AL32" s="1" t="s">
        <v>461</v>
      </c>
      <c r="AM32" s="47" t="s">
        <v>449</v>
      </c>
      <c r="AN32" s="7"/>
    </row>
    <row r="33" spans="1:40" ht="14.5" customHeight="1">
      <c r="A33" s="5" t="s">
        <v>69</v>
      </c>
      <c r="B33" t="s">
        <v>364</v>
      </c>
      <c r="C33" s="5">
        <v>0.24399999999999999</v>
      </c>
      <c r="D33" s="5">
        <v>0.33800000000000002</v>
      </c>
      <c r="E33" s="5">
        <v>0.26156000000000001</v>
      </c>
      <c r="F33" s="5"/>
      <c r="G33" s="9"/>
      <c r="H33" s="5">
        <v>0.46</v>
      </c>
      <c r="I33" s="5">
        <v>6.2E-2</v>
      </c>
      <c r="J33">
        <v>0.35699999999999998</v>
      </c>
      <c r="K33" s="5">
        <v>0.38300000000000001</v>
      </c>
      <c r="L33">
        <v>0.24438253362692441</v>
      </c>
      <c r="M33" s="5">
        <v>0.17</v>
      </c>
      <c r="N33" s="5">
        <v>0.39</v>
      </c>
      <c r="O33" s="5">
        <v>0.73</v>
      </c>
      <c r="P33" s="5">
        <v>0.21</v>
      </c>
      <c r="Q33">
        <v>0.27307599999999999</v>
      </c>
      <c r="R33" s="14">
        <v>2.7500000000000002E-4</v>
      </c>
      <c r="S33" s="5"/>
      <c r="T33" s="11">
        <v>0.2</v>
      </c>
      <c r="U33" s="11"/>
      <c r="V33" s="5" t="s">
        <v>31</v>
      </c>
      <c r="W33" s="6"/>
      <c r="X33" s="6" t="s">
        <v>157</v>
      </c>
      <c r="Y33" s="6" t="s">
        <v>127</v>
      </c>
      <c r="Z33" s="6" t="s">
        <v>140</v>
      </c>
      <c r="AA33" s="6"/>
      <c r="AB33" s="6"/>
      <c r="AC33" s="6" t="s">
        <v>270</v>
      </c>
      <c r="AD33" s="6"/>
      <c r="AE33" s="19" t="s">
        <v>268</v>
      </c>
      <c r="AF33" s="6" t="s">
        <v>77</v>
      </c>
      <c r="AG33" s="1" t="s">
        <v>310</v>
      </c>
      <c r="AH33" s="6" t="s">
        <v>333</v>
      </c>
      <c r="AI33" s="6" t="s">
        <v>271</v>
      </c>
      <c r="AJ33" s="6"/>
      <c r="AK33" s="6" t="s">
        <v>272</v>
      </c>
      <c r="AL33" s="1" t="s">
        <v>461</v>
      </c>
      <c r="AM33" s="48"/>
      <c r="AN33" s="6"/>
    </row>
    <row r="34" spans="1:40" ht="14.5" customHeight="1">
      <c r="A34" t="s">
        <v>75</v>
      </c>
      <c r="B34" t="s">
        <v>365</v>
      </c>
      <c r="C34">
        <v>1</v>
      </c>
      <c r="D34">
        <v>1</v>
      </c>
      <c r="E34">
        <v>1</v>
      </c>
      <c r="F34">
        <v>1</v>
      </c>
      <c r="G34" s="8">
        <v>1</v>
      </c>
      <c r="H34">
        <v>1</v>
      </c>
      <c r="I34">
        <v>1</v>
      </c>
      <c r="J34">
        <v>1</v>
      </c>
      <c r="K34">
        <v>1</v>
      </c>
      <c r="L34">
        <v>1</v>
      </c>
      <c r="M34">
        <v>1</v>
      </c>
      <c r="N34">
        <v>1</v>
      </c>
      <c r="O34">
        <v>1</v>
      </c>
      <c r="P34">
        <v>1</v>
      </c>
      <c r="Q34">
        <v>1</v>
      </c>
      <c r="R34" s="16">
        <v>1</v>
      </c>
      <c r="S34">
        <v>1</v>
      </c>
      <c r="T34" s="5">
        <v>1</v>
      </c>
      <c r="U34" s="5"/>
      <c r="V34" t="s">
        <v>31</v>
      </c>
      <c r="W34" s="7"/>
      <c r="X34" s="7"/>
      <c r="Y34" s="7"/>
      <c r="Z34" s="6" t="s">
        <v>140</v>
      </c>
      <c r="AA34" s="7"/>
      <c r="AB34" s="7"/>
      <c r="AC34" s="7"/>
      <c r="AD34" s="7"/>
      <c r="AE34" s="7"/>
      <c r="AF34" s="7" t="s">
        <v>77</v>
      </c>
      <c r="AG34" s="7"/>
      <c r="AH34" s="7"/>
      <c r="AI34" s="7"/>
      <c r="AJ34" s="7"/>
      <c r="AK34" s="7"/>
      <c r="AL34" s="7"/>
      <c r="AM34" s="48"/>
      <c r="AN34" s="7"/>
    </row>
    <row r="35" spans="1:40" ht="14.5" customHeight="1">
      <c r="A35" s="5" t="s">
        <v>74</v>
      </c>
      <c r="B35" t="s">
        <v>366</v>
      </c>
      <c r="C35" s="5">
        <v>0.57769999999999999</v>
      </c>
      <c r="D35" s="5">
        <v>0.53300000000000003</v>
      </c>
      <c r="E35" s="5">
        <v>0.1065</v>
      </c>
      <c r="F35" s="5"/>
      <c r="G35" s="9"/>
      <c r="H35" s="5">
        <v>0.64</v>
      </c>
      <c r="I35" s="5">
        <v>0.28999999999999998</v>
      </c>
      <c r="J35" s="5"/>
      <c r="K35" s="5">
        <v>0.43180000000000002</v>
      </c>
      <c r="L35" s="5">
        <v>0.3</v>
      </c>
      <c r="M35" s="5">
        <v>0.13</v>
      </c>
      <c r="N35" s="5">
        <v>0.33</v>
      </c>
      <c r="O35" s="5">
        <v>0.42</v>
      </c>
      <c r="P35" s="5">
        <v>0.498</v>
      </c>
      <c r="Q35" s="5">
        <v>0.11700000000000001</v>
      </c>
      <c r="R35" s="14">
        <v>0.625</v>
      </c>
      <c r="S35" s="5"/>
      <c r="T35" s="5">
        <v>0.5</v>
      </c>
      <c r="U35" s="5"/>
      <c r="V35" s="5" t="s">
        <v>31</v>
      </c>
      <c r="W35" s="6"/>
      <c r="X35" s="6" t="s">
        <v>158</v>
      </c>
      <c r="Y35" s="6" t="s">
        <v>131</v>
      </c>
      <c r="Z35" s="6" t="s">
        <v>147</v>
      </c>
      <c r="AA35" s="6"/>
      <c r="AB35" s="6"/>
      <c r="AC35" s="19" t="s">
        <v>273</v>
      </c>
      <c r="AD35" s="6"/>
      <c r="AE35" s="6"/>
      <c r="AF35" s="6" t="s">
        <v>77</v>
      </c>
      <c r="AG35" s="6" t="s">
        <v>444</v>
      </c>
      <c r="AH35" s="6"/>
      <c r="AI35" s="6"/>
      <c r="AJ35" s="6"/>
      <c r="AK35" s="22" t="s">
        <v>274</v>
      </c>
      <c r="AL35" s="1" t="s">
        <v>466</v>
      </c>
      <c r="AM35" s="48"/>
      <c r="AN35" s="6"/>
    </row>
    <row r="36" spans="1:40" ht="14.5" customHeight="1">
      <c r="A36" t="s">
        <v>72</v>
      </c>
      <c r="B36" t="s">
        <v>368</v>
      </c>
      <c r="C36">
        <v>0</v>
      </c>
      <c r="D36">
        <v>0</v>
      </c>
      <c r="E36">
        <f>1-0.52/2</f>
        <v>0.74</v>
      </c>
      <c r="G36" s="8"/>
      <c r="H36">
        <v>1</v>
      </c>
      <c r="I36">
        <v>1</v>
      </c>
      <c r="J36">
        <v>1</v>
      </c>
      <c r="K36">
        <v>0.38869999999999999</v>
      </c>
      <c r="L36">
        <v>1</v>
      </c>
      <c r="M36">
        <f>1-$M$11/2</f>
        <v>0.89719400096758584</v>
      </c>
      <c r="N36">
        <v>1</v>
      </c>
      <c r="O36">
        <v>1</v>
      </c>
      <c r="P36">
        <v>1</v>
      </c>
      <c r="Q36">
        <f>1-Q10</f>
        <v>0.72</v>
      </c>
      <c r="R36" s="16">
        <v>1</v>
      </c>
      <c r="T36" s="5">
        <v>1</v>
      </c>
      <c r="U36" s="5"/>
      <c r="V36" t="s">
        <v>31</v>
      </c>
      <c r="W36" s="7"/>
      <c r="X36" s="7"/>
      <c r="Y36" s="7" t="s">
        <v>130</v>
      </c>
      <c r="Z36" s="7" t="s">
        <v>344</v>
      </c>
      <c r="AA36" s="7"/>
      <c r="AB36" s="7"/>
      <c r="AC36" s="7"/>
      <c r="AD36" s="7"/>
      <c r="AE36" s="7"/>
      <c r="AF36" s="7" t="s">
        <v>77</v>
      </c>
      <c r="AG36" s="7"/>
      <c r="AH36" s="7" t="s">
        <v>345</v>
      </c>
      <c r="AI36" s="7"/>
      <c r="AJ36" s="7"/>
      <c r="AK36" s="7"/>
      <c r="AL36" s="7" t="s">
        <v>460</v>
      </c>
      <c r="AM36" s="48" t="s">
        <v>450</v>
      </c>
      <c r="AN36" s="7"/>
    </row>
    <row r="37" spans="1:40" ht="14.5" customHeight="1">
      <c r="A37" s="5" t="s">
        <v>32</v>
      </c>
      <c r="B37" t="s">
        <v>367</v>
      </c>
      <c r="C37" s="5">
        <v>0</v>
      </c>
      <c r="D37" s="5">
        <v>0</v>
      </c>
      <c r="E37">
        <f>1-0.52/2</f>
        <v>0.74</v>
      </c>
      <c r="F37" s="5"/>
      <c r="G37" s="9"/>
      <c r="H37" s="5">
        <v>1</v>
      </c>
      <c r="I37" s="5">
        <v>1</v>
      </c>
      <c r="J37" s="5">
        <v>1</v>
      </c>
      <c r="K37" s="5">
        <v>0.312</v>
      </c>
      <c r="L37" s="5">
        <v>1</v>
      </c>
      <c r="M37">
        <f>1-$M$11/2</f>
        <v>0.89719400096758584</v>
      </c>
      <c r="N37" s="5">
        <v>1</v>
      </c>
      <c r="O37" s="5">
        <v>1</v>
      </c>
      <c r="P37" s="5">
        <v>1</v>
      </c>
      <c r="Q37" s="5">
        <f>1-Q10</f>
        <v>0.72</v>
      </c>
      <c r="R37" s="14">
        <v>1</v>
      </c>
      <c r="S37" s="5"/>
      <c r="T37" s="5">
        <v>0</v>
      </c>
      <c r="U37" s="5"/>
      <c r="V37" s="5" t="s">
        <v>31</v>
      </c>
      <c r="W37" s="6"/>
      <c r="X37" s="6"/>
      <c r="Y37" s="6" t="s">
        <v>130</v>
      </c>
      <c r="Z37" s="7" t="s">
        <v>344</v>
      </c>
      <c r="AA37" s="6"/>
      <c r="AB37" s="6"/>
      <c r="AC37" s="6"/>
      <c r="AD37" s="6"/>
      <c r="AE37" s="6"/>
      <c r="AF37" s="6" t="s">
        <v>77</v>
      </c>
      <c r="AG37" s="6"/>
      <c r="AH37" s="7" t="s">
        <v>345</v>
      </c>
      <c r="AI37" s="6"/>
      <c r="AJ37" s="6"/>
      <c r="AK37" s="6" t="s">
        <v>204</v>
      </c>
      <c r="AL37" s="7" t="s">
        <v>460</v>
      </c>
      <c r="AM37" s="48"/>
      <c r="AN37" s="6"/>
    </row>
    <row r="38" spans="1:40" ht="14.5" customHeight="1">
      <c r="A38" t="s">
        <v>73</v>
      </c>
      <c r="B38" t="s">
        <v>429</v>
      </c>
      <c r="C38">
        <v>0</v>
      </c>
      <c r="D38">
        <v>0</v>
      </c>
      <c r="E38">
        <v>0.14099999999999999</v>
      </c>
      <c r="F38">
        <v>0.69099999999999995</v>
      </c>
      <c r="G38" s="8"/>
      <c r="H38">
        <v>0</v>
      </c>
      <c r="I38">
        <v>0</v>
      </c>
      <c r="J38">
        <v>0</v>
      </c>
      <c r="K38">
        <v>0.13800000000000001</v>
      </c>
      <c r="L38">
        <v>0.34300000000000003</v>
      </c>
      <c r="M38">
        <v>8.0999999999999996E-4</v>
      </c>
      <c r="N38">
        <v>7.7000000000000002E-3</v>
      </c>
      <c r="O38">
        <v>0</v>
      </c>
      <c r="P38">
        <v>8.0999999999999996E-3</v>
      </c>
      <c r="Q38">
        <v>0.55900000000000005</v>
      </c>
      <c r="R38" s="16">
        <v>1</v>
      </c>
      <c r="T38" s="45">
        <v>0.278057</v>
      </c>
      <c r="U38" s="45"/>
      <c r="V38" t="s">
        <v>31</v>
      </c>
      <c r="W38" s="7"/>
      <c r="X38" s="7"/>
      <c r="Y38" s="7"/>
      <c r="Z38" s="7"/>
      <c r="AA38" s="7"/>
      <c r="AB38" s="7"/>
      <c r="AC38" s="7"/>
      <c r="AD38" s="7"/>
      <c r="AE38" s="7" t="s">
        <v>275</v>
      </c>
      <c r="AF38" s="7" t="s">
        <v>77</v>
      </c>
      <c r="AG38" s="7" t="s">
        <v>321</v>
      </c>
      <c r="AH38" s="7"/>
      <c r="AI38" s="7"/>
      <c r="AJ38" s="7"/>
      <c r="AK38" s="17" t="s">
        <v>277</v>
      </c>
      <c r="AL38" s="7"/>
      <c r="AM38" s="48"/>
      <c r="AN38" s="7" t="s">
        <v>278</v>
      </c>
    </row>
    <row r="39" spans="1:40" ht="14.5" customHeight="1">
      <c r="A39" s="5" t="s">
        <v>33</v>
      </c>
      <c r="B39" t="s">
        <v>369</v>
      </c>
      <c r="C39" s="5">
        <v>0</v>
      </c>
      <c r="D39" s="5">
        <v>0</v>
      </c>
      <c r="E39" s="5">
        <v>0.14099999999999999</v>
      </c>
      <c r="F39" s="5">
        <v>0.69099999999999995</v>
      </c>
      <c r="G39" s="9"/>
      <c r="H39" s="5">
        <v>0</v>
      </c>
      <c r="I39" s="5">
        <v>0</v>
      </c>
      <c r="J39" s="5">
        <v>0</v>
      </c>
      <c r="K39" s="5">
        <v>1.2E-2</v>
      </c>
      <c r="L39" s="5">
        <v>0.34300000000000003</v>
      </c>
      <c r="M39" s="5">
        <v>8.0999999999999996E-4</v>
      </c>
      <c r="N39" s="5">
        <v>7.7000000000000002E-3</v>
      </c>
      <c r="O39" s="5">
        <v>0</v>
      </c>
      <c r="P39" s="5">
        <v>8.0999999999999996E-3</v>
      </c>
      <c r="Q39" s="5">
        <v>0.55900000000000005</v>
      </c>
      <c r="R39" s="14">
        <v>1</v>
      </c>
      <c r="S39" s="5"/>
      <c r="T39" s="45">
        <v>0.278057</v>
      </c>
      <c r="U39" s="45"/>
      <c r="V39" s="5" t="s">
        <v>31</v>
      </c>
      <c r="W39" s="6"/>
      <c r="X39" s="6"/>
      <c r="Y39" s="6"/>
      <c r="Z39" s="6"/>
      <c r="AA39" s="6"/>
      <c r="AB39" s="6"/>
      <c r="AC39" s="6"/>
      <c r="AD39" s="6"/>
      <c r="AE39" s="6"/>
      <c r="AF39" s="6" t="s">
        <v>77</v>
      </c>
      <c r="AG39" s="19" t="s">
        <v>322</v>
      </c>
      <c r="AH39" s="6"/>
      <c r="AI39" s="6" t="s">
        <v>276</v>
      </c>
      <c r="AJ39" s="6"/>
      <c r="AK39" s="6"/>
      <c r="AL39" s="6"/>
      <c r="AM39" s="48"/>
      <c r="AN39" s="6"/>
    </row>
    <row r="40" spans="1:40" ht="14.5" customHeight="1">
      <c r="A40" t="s">
        <v>76</v>
      </c>
      <c r="B40" t="s">
        <v>370</v>
      </c>
      <c r="C40">
        <v>88603.1</v>
      </c>
      <c r="D40">
        <v>1869000</v>
      </c>
      <c r="E40">
        <v>4.87</v>
      </c>
      <c r="G40" s="8"/>
      <c r="H40">
        <v>108.5</v>
      </c>
      <c r="I40">
        <f>I42/(1-I32)</f>
        <v>321.92849740932644</v>
      </c>
      <c r="J40">
        <v>2.8</v>
      </c>
      <c r="K40">
        <v>30158.48</v>
      </c>
      <c r="L40">
        <v>3461.4</v>
      </c>
      <c r="M40">
        <v>28.271999999999998</v>
      </c>
      <c r="N40">
        <v>17267.080000000002</v>
      </c>
      <c r="O40">
        <v>12417.745999999999</v>
      </c>
      <c r="P40">
        <v>260997</v>
      </c>
      <c r="Q40">
        <f>Q42/(1-Q32)</f>
        <v>0.25587269095531306</v>
      </c>
      <c r="R40" s="16">
        <v>260</v>
      </c>
      <c r="T40" s="5">
        <v>439</v>
      </c>
      <c r="U40" s="5"/>
      <c r="V40" t="s">
        <v>31</v>
      </c>
      <c r="W40" s="7"/>
      <c r="X40" s="7" t="s">
        <v>155</v>
      </c>
      <c r="Y40" s="7" t="s">
        <v>131</v>
      </c>
      <c r="Z40" s="7" t="s">
        <v>148</v>
      </c>
      <c r="AA40" s="7"/>
      <c r="AB40" s="7"/>
      <c r="AC40" s="7" t="s">
        <v>279</v>
      </c>
      <c r="AD40" s="7" t="s">
        <v>280</v>
      </c>
      <c r="AE40" s="7" t="s">
        <v>281</v>
      </c>
      <c r="AF40" s="7" t="s">
        <v>91</v>
      </c>
      <c r="AG40" s="7"/>
      <c r="AH40" s="7"/>
      <c r="AI40" s="7" t="s">
        <v>282</v>
      </c>
      <c r="AJ40" s="7"/>
      <c r="AK40" s="7" t="s">
        <v>204</v>
      </c>
      <c r="AL40" s="7"/>
      <c r="AM40" s="48"/>
      <c r="AN40" s="7"/>
    </row>
    <row r="41" spans="1:40" ht="14.5" customHeight="1">
      <c r="A41" s="5" t="s">
        <v>283</v>
      </c>
      <c r="B41" s="5" t="s">
        <v>371</v>
      </c>
      <c r="C41" s="5">
        <v>0.5</v>
      </c>
      <c r="D41" s="5">
        <v>0.5</v>
      </c>
      <c r="E41" s="5">
        <v>0.5</v>
      </c>
      <c r="F41" s="5">
        <v>0.5</v>
      </c>
      <c r="G41" s="5">
        <v>0.5</v>
      </c>
      <c r="H41" s="5">
        <v>0.5</v>
      </c>
      <c r="I41" s="5">
        <v>0.5</v>
      </c>
      <c r="J41" s="5">
        <v>0.5</v>
      </c>
      <c r="K41" s="5">
        <v>0.5</v>
      </c>
      <c r="L41" s="5">
        <v>0.5</v>
      </c>
      <c r="M41" s="5">
        <v>0.5</v>
      </c>
      <c r="N41" s="5">
        <v>0.5</v>
      </c>
      <c r="O41" s="5">
        <v>0.5</v>
      </c>
      <c r="P41" s="5">
        <v>0.23</v>
      </c>
      <c r="Q41" s="5">
        <v>0.5</v>
      </c>
      <c r="R41" s="5">
        <v>0.5</v>
      </c>
      <c r="S41" s="5">
        <v>0.5</v>
      </c>
      <c r="T41" s="5">
        <v>0.5</v>
      </c>
      <c r="U41" s="5"/>
      <c r="V41" s="5"/>
      <c r="W41" s="5"/>
      <c r="X41" s="5"/>
      <c r="Y41" s="5"/>
      <c r="Z41" s="5"/>
      <c r="AA41" s="5"/>
      <c r="AB41" s="5"/>
      <c r="AC41" s="5"/>
      <c r="AD41" s="5"/>
      <c r="AE41" s="5"/>
      <c r="AF41" s="5"/>
      <c r="AG41" s="5"/>
      <c r="AH41" s="5"/>
      <c r="AI41" s="5"/>
      <c r="AJ41" s="5"/>
      <c r="AK41" s="5" t="s">
        <v>284</v>
      </c>
      <c r="AL41" s="5"/>
      <c r="AM41" s="48"/>
      <c r="AN41" s="5"/>
    </row>
    <row r="42" spans="1:40" ht="14.5" customHeight="1">
      <c r="A42" t="s">
        <v>14</v>
      </c>
      <c r="B42" t="s">
        <v>318</v>
      </c>
      <c r="C42">
        <v>67223.3764402956</v>
      </c>
      <c r="D42">
        <v>1159359.712230216</v>
      </c>
      <c r="E42">
        <v>3.5962000000000001</v>
      </c>
      <c r="G42" s="8"/>
      <c r="H42" s="15">
        <v>83.8</v>
      </c>
      <c r="I42">
        <v>310.661</v>
      </c>
      <c r="J42">
        <v>1.85</v>
      </c>
      <c r="K42">
        <v>20539</v>
      </c>
      <c r="L42">
        <v>2673.57</v>
      </c>
      <c r="M42">
        <v>23.697381126123137</v>
      </c>
      <c r="N42">
        <v>14240.812392276797</v>
      </c>
      <c r="O42">
        <v>4818.7460000000001</v>
      </c>
      <c r="P42">
        <v>294</v>
      </c>
      <c r="Q42">
        <v>0.186</v>
      </c>
      <c r="R42" s="16">
        <v>0.52</v>
      </c>
      <c r="T42" s="5">
        <v>186</v>
      </c>
      <c r="U42" s="5"/>
      <c r="V42" t="s">
        <v>34</v>
      </c>
      <c r="W42" s="7"/>
      <c r="X42" s="7"/>
      <c r="Y42" s="7" t="s">
        <v>92</v>
      </c>
      <c r="Z42" s="7" t="s">
        <v>147</v>
      </c>
      <c r="AA42" s="7" t="s">
        <v>93</v>
      </c>
      <c r="AB42" s="7"/>
      <c r="AC42" s="7" t="s">
        <v>285</v>
      </c>
      <c r="AD42" s="17" t="s">
        <v>286</v>
      </c>
      <c r="AE42" s="7" t="s">
        <v>199</v>
      </c>
      <c r="AF42" s="7"/>
      <c r="AG42" s="7"/>
      <c r="AH42" s="7"/>
      <c r="AI42" s="7"/>
      <c r="AJ42" s="7"/>
      <c r="AK42" s="7"/>
      <c r="AL42" s="7" t="s">
        <v>287</v>
      </c>
      <c r="AM42" s="6"/>
      <c r="AN42" s="7"/>
    </row>
    <row r="43" spans="1:40" ht="14.5" customHeight="1">
      <c r="A43" s="23" t="s">
        <v>15</v>
      </c>
      <c r="B43" s="23" t="s">
        <v>372</v>
      </c>
      <c r="C43" s="5">
        <f>2353/5.1</f>
        <v>461.3725490196079</v>
      </c>
      <c r="D43" s="5">
        <v>745.14</v>
      </c>
      <c r="E43" s="5">
        <v>3.5370000000000002E-3</v>
      </c>
      <c r="F43" s="5"/>
      <c r="G43" s="9"/>
      <c r="H43" s="5">
        <v>1</v>
      </c>
      <c r="I43" s="5">
        <v>4.5032618547779402</v>
      </c>
      <c r="J43" s="5"/>
      <c r="K43" s="5">
        <v>12.449078</v>
      </c>
      <c r="L43" s="5">
        <v>24.843557000000001</v>
      </c>
      <c r="M43" s="5">
        <v>8.0507999999999996E-2</v>
      </c>
      <c r="N43" s="5">
        <v>16.420480999999999</v>
      </c>
      <c r="O43" s="5">
        <v>4.8053819999999998</v>
      </c>
      <c r="P43" s="5">
        <v>8.8008670000000002</v>
      </c>
      <c r="Q43" s="5">
        <v>5.6010000000000001E-3</v>
      </c>
      <c r="R43" s="14"/>
      <c r="S43" s="5"/>
      <c r="T43" s="5">
        <v>6.6796755950833404</v>
      </c>
      <c r="U43" s="5"/>
      <c r="V43" s="5" t="s">
        <v>34</v>
      </c>
      <c r="W43" s="6"/>
      <c r="X43" s="6" t="s">
        <v>172</v>
      </c>
      <c r="Y43" s="6" t="s">
        <v>90</v>
      </c>
      <c r="Z43" s="19" t="s">
        <v>111</v>
      </c>
      <c r="AA43" s="6"/>
      <c r="AB43" s="6"/>
      <c r="AC43" s="6" t="s">
        <v>413</v>
      </c>
      <c r="AD43" s="6" t="s">
        <v>354</v>
      </c>
      <c r="AE43" s="6"/>
      <c r="AF43" s="6" t="s">
        <v>111</v>
      </c>
      <c r="AG43" s="6" t="s">
        <v>111</v>
      </c>
      <c r="AH43" s="6" t="s">
        <v>111</v>
      </c>
      <c r="AI43" s="6" t="s">
        <v>111</v>
      </c>
      <c r="AJ43" s="6" t="s">
        <v>111</v>
      </c>
      <c r="AK43" s="6" t="s">
        <v>111</v>
      </c>
      <c r="AL43" s="6" t="s">
        <v>111</v>
      </c>
      <c r="AM43" s="48" t="s">
        <v>451</v>
      </c>
      <c r="AN43" s="6"/>
    </row>
    <row r="44" spans="1:40" ht="14.5" customHeight="1">
      <c r="A44" s="24" t="s">
        <v>16</v>
      </c>
      <c r="B44" s="23" t="s">
        <v>373</v>
      </c>
      <c r="C44">
        <f>0.995^0.5</f>
        <v>0.99749686716300012</v>
      </c>
      <c r="D44">
        <f>1.75414^0.5</f>
        <v>1.3244395040922028</v>
      </c>
      <c r="E44">
        <f>1.119928^0.5</f>
        <v>1.0582665070765493</v>
      </c>
      <c r="G44" s="8"/>
      <c r="H44">
        <v>0.7</v>
      </c>
      <c r="I44" s="37">
        <v>0.74194119079264453</v>
      </c>
      <c r="K44">
        <f>4.506331^0.5</f>
        <v>2.1228120500882786</v>
      </c>
      <c r="L44">
        <f>0.730054^0.5</f>
        <v>0.85443197505711355</v>
      </c>
      <c r="M44">
        <f>1.164431^0.5</f>
        <v>1.0790880408937911</v>
      </c>
      <c r="N44">
        <f>2.619654^0.5</f>
        <v>1.6185345223380316</v>
      </c>
      <c r="O44">
        <f>2.612836^0.5</f>
        <v>1.6164269238044757</v>
      </c>
      <c r="P44">
        <f>0.082201^0.5</f>
        <v>0.2867071676815911</v>
      </c>
      <c r="Q44">
        <f>0.603488^0.5</f>
        <v>0.77684490086503111</v>
      </c>
      <c r="R44" s="16"/>
      <c r="T44" s="5">
        <v>1.5063615691591801</v>
      </c>
      <c r="U44" s="5"/>
      <c r="V44" t="s">
        <v>34</v>
      </c>
      <c r="W44" s="7"/>
      <c r="X44" s="7" t="s">
        <v>161</v>
      </c>
      <c r="Y44" s="7" t="s">
        <v>89</v>
      </c>
      <c r="Z44" s="7" t="s">
        <v>111</v>
      </c>
      <c r="AA44" s="7"/>
      <c r="AB44" s="7"/>
      <c r="AC44" s="6" t="s">
        <v>413</v>
      </c>
      <c r="AD44" s="7" t="s">
        <v>350</v>
      </c>
      <c r="AE44" s="7"/>
      <c r="AF44" s="7" t="s">
        <v>111</v>
      </c>
      <c r="AG44" s="7" t="s">
        <v>111</v>
      </c>
      <c r="AH44" s="7" t="s">
        <v>111</v>
      </c>
      <c r="AI44" s="7" t="s">
        <v>111</v>
      </c>
      <c r="AJ44" s="7" t="s">
        <v>111</v>
      </c>
      <c r="AK44" s="7" t="s">
        <v>111</v>
      </c>
      <c r="AL44" s="7" t="s">
        <v>111</v>
      </c>
      <c r="AM44" s="48" t="s">
        <v>452</v>
      </c>
      <c r="AN44" s="7"/>
    </row>
    <row r="45" spans="1:40" ht="14.5" customHeight="1">
      <c r="A45" s="23" t="s">
        <v>35</v>
      </c>
      <c r="B45" s="23" t="s">
        <v>374</v>
      </c>
      <c r="C45" s="5">
        <f>39.886/1.93</f>
        <v>20.666321243523317</v>
      </c>
      <c r="D45" s="5">
        <v>63.37</v>
      </c>
      <c r="E45" s="5">
        <v>2.2100000000000001E-4</v>
      </c>
      <c r="F45" s="5"/>
      <c r="H45" s="5">
        <v>0.7</v>
      </c>
      <c r="I45" s="38">
        <v>1.0968131213886334</v>
      </c>
      <c r="J45" s="5"/>
      <c r="K45" s="5">
        <v>0.64898900000000004</v>
      </c>
      <c r="L45" s="5">
        <v>1.2763679999999999</v>
      </c>
      <c r="M45" s="5">
        <v>1.6863E-2</v>
      </c>
      <c r="N45" s="5">
        <v>3.8657819999999998</v>
      </c>
      <c r="O45" s="5">
        <v>2.2956560000000001</v>
      </c>
      <c r="P45" s="5">
        <v>0.19573199999999999</v>
      </c>
      <c r="Q45" s="5">
        <v>1.7799999999999999E-4</v>
      </c>
      <c r="R45" s="14"/>
      <c r="S45" s="5"/>
      <c r="T45" s="5">
        <v>0.98090753516626605</v>
      </c>
      <c r="U45" s="5"/>
      <c r="V45" s="5" t="s">
        <v>34</v>
      </c>
      <c r="W45" s="6"/>
      <c r="X45" s="6" t="s">
        <v>171</v>
      </c>
      <c r="Y45" s="6" t="s">
        <v>89</v>
      </c>
      <c r="Z45" s="6" t="s">
        <v>111</v>
      </c>
      <c r="AA45" s="6"/>
      <c r="AB45" s="6"/>
      <c r="AC45" s="6" t="s">
        <v>408</v>
      </c>
      <c r="AD45" s="6" t="s">
        <v>351</v>
      </c>
      <c r="AE45" s="6"/>
      <c r="AF45" s="6" t="s">
        <v>111</v>
      </c>
      <c r="AG45" s="6" t="s">
        <v>111</v>
      </c>
      <c r="AH45" s="6" t="s">
        <v>111</v>
      </c>
      <c r="AI45" s="6" t="s">
        <v>111</v>
      </c>
      <c r="AJ45" s="6" t="s">
        <v>111</v>
      </c>
      <c r="AK45" s="6" t="s">
        <v>111</v>
      </c>
      <c r="AL45" s="6" t="s">
        <v>111</v>
      </c>
      <c r="AM45" s="48" t="s">
        <v>452</v>
      </c>
      <c r="AN45" s="6"/>
    </row>
    <row r="46" spans="1:40" ht="14.5" customHeight="1">
      <c r="A46" s="24" t="s">
        <v>36</v>
      </c>
      <c r="B46" s="23" t="s">
        <v>373</v>
      </c>
      <c r="C46">
        <f>0.1332^0.5</f>
        <v>0.3649657518178932</v>
      </c>
      <c r="D46">
        <f>0.0601^0.5</f>
        <v>0.24515301344262524</v>
      </c>
      <c r="E46">
        <v>0.95105399999999995</v>
      </c>
      <c r="G46" s="8"/>
      <c r="H46">
        <v>0.35</v>
      </c>
      <c r="I46" s="37">
        <v>0.57791694994750731</v>
      </c>
      <c r="K46">
        <v>0.72167400000000004</v>
      </c>
      <c r="L46">
        <v>0.627772</v>
      </c>
      <c r="M46">
        <f>0.592826^0.5</f>
        <v>0.76995194655251054</v>
      </c>
      <c r="N46">
        <f>0.385681^0.5</f>
        <v>0.62103220528407377</v>
      </c>
      <c r="O46">
        <f>0.551519^0.5</f>
        <v>0.74264325217428584</v>
      </c>
      <c r="P46">
        <f>0.001142^0.5</f>
        <v>3.3793490497431605E-2</v>
      </c>
      <c r="Q46">
        <f>0.119309^0.5</f>
        <v>0.34541134897394438</v>
      </c>
      <c r="R46" s="16"/>
      <c r="T46" s="5">
        <v>0.34055052130256103</v>
      </c>
      <c r="U46" s="5"/>
      <c r="V46" t="s">
        <v>34</v>
      </c>
      <c r="W46" s="7" t="s">
        <v>307</v>
      </c>
      <c r="X46" s="7" t="s">
        <v>306</v>
      </c>
      <c r="Y46" s="7" t="s">
        <v>89</v>
      </c>
      <c r="Z46" s="7" t="s">
        <v>111</v>
      </c>
      <c r="AA46" s="7"/>
      <c r="AB46" s="7"/>
      <c r="AC46" s="6" t="s">
        <v>408</v>
      </c>
      <c r="AD46" s="6" t="s">
        <v>352</v>
      </c>
      <c r="AE46" s="7"/>
      <c r="AF46" s="7" t="s">
        <v>111</v>
      </c>
      <c r="AG46" s="7" t="s">
        <v>111</v>
      </c>
      <c r="AH46" s="7" t="s">
        <v>111</v>
      </c>
      <c r="AI46" s="7" t="s">
        <v>111</v>
      </c>
      <c r="AJ46" s="7" t="s">
        <v>111</v>
      </c>
      <c r="AK46" s="7" t="s">
        <v>111</v>
      </c>
      <c r="AL46" s="7" t="s">
        <v>111</v>
      </c>
      <c r="AM46" s="48" t="s">
        <v>452</v>
      </c>
      <c r="AN46" s="7"/>
    </row>
    <row r="47" spans="1:40" ht="14.5" customHeight="1">
      <c r="A47" s="5" t="s">
        <v>37</v>
      </c>
      <c r="B47" s="5" t="s">
        <v>376</v>
      </c>
      <c r="C47" s="5">
        <v>1807.7719999999999</v>
      </c>
      <c r="D47" s="5">
        <v>670</v>
      </c>
      <c r="E47" s="11">
        <v>44806598</v>
      </c>
      <c r="F47" s="11">
        <v>35736</v>
      </c>
      <c r="G47" s="9"/>
      <c r="H47" s="5">
        <v>30800</v>
      </c>
      <c r="I47" s="11">
        <v>19444</v>
      </c>
      <c r="J47" s="5">
        <v>161000</v>
      </c>
      <c r="K47" s="5">
        <v>6018.558</v>
      </c>
      <c r="L47" s="5">
        <v>14285.808000000001</v>
      </c>
      <c r="M47" s="9">
        <f>16.22*35274</f>
        <v>572144.27999999991</v>
      </c>
      <c r="N47" s="5">
        <v>2535.29</v>
      </c>
      <c r="O47" s="5">
        <v>2006.1859999999999</v>
      </c>
      <c r="P47" s="11">
        <v>24647.428</v>
      </c>
      <c r="Q47" s="11">
        <f>863*35273.96</f>
        <v>30441427.48</v>
      </c>
      <c r="R47" s="14">
        <v>58419.6</v>
      </c>
      <c r="S47" s="25">
        <v>11120.835754394531</v>
      </c>
      <c r="T47" s="11">
        <v>11120</v>
      </c>
      <c r="U47" s="11"/>
      <c r="V47" s="5" t="s">
        <v>34</v>
      </c>
      <c r="W47" s="6" t="s">
        <v>125</v>
      </c>
      <c r="X47" s="6"/>
      <c r="Y47" s="6"/>
      <c r="Z47" s="6"/>
      <c r="AA47" s="6"/>
      <c r="AB47" s="6"/>
      <c r="AC47" s="19" t="s">
        <v>323</v>
      </c>
      <c r="AD47" s="6"/>
      <c r="AE47" s="19" t="s">
        <v>324</v>
      </c>
      <c r="AF47" s="6" t="s">
        <v>288</v>
      </c>
      <c r="AG47" s="6"/>
      <c r="AH47" s="35" t="s">
        <v>326</v>
      </c>
      <c r="AI47" s="6"/>
      <c r="AJ47" s="19" t="s">
        <v>289</v>
      </c>
      <c r="AK47" s="6"/>
      <c r="AL47" s="1" t="s">
        <v>461</v>
      </c>
      <c r="AM47" s="48" t="s">
        <v>452</v>
      </c>
      <c r="AN47" s="6" t="s">
        <v>290</v>
      </c>
    </row>
    <row r="48" spans="1:40" ht="14.5" customHeight="1">
      <c r="A48" t="s">
        <v>124</v>
      </c>
      <c r="B48" t="s">
        <v>375</v>
      </c>
      <c r="C48">
        <v>706</v>
      </c>
      <c r="D48">
        <v>25</v>
      </c>
      <c r="E48" s="10">
        <f>E47-1000*35274</f>
        <v>9532598</v>
      </c>
      <c r="G48" s="8"/>
      <c r="H48">
        <v>15.968999999999999</v>
      </c>
      <c r="I48">
        <v>4661</v>
      </c>
      <c r="J48">
        <v>-27033</v>
      </c>
      <c r="K48">
        <v>211</v>
      </c>
      <c r="L48">
        <v>1394</v>
      </c>
      <c r="M48" s="10">
        <f>M47-14.86*35274</f>
        <v>47972.639999999956</v>
      </c>
      <c r="N48">
        <f>N47-0.88*2204.6</f>
        <v>595.24199999999996</v>
      </c>
      <c r="O48">
        <f>O47-0.77*2204.6</f>
        <v>308.64400000000001</v>
      </c>
      <c r="P48">
        <v>23820</v>
      </c>
      <c r="Q48" s="10">
        <f>Q47-696.31*35274</f>
        <v>5879788.5400000028</v>
      </c>
      <c r="R48" s="16"/>
      <c r="T48" s="11">
        <v>200</v>
      </c>
      <c r="U48" s="11"/>
      <c r="X48" t="s">
        <v>164</v>
      </c>
      <c r="Y48" t="s">
        <v>166</v>
      </c>
      <c r="Z48" t="s">
        <v>165</v>
      </c>
      <c r="AA48" t="s">
        <v>126</v>
      </c>
      <c r="AC48" s="1" t="s">
        <v>291</v>
      </c>
      <c r="AD48" t="s">
        <v>292</v>
      </c>
      <c r="AE48" s="1" t="s">
        <v>325</v>
      </c>
      <c r="AF48" t="s">
        <v>293</v>
      </c>
      <c r="AG48" t="s">
        <v>294</v>
      </c>
      <c r="AH48" t="s">
        <v>327</v>
      </c>
      <c r="AI48" t="s">
        <v>169</v>
      </c>
      <c r="AJ48" t="s">
        <v>168</v>
      </c>
      <c r="AK48" t="s">
        <v>126</v>
      </c>
      <c r="AL48" t="s">
        <v>167</v>
      </c>
      <c r="AM48" s="14"/>
      <c r="AN48" s="7"/>
    </row>
    <row r="49" spans="1:40" ht="14.5" customHeight="1">
      <c r="A49" s="23" t="s">
        <v>38</v>
      </c>
      <c r="B49" s="23" t="s">
        <v>379</v>
      </c>
      <c r="C49" s="5">
        <v>0</v>
      </c>
      <c r="D49" s="5">
        <v>3.5595105672969966E-2</v>
      </c>
      <c r="E49" s="5">
        <v>0.41146924083769632</v>
      </c>
      <c r="F49" s="5">
        <v>0.23853211009174313</v>
      </c>
      <c r="G49" s="9"/>
      <c r="H49" s="5"/>
      <c r="I49" s="5">
        <v>0.43914889552565523</v>
      </c>
      <c r="J49" s="5"/>
      <c r="K49" s="5">
        <v>0.33660000000000001</v>
      </c>
      <c r="L49" s="5">
        <v>0.29027355623100304</v>
      </c>
      <c r="M49" s="5">
        <v>0.56660119287056465</v>
      </c>
      <c r="N49" s="5">
        <v>0.60416666666666663</v>
      </c>
      <c r="O49" s="5">
        <v>0.68702522029778179</v>
      </c>
      <c r="P49" s="5">
        <v>0.26022304832713755</v>
      </c>
      <c r="Q49" s="5">
        <v>0.54192825112107623</v>
      </c>
      <c r="R49" s="14"/>
      <c r="S49" s="5">
        <v>0.22445561139028475</v>
      </c>
      <c r="T49" s="45">
        <v>0.22445599999999999</v>
      </c>
      <c r="U49" s="45"/>
      <c r="V49" s="5" t="s">
        <v>34</v>
      </c>
      <c r="W49" s="5"/>
      <c r="X49" s="5" t="s">
        <v>163</v>
      </c>
      <c r="Y49" s="6" t="s">
        <v>88</v>
      </c>
      <c r="Z49" s="6" t="s">
        <v>88</v>
      </c>
      <c r="AA49" s="6"/>
      <c r="AB49" s="6"/>
      <c r="AC49" s="6" t="s">
        <v>295</v>
      </c>
      <c r="AD49" s="6" t="s">
        <v>353</v>
      </c>
      <c r="AE49" s="6"/>
      <c r="AF49" s="6" t="s">
        <v>123</v>
      </c>
      <c r="AG49" s="6" t="s">
        <v>123</v>
      </c>
      <c r="AH49" s="6" t="s">
        <v>123</v>
      </c>
      <c r="AI49" s="6" t="s">
        <v>123</v>
      </c>
      <c r="AJ49" s="6" t="s">
        <v>123</v>
      </c>
      <c r="AK49" s="6" t="s">
        <v>123</v>
      </c>
      <c r="AL49" s="6" t="s">
        <v>123</v>
      </c>
      <c r="AM49" s="16" t="s">
        <v>122</v>
      </c>
      <c r="AN49" s="6"/>
    </row>
    <row r="50" spans="1:40" ht="14.5" customHeight="1">
      <c r="A50" s="24" t="s">
        <v>39</v>
      </c>
      <c r="B50" s="23" t="s">
        <v>380</v>
      </c>
      <c r="C50">
        <v>1</v>
      </c>
      <c r="D50">
        <v>0.46329254727474972</v>
      </c>
      <c r="E50">
        <v>0.49825752617801045</v>
      </c>
      <c r="F50">
        <v>0.67889908256880738</v>
      </c>
      <c r="G50" s="8"/>
      <c r="I50">
        <v>0.51673572270432799</v>
      </c>
      <c r="K50">
        <v>0.61550000000000005</v>
      </c>
      <c r="L50">
        <v>0.68844984802431608</v>
      </c>
      <c r="M50">
        <v>0.37476819923156995</v>
      </c>
      <c r="N50">
        <v>0.35165550595238093</v>
      </c>
      <c r="O50">
        <v>0.2707383773928897</v>
      </c>
      <c r="P50">
        <v>0.64312267657992561</v>
      </c>
      <c r="Q50">
        <v>0.33004484304932735</v>
      </c>
      <c r="R50" s="21"/>
      <c r="S50">
        <v>0.45561139028475711</v>
      </c>
      <c r="T50" s="45">
        <v>0.45561099999999999</v>
      </c>
      <c r="U50" s="45"/>
      <c r="V50" t="s">
        <v>34</v>
      </c>
      <c r="X50" t="s">
        <v>163</v>
      </c>
      <c r="Y50" s="7" t="s">
        <v>88</v>
      </c>
      <c r="Z50" s="7" t="s">
        <v>88</v>
      </c>
      <c r="AA50" s="7"/>
      <c r="AB50" s="7"/>
      <c r="AC50" s="7" t="s">
        <v>296</v>
      </c>
      <c r="AD50" s="6"/>
      <c r="AE50" s="7"/>
      <c r="AF50" s="7" t="s">
        <v>123</v>
      </c>
      <c r="AG50" s="7" t="s">
        <v>123</v>
      </c>
      <c r="AH50" s="7" t="s">
        <v>123</v>
      </c>
      <c r="AI50" s="7" t="s">
        <v>123</v>
      </c>
      <c r="AJ50" s="7" t="s">
        <v>123</v>
      </c>
      <c r="AK50" s="7" t="s">
        <v>123</v>
      </c>
      <c r="AL50" s="7" t="s">
        <v>123</v>
      </c>
      <c r="AM50" s="14" t="s">
        <v>453</v>
      </c>
      <c r="AN50" s="7"/>
    </row>
    <row r="51" spans="1:40" ht="14.5" customHeight="1">
      <c r="A51" s="23" t="s">
        <v>40</v>
      </c>
      <c r="B51" s="23" t="s">
        <v>381</v>
      </c>
      <c r="C51" s="5">
        <v>0</v>
      </c>
      <c r="D51" s="5">
        <v>1.1123470522803114E-3</v>
      </c>
      <c r="E51" s="5">
        <v>2.6333442408376963E-2</v>
      </c>
      <c r="F51" s="5">
        <v>4.5871559633027525E-2</v>
      </c>
      <c r="G51" s="9"/>
      <c r="H51" s="5"/>
      <c r="I51" s="5">
        <v>0</v>
      </c>
      <c r="J51" s="5"/>
      <c r="K51" s="5">
        <v>2.8199999999999999E-2</v>
      </c>
      <c r="L51" s="5">
        <v>2.1276595744680851E-2</v>
      </c>
      <c r="M51" s="5">
        <v>3.2714861804723751E-2</v>
      </c>
      <c r="N51" s="5">
        <v>2.7994791666666668E-2</v>
      </c>
      <c r="O51" s="5">
        <v>2.3701002734731084E-2</v>
      </c>
      <c r="P51" s="5">
        <v>9.6654275092936809E-2</v>
      </c>
      <c r="Q51" s="5">
        <v>0.12645739910313902</v>
      </c>
      <c r="R51" s="20"/>
      <c r="S51" s="5">
        <v>8.3752093802345051E-3</v>
      </c>
      <c r="T51" s="45">
        <v>8.3750000000000005E-3</v>
      </c>
      <c r="U51" s="45"/>
      <c r="V51" s="5" t="s">
        <v>34</v>
      </c>
      <c r="W51" s="5"/>
      <c r="X51" s="5" t="s">
        <v>163</v>
      </c>
      <c r="Y51" s="6" t="s">
        <v>88</v>
      </c>
      <c r="Z51" s="6" t="s">
        <v>88</v>
      </c>
      <c r="AA51" s="6"/>
      <c r="AB51" s="6"/>
      <c r="AC51" s="6"/>
      <c r="AD51" s="6"/>
      <c r="AE51" s="6"/>
      <c r="AF51" s="6" t="s">
        <v>123</v>
      </c>
      <c r="AG51" s="6" t="s">
        <v>123</v>
      </c>
      <c r="AH51" s="6" t="s">
        <v>123</v>
      </c>
      <c r="AI51" s="6" t="s">
        <v>123</v>
      </c>
      <c r="AJ51" s="6" t="s">
        <v>123</v>
      </c>
      <c r="AK51" s="6" t="s">
        <v>123</v>
      </c>
      <c r="AL51" s="6" t="s">
        <v>123</v>
      </c>
      <c r="AM51" s="21" t="s">
        <v>122</v>
      </c>
      <c r="AN51" s="6"/>
    </row>
    <row r="52" spans="1:40" ht="14.5" customHeight="1">
      <c r="A52" s="24" t="s">
        <v>41</v>
      </c>
      <c r="B52" s="23" t="s">
        <v>377</v>
      </c>
      <c r="C52">
        <v>0</v>
      </c>
      <c r="D52">
        <v>0.5</v>
      </c>
      <c r="E52">
        <v>6.1420157068062829E-2</v>
      </c>
      <c r="F52">
        <v>3.669724770642202E-2</v>
      </c>
      <c r="I52" s="4">
        <v>4.4115380000000003E-2</v>
      </c>
      <c r="K52">
        <v>1.9699999999999999E-2</v>
      </c>
      <c r="L52">
        <v>0</v>
      </c>
      <c r="M52">
        <v>2.5156055840595024E-2</v>
      </c>
      <c r="N52">
        <v>1.6183035714285716E-2</v>
      </c>
      <c r="O52">
        <v>1.8535399574597388E-2</v>
      </c>
      <c r="P52">
        <v>0</v>
      </c>
      <c r="Q52">
        <v>1.569506726457399E-3</v>
      </c>
      <c r="R52" s="21"/>
      <c r="S52">
        <v>3.350083752093802E-2</v>
      </c>
      <c r="T52" s="45">
        <v>3.3501000000000003E-2</v>
      </c>
      <c r="U52" s="45"/>
      <c r="V52" t="s">
        <v>34</v>
      </c>
      <c r="X52" t="s">
        <v>163</v>
      </c>
      <c r="Y52" s="7" t="s">
        <v>88</v>
      </c>
      <c r="Z52" s="7" t="s">
        <v>88</v>
      </c>
      <c r="AA52" s="7"/>
      <c r="AB52" s="7"/>
      <c r="AC52" s="7"/>
      <c r="AD52" s="6"/>
      <c r="AE52" s="7"/>
      <c r="AF52" s="7" t="s">
        <v>123</v>
      </c>
      <c r="AG52" s="7" t="s">
        <v>123</v>
      </c>
      <c r="AH52" s="7" t="s">
        <v>123</v>
      </c>
      <c r="AI52" s="7" t="s">
        <v>123</v>
      </c>
      <c r="AJ52" s="7" t="s">
        <v>123</v>
      </c>
      <c r="AK52" s="7" t="s">
        <v>123</v>
      </c>
      <c r="AL52" s="7" t="s">
        <v>123</v>
      </c>
      <c r="AM52" s="20" t="s">
        <v>122</v>
      </c>
      <c r="AN52" s="7"/>
    </row>
    <row r="53" spans="1:40" ht="14.5" customHeight="1">
      <c r="A53" s="23" t="s">
        <v>42</v>
      </c>
      <c r="B53" s="23" t="s">
        <v>378</v>
      </c>
      <c r="C53" s="5">
        <v>0</v>
      </c>
      <c r="D53" s="5">
        <v>0</v>
      </c>
      <c r="E53" s="5">
        <v>2.5196335078534033E-3</v>
      </c>
      <c r="F53" s="5">
        <v>0</v>
      </c>
      <c r="G53" s="5"/>
      <c r="H53" s="5"/>
      <c r="I53" s="5">
        <v>0</v>
      </c>
      <c r="J53" s="5"/>
      <c r="K53" s="5">
        <v>0</v>
      </c>
      <c r="L53" s="5">
        <v>0</v>
      </c>
      <c r="M53" s="5">
        <v>7.5969025254658709E-4</v>
      </c>
      <c r="N53" s="5">
        <v>0</v>
      </c>
      <c r="O53" s="5">
        <v>0</v>
      </c>
      <c r="P53" s="5">
        <v>0</v>
      </c>
      <c r="Q53" s="5">
        <v>0</v>
      </c>
      <c r="R53" s="20"/>
      <c r="S53" s="5">
        <v>0.27805695142378561</v>
      </c>
      <c r="T53" s="45">
        <v>0.278057</v>
      </c>
      <c r="U53" s="45"/>
      <c r="V53" s="5" t="s">
        <v>34</v>
      </c>
      <c r="W53" s="5"/>
      <c r="X53" s="5" t="s">
        <v>163</v>
      </c>
      <c r="Y53" s="6" t="s">
        <v>88</v>
      </c>
      <c r="Z53" s="6" t="s">
        <v>88</v>
      </c>
      <c r="AA53" s="6"/>
      <c r="AB53" s="6"/>
      <c r="AC53" s="6"/>
      <c r="AD53" s="6"/>
      <c r="AE53" s="6"/>
      <c r="AF53" s="6" t="s">
        <v>123</v>
      </c>
      <c r="AG53" s="6" t="s">
        <v>123</v>
      </c>
      <c r="AH53" s="6" t="s">
        <v>123</v>
      </c>
      <c r="AI53" s="6" t="s">
        <v>123</v>
      </c>
      <c r="AJ53" s="6" t="s">
        <v>123</v>
      </c>
      <c r="AK53" s="6" t="s">
        <v>123</v>
      </c>
      <c r="AL53" s="6" t="s">
        <v>123</v>
      </c>
      <c r="AM53" s="21" t="s">
        <v>122</v>
      </c>
      <c r="AN53" s="6"/>
    </row>
    <row r="54" spans="1:40" ht="14.5" customHeight="1">
      <c r="A54" s="26" t="s">
        <v>43</v>
      </c>
      <c r="B54" s="26"/>
      <c r="C54" s="12"/>
      <c r="D54" s="12"/>
      <c r="E54" s="12"/>
      <c r="F54" s="12"/>
      <c r="G54" s="12"/>
      <c r="H54" s="12"/>
      <c r="I54" s="12"/>
      <c r="J54" s="12"/>
      <c r="K54" s="12"/>
      <c r="L54" s="12"/>
      <c r="M54" s="12"/>
      <c r="N54" s="12"/>
      <c r="O54" s="12"/>
      <c r="P54" s="12"/>
      <c r="Q54" s="12"/>
      <c r="R54" s="27"/>
      <c r="S54" s="12"/>
      <c r="T54" s="12"/>
      <c r="U54" s="12"/>
      <c r="V54" s="12" t="s">
        <v>34</v>
      </c>
      <c r="W54" s="12"/>
      <c r="X54" s="12"/>
      <c r="Y54" s="13"/>
      <c r="Z54" s="13"/>
      <c r="AA54" s="13"/>
      <c r="AB54" s="13"/>
      <c r="AC54" s="13"/>
      <c r="AD54" s="13"/>
      <c r="AE54" s="13"/>
      <c r="AF54" s="13"/>
      <c r="AG54" s="13"/>
      <c r="AH54" s="13"/>
      <c r="AI54" s="13"/>
      <c r="AJ54" s="13"/>
      <c r="AK54" s="13"/>
      <c r="AL54" s="13"/>
      <c r="AM54" s="13"/>
      <c r="AN54" s="7"/>
    </row>
    <row r="55" spans="1:40" ht="14.5" customHeight="1">
      <c r="A55" s="5" t="s">
        <v>44</v>
      </c>
      <c r="B55" s="5"/>
      <c r="C55" s="5"/>
      <c r="D55" s="5"/>
      <c r="E55" s="5"/>
      <c r="F55" s="5"/>
      <c r="G55" s="5"/>
      <c r="H55" s="5"/>
      <c r="I55" s="5"/>
      <c r="J55" s="5"/>
      <c r="K55" s="5"/>
      <c r="L55" s="5"/>
      <c r="M55" s="5"/>
      <c r="N55" s="5"/>
      <c r="O55" s="5"/>
      <c r="P55" s="5"/>
      <c r="Q55" s="5"/>
      <c r="R55" s="20"/>
      <c r="S55" s="5"/>
      <c r="T55" s="5"/>
      <c r="U55" s="5"/>
      <c r="V55" s="5" t="s">
        <v>34</v>
      </c>
      <c r="W55" s="6"/>
      <c r="X55" s="6"/>
      <c r="Y55" s="6"/>
      <c r="Z55" s="6"/>
      <c r="AA55" s="6"/>
      <c r="AB55" s="6"/>
      <c r="AC55" s="6"/>
      <c r="AD55" s="6"/>
      <c r="AE55" s="6"/>
      <c r="AF55" s="6"/>
      <c r="AG55" s="6"/>
      <c r="AH55" s="6"/>
      <c r="AI55" s="6"/>
      <c r="AJ55" s="6"/>
      <c r="AK55" s="6"/>
      <c r="AL55" s="6"/>
      <c r="AM55" s="6"/>
      <c r="AN55" s="6"/>
    </row>
    <row r="56" spans="1:40" ht="14.5" customHeight="1">
      <c r="A56" t="s">
        <v>45</v>
      </c>
      <c r="R56" s="21"/>
      <c r="V56" t="s">
        <v>34</v>
      </c>
      <c r="W56" s="7"/>
      <c r="X56" s="7"/>
      <c r="Y56" s="7"/>
      <c r="Z56" s="7"/>
      <c r="AA56" s="7"/>
      <c r="AB56" s="7"/>
      <c r="AC56" s="7"/>
      <c r="AD56" s="7"/>
      <c r="AE56" s="7"/>
      <c r="AF56" s="7"/>
      <c r="AG56" s="7"/>
      <c r="AH56" s="7"/>
      <c r="AI56" s="7"/>
      <c r="AJ56" s="7"/>
      <c r="AK56" s="7"/>
      <c r="AL56" s="7"/>
      <c r="AM56" s="7"/>
      <c r="AN56" s="7"/>
    </row>
    <row r="57" spans="1:40" ht="14.5" customHeight="1">
      <c r="A57" s="5" t="s">
        <v>46</v>
      </c>
      <c r="B57" s="5"/>
      <c r="C57" s="5"/>
      <c r="D57" s="5"/>
      <c r="E57" s="5"/>
      <c r="F57" s="5"/>
      <c r="G57" s="5"/>
      <c r="H57" s="5"/>
      <c r="I57" s="5"/>
      <c r="J57" s="5"/>
      <c r="K57" s="5"/>
      <c r="L57" s="5"/>
      <c r="M57" s="5"/>
      <c r="N57" s="5"/>
      <c r="O57" s="5"/>
      <c r="P57" s="5"/>
      <c r="Q57" s="5"/>
      <c r="R57" s="20"/>
      <c r="S57" s="5"/>
      <c r="T57" s="5"/>
      <c r="U57" s="5"/>
      <c r="V57" s="5" t="s">
        <v>34</v>
      </c>
      <c r="W57" s="6"/>
      <c r="X57" s="6"/>
      <c r="Y57" s="6"/>
      <c r="Z57" s="6"/>
      <c r="AA57" s="6"/>
      <c r="AB57" s="6"/>
      <c r="AC57" s="6"/>
      <c r="AD57" s="6"/>
      <c r="AE57" s="6"/>
      <c r="AF57" s="6"/>
      <c r="AG57" s="6"/>
      <c r="AH57" s="6"/>
      <c r="AI57" s="6"/>
      <c r="AJ57" s="6"/>
      <c r="AK57" s="6"/>
      <c r="AL57" s="6"/>
      <c r="AM57" s="6"/>
      <c r="AN57" s="6"/>
    </row>
    <row r="58" spans="1:40" ht="14.5" customHeight="1">
      <c r="A58" t="s">
        <v>47</v>
      </c>
      <c r="R58" s="21"/>
      <c r="V58" t="s">
        <v>34</v>
      </c>
      <c r="W58" s="7"/>
      <c r="X58" s="7"/>
      <c r="Y58" s="7"/>
      <c r="Z58" s="7"/>
      <c r="AA58" s="7"/>
      <c r="AB58" s="7"/>
      <c r="AC58" s="7"/>
      <c r="AD58" s="7"/>
      <c r="AE58" s="7"/>
      <c r="AF58" s="7"/>
      <c r="AG58" s="7"/>
      <c r="AH58" s="7"/>
      <c r="AI58" s="7"/>
      <c r="AJ58" s="7"/>
      <c r="AK58" s="7"/>
      <c r="AL58" s="7"/>
      <c r="AM58" s="7"/>
      <c r="AN58" s="7"/>
    </row>
    <row r="59" spans="1:40" ht="14.5" customHeight="1">
      <c r="A59" s="5" t="s">
        <v>48</v>
      </c>
      <c r="B59" s="5"/>
      <c r="C59" s="5"/>
      <c r="D59" s="5"/>
      <c r="E59" s="5"/>
      <c r="F59" s="5"/>
      <c r="G59" s="5"/>
      <c r="H59" s="5"/>
      <c r="I59" s="5"/>
      <c r="J59" s="5"/>
      <c r="K59" s="5"/>
      <c r="L59" s="5"/>
      <c r="M59" s="5"/>
      <c r="N59" s="5"/>
      <c r="O59" s="5"/>
      <c r="P59" s="5"/>
      <c r="Q59" s="5"/>
      <c r="R59" s="20"/>
      <c r="S59" s="5"/>
      <c r="T59" s="5"/>
      <c r="U59" s="5"/>
      <c r="V59" s="5" t="s">
        <v>34</v>
      </c>
      <c r="W59" s="6"/>
      <c r="X59" s="6"/>
      <c r="Y59" s="6"/>
      <c r="Z59" s="6"/>
      <c r="AA59" s="6"/>
      <c r="AB59" s="6"/>
      <c r="AC59" s="6"/>
      <c r="AD59" s="6"/>
      <c r="AE59" s="6"/>
      <c r="AF59" s="6"/>
      <c r="AG59" s="6"/>
      <c r="AH59" s="6"/>
      <c r="AI59" s="6"/>
      <c r="AJ59" s="6"/>
      <c r="AK59" s="6"/>
      <c r="AL59" s="6"/>
      <c r="AM59" s="6"/>
      <c r="AN59" s="6"/>
    </row>
    <row r="60" spans="1:40" ht="14.5" customHeight="1">
      <c r="A60" t="s">
        <v>49</v>
      </c>
      <c r="R60" s="21"/>
      <c r="V60" t="s">
        <v>34</v>
      </c>
      <c r="W60" s="7"/>
      <c r="X60" s="7"/>
      <c r="Y60" s="7"/>
      <c r="Z60" s="7"/>
      <c r="AA60" s="7"/>
      <c r="AB60" s="7"/>
      <c r="AC60" s="7"/>
      <c r="AD60" s="7"/>
      <c r="AE60" s="7"/>
      <c r="AF60" s="7"/>
      <c r="AG60" s="7"/>
      <c r="AH60" s="7"/>
      <c r="AI60" s="7"/>
      <c r="AJ60" s="7"/>
      <c r="AK60" s="7"/>
      <c r="AL60" s="7"/>
      <c r="AM60" s="7"/>
      <c r="AN60" s="7"/>
    </row>
    <row r="61" spans="1:40" ht="14.5" customHeight="1">
      <c r="A61" s="5" t="s">
        <v>50</v>
      </c>
      <c r="B61" s="5"/>
      <c r="C61" s="5"/>
      <c r="D61" s="5"/>
      <c r="E61" s="5"/>
      <c r="F61" s="5"/>
      <c r="G61" s="5"/>
      <c r="H61" s="5"/>
      <c r="I61" s="5"/>
      <c r="J61" s="5"/>
      <c r="K61" s="5"/>
      <c r="L61" s="5"/>
      <c r="M61" s="5"/>
      <c r="N61" s="5"/>
      <c r="O61" s="5"/>
      <c r="P61" s="5"/>
      <c r="Q61" s="5"/>
      <c r="R61" s="20"/>
      <c r="S61" s="5"/>
      <c r="T61" s="5"/>
      <c r="U61" s="5"/>
      <c r="V61" s="5" t="s">
        <v>34</v>
      </c>
      <c r="W61" s="6"/>
      <c r="X61" s="6"/>
      <c r="Y61" s="6"/>
      <c r="Z61" s="6"/>
      <c r="AA61" s="6"/>
      <c r="AB61" s="6"/>
      <c r="AC61" s="6"/>
      <c r="AD61" s="6"/>
      <c r="AE61" s="6"/>
      <c r="AF61" s="6"/>
      <c r="AG61" s="6"/>
      <c r="AH61" s="6"/>
      <c r="AI61" s="6"/>
      <c r="AJ61" s="6"/>
      <c r="AK61" s="6"/>
      <c r="AL61" s="6"/>
      <c r="AM61" s="6"/>
      <c r="AN61" s="6"/>
    </row>
    <row r="62" spans="1:40" ht="14.5" customHeight="1">
      <c r="A62" t="s">
        <v>51</v>
      </c>
      <c r="R62" s="21"/>
      <c r="V62" t="s">
        <v>34</v>
      </c>
      <c r="W62" s="7"/>
      <c r="X62" s="7"/>
      <c r="Y62" s="7"/>
      <c r="Z62" s="7"/>
      <c r="AA62" s="7"/>
      <c r="AB62" s="7"/>
      <c r="AC62" s="7"/>
      <c r="AD62" s="7"/>
      <c r="AE62" s="7"/>
      <c r="AF62" s="7"/>
      <c r="AG62" s="7"/>
      <c r="AH62" s="7"/>
      <c r="AI62" s="7"/>
      <c r="AJ62" s="7"/>
      <c r="AK62" s="7"/>
      <c r="AL62" s="7"/>
      <c r="AM62" s="7"/>
      <c r="AN62" s="7"/>
    </row>
    <row r="63" spans="1:40" ht="14.5" customHeight="1">
      <c r="A63" s="5" t="s">
        <v>52</v>
      </c>
      <c r="B63" s="5"/>
      <c r="C63" s="5"/>
      <c r="D63" s="5"/>
      <c r="E63" s="5"/>
      <c r="F63" s="5"/>
      <c r="G63" s="5"/>
      <c r="H63" s="5"/>
      <c r="I63" s="5"/>
      <c r="J63" s="5"/>
      <c r="K63" s="5"/>
      <c r="L63" s="5"/>
      <c r="M63" s="5"/>
      <c r="N63" s="5"/>
      <c r="O63" s="5"/>
      <c r="P63" s="5"/>
      <c r="Q63" s="5"/>
      <c r="R63" s="20"/>
      <c r="S63" s="5"/>
      <c r="T63" s="5"/>
      <c r="U63" s="5"/>
      <c r="V63" s="5" t="s">
        <v>34</v>
      </c>
      <c r="W63" s="6"/>
      <c r="X63" s="6"/>
      <c r="Y63" s="6"/>
      <c r="Z63" s="6"/>
      <c r="AA63" s="6"/>
      <c r="AB63" s="6"/>
      <c r="AC63" s="6"/>
      <c r="AD63" s="6"/>
      <c r="AE63" s="6"/>
      <c r="AF63" s="6"/>
      <c r="AG63" s="6"/>
      <c r="AH63" s="6"/>
      <c r="AI63" s="6"/>
      <c r="AJ63" s="6"/>
      <c r="AK63" s="6"/>
      <c r="AL63" s="6"/>
      <c r="AM63" s="6"/>
      <c r="AN63" s="6"/>
    </row>
    <row r="64" spans="1:40" ht="14.5" customHeight="1">
      <c r="A64" t="s">
        <v>53</v>
      </c>
      <c r="R64" s="21"/>
      <c r="V64" t="s">
        <v>34</v>
      </c>
      <c r="W64" s="7"/>
      <c r="X64" s="7"/>
      <c r="Y64" s="7"/>
      <c r="Z64" s="7"/>
      <c r="AA64" s="7"/>
      <c r="AB64" s="7"/>
      <c r="AC64" s="7"/>
      <c r="AD64" s="7"/>
      <c r="AE64" s="7"/>
      <c r="AF64" s="7"/>
      <c r="AG64" s="7"/>
      <c r="AH64" s="7"/>
      <c r="AI64" s="7"/>
      <c r="AJ64" s="7"/>
      <c r="AK64" s="7"/>
      <c r="AL64" s="7"/>
      <c r="AM64" s="7"/>
      <c r="AN64" s="7"/>
    </row>
    <row r="65" spans="1:40" ht="14.5" customHeight="1">
      <c r="A65" s="5" t="s">
        <v>54</v>
      </c>
      <c r="B65" s="5"/>
      <c r="C65" s="5"/>
      <c r="D65" s="5"/>
      <c r="E65" s="5"/>
      <c r="F65" s="5"/>
      <c r="G65" s="5"/>
      <c r="H65" s="5"/>
      <c r="I65" s="5"/>
      <c r="J65" s="5"/>
      <c r="K65" s="5"/>
      <c r="L65" s="5"/>
      <c r="M65" s="5"/>
      <c r="N65" s="5"/>
      <c r="O65" s="5"/>
      <c r="P65" s="5"/>
      <c r="Q65" s="5"/>
      <c r="R65" s="20"/>
      <c r="S65" s="5"/>
      <c r="T65" s="5"/>
      <c r="U65" s="5"/>
      <c r="V65" s="5" t="s">
        <v>34</v>
      </c>
      <c r="W65" s="6"/>
      <c r="X65" s="6"/>
      <c r="Y65" s="6"/>
      <c r="Z65" s="6"/>
      <c r="AA65" s="6"/>
      <c r="AB65" s="6"/>
      <c r="AC65" s="6"/>
      <c r="AD65" s="6"/>
      <c r="AE65" s="6"/>
      <c r="AF65" s="6"/>
      <c r="AG65" s="6"/>
      <c r="AH65" s="6"/>
      <c r="AI65" s="6"/>
      <c r="AJ65" s="6"/>
      <c r="AK65" s="6"/>
      <c r="AL65" s="6"/>
      <c r="AM65" s="6"/>
      <c r="AN65" s="6"/>
    </row>
    <row r="66" spans="1:40" ht="14.5" customHeight="1">
      <c r="A66" t="s">
        <v>55</v>
      </c>
      <c r="R66" s="21"/>
      <c r="V66" t="s">
        <v>34</v>
      </c>
      <c r="W66" s="7"/>
      <c r="X66" s="7"/>
      <c r="Y66" s="7"/>
      <c r="Z66" s="7"/>
      <c r="AA66" s="7"/>
      <c r="AB66" s="7"/>
      <c r="AC66" s="7"/>
      <c r="AD66" s="7"/>
      <c r="AE66" s="7"/>
      <c r="AF66" s="7"/>
      <c r="AG66" s="7"/>
      <c r="AH66" s="7"/>
      <c r="AI66" s="7"/>
      <c r="AJ66" s="7"/>
      <c r="AK66" s="7"/>
      <c r="AL66" s="7"/>
      <c r="AM66" s="7"/>
      <c r="AN66" s="7"/>
    </row>
    <row r="67" spans="1:40" ht="14.5" customHeight="1">
      <c r="A67" s="5" t="s">
        <v>56</v>
      </c>
      <c r="B67" s="5"/>
      <c r="C67" s="5"/>
      <c r="D67" s="5"/>
      <c r="E67" s="5"/>
      <c r="F67" s="5"/>
      <c r="G67" s="5"/>
      <c r="H67" s="5"/>
      <c r="I67" s="5"/>
      <c r="J67" s="5"/>
      <c r="K67" s="5"/>
      <c r="L67" s="5"/>
      <c r="M67" s="5"/>
      <c r="N67" s="5"/>
      <c r="O67" s="5"/>
      <c r="P67" s="5"/>
      <c r="Q67" s="5"/>
      <c r="R67" s="20"/>
      <c r="S67" s="5"/>
      <c r="T67" s="5"/>
      <c r="U67" s="5"/>
      <c r="V67" s="5" t="s">
        <v>34</v>
      </c>
      <c r="W67" s="6"/>
      <c r="X67" s="6"/>
      <c r="Y67" s="6"/>
      <c r="Z67" s="6"/>
      <c r="AA67" s="6"/>
      <c r="AB67" s="6"/>
      <c r="AC67" s="6"/>
      <c r="AD67" s="6"/>
      <c r="AE67" s="6"/>
      <c r="AF67" s="6"/>
      <c r="AG67" s="6"/>
      <c r="AH67" s="6"/>
      <c r="AI67" s="6"/>
      <c r="AJ67" s="6"/>
      <c r="AK67" s="6"/>
      <c r="AL67" s="6"/>
      <c r="AM67" s="6"/>
      <c r="AN67" s="6"/>
    </row>
    <row r="68" spans="1:40" ht="14.5" customHeight="1">
      <c r="A68" t="s">
        <v>57</v>
      </c>
      <c r="R68" s="21"/>
      <c r="V68" t="s">
        <v>34</v>
      </c>
      <c r="W68" s="7"/>
      <c r="X68" s="7"/>
      <c r="Y68" s="7"/>
      <c r="Z68" s="7"/>
      <c r="AA68" s="7"/>
      <c r="AB68" s="7"/>
      <c r="AC68" s="7"/>
      <c r="AD68" s="7"/>
      <c r="AE68" s="7"/>
      <c r="AF68" s="7"/>
      <c r="AG68" s="7"/>
      <c r="AH68" s="7"/>
      <c r="AI68" s="7"/>
      <c r="AJ68" s="7"/>
      <c r="AK68" s="7"/>
      <c r="AL68" s="7"/>
      <c r="AM68" s="7"/>
      <c r="AN68" s="7"/>
    </row>
    <row r="69" spans="1:40">
      <c r="A69" s="5" t="s">
        <v>58</v>
      </c>
      <c r="B69" s="5"/>
      <c r="C69" s="5"/>
      <c r="D69" s="5"/>
      <c r="E69" s="5"/>
      <c r="F69" s="5"/>
      <c r="G69" s="5"/>
      <c r="H69" s="5"/>
      <c r="I69" s="5"/>
      <c r="J69" s="5"/>
      <c r="K69" s="5"/>
      <c r="L69" s="5"/>
      <c r="M69" s="5"/>
      <c r="N69" s="5"/>
      <c r="O69" s="5"/>
      <c r="P69" s="5"/>
      <c r="Q69" s="5"/>
      <c r="R69" s="20"/>
      <c r="S69" s="5"/>
      <c r="T69" s="5"/>
      <c r="U69" s="5"/>
      <c r="V69" s="5" t="s">
        <v>34</v>
      </c>
      <c r="W69" s="6"/>
      <c r="X69" s="6"/>
      <c r="Y69" s="6"/>
      <c r="Z69" s="6"/>
      <c r="AA69" s="6"/>
      <c r="AB69" s="6"/>
      <c r="AC69" s="6"/>
      <c r="AD69" s="6"/>
      <c r="AE69" s="6"/>
      <c r="AF69" s="6"/>
      <c r="AG69" s="6"/>
      <c r="AH69" s="6"/>
      <c r="AI69" s="6"/>
      <c r="AJ69" s="6"/>
      <c r="AK69" s="6"/>
      <c r="AL69" s="6"/>
      <c r="AM69" s="6"/>
      <c r="AN69" s="6"/>
    </row>
    <row r="70" spans="1:40">
      <c r="A70" t="s">
        <v>59</v>
      </c>
      <c r="R70" s="21"/>
      <c r="V70" t="s">
        <v>34</v>
      </c>
      <c r="W70" s="7"/>
      <c r="X70" s="7"/>
      <c r="Y70" s="7"/>
      <c r="Z70" s="7"/>
      <c r="AA70" s="7"/>
      <c r="AB70" s="7"/>
      <c r="AC70" s="7"/>
      <c r="AD70" s="7"/>
      <c r="AE70" s="7"/>
      <c r="AF70" s="7"/>
      <c r="AG70" s="7"/>
      <c r="AH70" s="7"/>
      <c r="AI70" s="7"/>
      <c r="AJ70" s="7"/>
      <c r="AK70" s="7"/>
      <c r="AL70" s="7"/>
      <c r="AM70" s="7"/>
      <c r="AN70" s="7"/>
    </row>
    <row r="71" spans="1:40">
      <c r="A71" s="5" t="s">
        <v>60</v>
      </c>
      <c r="B71" s="5"/>
      <c r="C71" s="5"/>
      <c r="D71" s="5"/>
      <c r="E71" s="5"/>
      <c r="F71" s="5"/>
      <c r="G71" s="5"/>
      <c r="H71" s="5"/>
      <c r="I71" s="5"/>
      <c r="J71" s="5"/>
      <c r="K71" s="5"/>
      <c r="L71" s="5"/>
      <c r="M71" s="5"/>
      <c r="N71" s="5"/>
      <c r="O71" s="5"/>
      <c r="P71" s="5"/>
      <c r="Q71" s="5"/>
      <c r="R71" s="20"/>
      <c r="S71" s="5"/>
      <c r="T71" s="5"/>
      <c r="U71" s="5"/>
      <c r="V71" s="5" t="s">
        <v>34</v>
      </c>
      <c r="W71" s="6"/>
      <c r="X71" s="6"/>
      <c r="Y71" s="6"/>
      <c r="Z71" s="6"/>
      <c r="AA71" s="6"/>
      <c r="AB71" s="6"/>
      <c r="AC71" s="6"/>
      <c r="AD71" s="6"/>
      <c r="AE71" s="6"/>
      <c r="AF71" s="6"/>
      <c r="AG71" s="6"/>
      <c r="AH71" s="6"/>
      <c r="AI71" s="6"/>
      <c r="AJ71" s="6"/>
      <c r="AK71" s="6"/>
      <c r="AL71" s="6"/>
      <c r="AM71" s="6"/>
      <c r="AN71" s="6"/>
    </row>
    <row r="72" spans="1:40">
      <c r="A72" t="s">
        <v>61</v>
      </c>
      <c r="R72" s="21"/>
      <c r="V72" t="s">
        <v>34</v>
      </c>
      <c r="W72" s="7"/>
      <c r="X72" s="7"/>
      <c r="Y72" s="7"/>
      <c r="Z72" s="7"/>
      <c r="AA72" s="7"/>
      <c r="AB72" s="7"/>
      <c r="AC72" s="7"/>
      <c r="AD72" s="7"/>
      <c r="AE72" s="7"/>
      <c r="AF72" s="7"/>
      <c r="AG72" s="7"/>
      <c r="AH72" s="7"/>
      <c r="AI72" s="7"/>
      <c r="AJ72" s="7"/>
      <c r="AK72" s="7"/>
      <c r="AL72" s="7"/>
      <c r="AM72" s="7"/>
      <c r="AN72" s="7"/>
    </row>
    <row r="73" spans="1:40">
      <c r="A73" s="5" t="s">
        <v>62</v>
      </c>
      <c r="B73" s="5"/>
      <c r="C73" s="5"/>
      <c r="D73" s="5"/>
      <c r="E73" s="5"/>
      <c r="F73" s="5"/>
      <c r="G73" s="5"/>
      <c r="H73" s="5"/>
      <c r="I73" s="5"/>
      <c r="J73" s="5"/>
      <c r="K73" s="5"/>
      <c r="L73" s="5"/>
      <c r="M73" s="5"/>
      <c r="N73" s="5"/>
      <c r="O73" s="5"/>
      <c r="P73" s="5"/>
      <c r="Q73" s="5"/>
      <c r="R73" s="20"/>
      <c r="S73" s="5"/>
      <c r="T73" s="5"/>
      <c r="U73" s="5"/>
      <c r="V73" s="5" t="s">
        <v>34</v>
      </c>
      <c r="W73" s="6"/>
      <c r="X73" s="6"/>
      <c r="Y73" s="6"/>
      <c r="Z73" s="6"/>
      <c r="AA73" s="6"/>
      <c r="AB73" s="6"/>
      <c r="AC73" s="6"/>
      <c r="AD73" s="6"/>
      <c r="AE73" s="6"/>
      <c r="AF73" s="6"/>
      <c r="AG73" s="6"/>
      <c r="AH73" s="6"/>
      <c r="AI73" s="6"/>
      <c r="AJ73" s="6"/>
      <c r="AK73" s="6"/>
      <c r="AL73" s="6"/>
      <c r="AM73" s="6"/>
      <c r="AN73" s="6"/>
    </row>
    <row r="74" spans="1:40">
      <c r="A74" t="s">
        <v>63</v>
      </c>
      <c r="R74" s="21"/>
      <c r="V74" t="s">
        <v>34</v>
      </c>
      <c r="W74" s="7"/>
      <c r="X74" s="7"/>
      <c r="Y74" s="7"/>
      <c r="Z74" s="7"/>
      <c r="AA74" s="7"/>
      <c r="AB74" s="7"/>
      <c r="AC74" s="7"/>
      <c r="AD74" s="7"/>
      <c r="AE74" s="7"/>
      <c r="AF74" s="7"/>
      <c r="AG74" s="7"/>
      <c r="AH74" s="7"/>
      <c r="AI74" s="7"/>
      <c r="AJ74" s="7"/>
      <c r="AK74" s="7"/>
      <c r="AL74" s="7"/>
      <c r="AM74" s="7"/>
      <c r="AN74" s="7"/>
    </row>
    <row r="75" spans="1:40">
      <c r="A75" s="5" t="s">
        <v>64</v>
      </c>
      <c r="B75" s="5"/>
      <c r="C75" s="5"/>
      <c r="D75" s="5"/>
      <c r="E75" s="5"/>
      <c r="F75" s="5"/>
      <c r="G75" s="5"/>
      <c r="H75" s="5"/>
      <c r="I75" s="5"/>
      <c r="J75" s="5"/>
      <c r="K75" s="5"/>
      <c r="L75" s="5"/>
      <c r="M75" s="5"/>
      <c r="N75" s="5"/>
      <c r="O75" s="5"/>
      <c r="P75" s="5"/>
      <c r="Q75" s="5"/>
      <c r="R75" s="20"/>
      <c r="S75" s="5"/>
      <c r="T75" s="5"/>
      <c r="U75" s="5"/>
      <c r="V75" s="5" t="s">
        <v>34</v>
      </c>
      <c r="W75" s="6"/>
      <c r="X75" s="6"/>
      <c r="Y75" s="6"/>
      <c r="Z75" s="6"/>
      <c r="AA75" s="6"/>
      <c r="AB75" s="6"/>
      <c r="AC75" s="6"/>
      <c r="AD75" s="6"/>
      <c r="AE75" s="6"/>
      <c r="AF75" s="6"/>
      <c r="AG75" s="6"/>
      <c r="AH75" s="6"/>
      <c r="AI75" s="6"/>
      <c r="AJ75" s="6"/>
      <c r="AK75" s="6"/>
      <c r="AL75" s="6"/>
      <c r="AM75" s="6"/>
      <c r="AN75" s="6"/>
    </row>
    <row r="76" spans="1:40">
      <c r="A76" t="s">
        <v>65</v>
      </c>
      <c r="R76" s="21"/>
      <c r="V76" t="s">
        <v>34</v>
      </c>
      <c r="W76" s="7"/>
      <c r="X76" s="7"/>
      <c r="Y76" s="7"/>
      <c r="Z76" s="7"/>
      <c r="AA76" s="7"/>
      <c r="AB76" s="7"/>
      <c r="AC76" s="7"/>
      <c r="AD76" s="7"/>
      <c r="AE76" s="7"/>
      <c r="AF76" s="7"/>
      <c r="AG76" s="7"/>
      <c r="AH76" s="7"/>
      <c r="AI76" s="7"/>
      <c r="AJ76" s="7"/>
      <c r="AK76" s="7"/>
      <c r="AL76" s="7"/>
      <c r="AM76" s="7"/>
      <c r="AN76" s="7"/>
    </row>
    <row r="77" spans="1:40">
      <c r="A77" s="5" t="s">
        <v>66</v>
      </c>
      <c r="B77" s="5"/>
      <c r="C77" s="5"/>
      <c r="D77" s="5"/>
      <c r="E77" s="5"/>
      <c r="F77" s="5"/>
      <c r="G77" s="5"/>
      <c r="H77" s="5"/>
      <c r="I77" s="5"/>
      <c r="J77" s="5"/>
      <c r="K77" s="5"/>
      <c r="L77" s="5"/>
      <c r="M77" s="5"/>
      <c r="N77" s="5"/>
      <c r="O77" s="5"/>
      <c r="P77" s="5"/>
      <c r="Q77" s="5"/>
      <c r="R77" s="20"/>
      <c r="S77" s="5"/>
      <c r="T77" s="5"/>
      <c r="U77" s="5"/>
      <c r="V77" s="5" t="s">
        <v>34</v>
      </c>
      <c r="W77" s="6"/>
      <c r="X77" s="6"/>
      <c r="Y77" s="6"/>
      <c r="Z77" s="6"/>
      <c r="AA77" s="6"/>
      <c r="AB77" s="6"/>
      <c r="AC77" s="6"/>
      <c r="AD77" s="6"/>
      <c r="AE77" s="6"/>
      <c r="AF77" s="6"/>
      <c r="AG77" s="6"/>
      <c r="AH77" s="6"/>
      <c r="AI77" s="6"/>
      <c r="AJ77" s="6"/>
      <c r="AK77" s="6"/>
      <c r="AL77" s="6"/>
      <c r="AM77" s="6"/>
      <c r="AN77" s="6"/>
    </row>
    <row r="78" spans="1:40">
      <c r="A78" t="s">
        <v>67</v>
      </c>
      <c r="R78" s="21"/>
      <c r="V78" t="s">
        <v>34</v>
      </c>
      <c r="W78" s="7"/>
      <c r="X78" s="7"/>
      <c r="Y78" s="7"/>
      <c r="Z78" s="7"/>
      <c r="AA78" s="7"/>
      <c r="AB78" s="7"/>
      <c r="AC78" s="7"/>
      <c r="AD78" s="7"/>
      <c r="AE78" s="7"/>
      <c r="AF78" s="7"/>
      <c r="AG78" s="7"/>
      <c r="AH78" s="7"/>
      <c r="AI78" s="7"/>
      <c r="AJ78" s="7"/>
      <c r="AK78" s="7"/>
      <c r="AL78" s="7"/>
      <c r="AM78" s="7"/>
      <c r="AN78" s="7"/>
    </row>
    <row r="79" spans="1:40">
      <c r="A79" s="5" t="s">
        <v>68</v>
      </c>
      <c r="B79" s="5"/>
      <c r="C79" s="5"/>
      <c r="D79" s="5"/>
      <c r="E79" s="5"/>
      <c r="F79" s="5"/>
      <c r="G79" s="5"/>
      <c r="H79" s="5"/>
      <c r="I79" s="5"/>
      <c r="J79" s="5"/>
      <c r="K79" s="5"/>
      <c r="L79" s="5"/>
      <c r="M79" s="5"/>
      <c r="N79" s="5"/>
      <c r="O79" s="5"/>
      <c r="P79" s="5"/>
      <c r="Q79" s="5"/>
      <c r="R79" s="20"/>
      <c r="S79" s="5"/>
      <c r="T79" s="5"/>
      <c r="U79" s="5"/>
      <c r="V79" s="5" t="s">
        <v>34</v>
      </c>
      <c r="W79" s="6"/>
      <c r="X79" s="6"/>
      <c r="Y79" s="6"/>
      <c r="Z79" s="6"/>
      <c r="AA79" s="6"/>
      <c r="AB79" s="6"/>
      <c r="AC79" s="6"/>
      <c r="AD79" s="6"/>
      <c r="AE79" s="6"/>
      <c r="AF79" s="6"/>
      <c r="AG79" s="6"/>
      <c r="AH79" s="6"/>
      <c r="AI79" s="6"/>
      <c r="AJ79" s="6"/>
      <c r="AK79" s="6"/>
      <c r="AL79" s="6"/>
      <c r="AM79" s="6"/>
      <c r="AN79" s="6"/>
    </row>
  </sheetData>
  <phoneticPr fontId="12" type="noConversion"/>
  <hyperlinks>
    <hyperlink ref="AD42" r:id="rId1" xr:uid="{6C67CDAA-2665-4775-9282-51BF337D6400}"/>
    <hyperlink ref="AC18" r:id="rId2" xr:uid="{DA6EF610-1C91-4FFC-B33E-FCB1533D420F}"/>
    <hyperlink ref="AE18" r:id="rId3" location=":~:text=Whilst%20MLCCs%20are%20susceptible%20to,of%202%20years%20or%20less." xr:uid="{FABCDFF4-E4CA-458B-BCEE-0CAD21F7BF23}"/>
    <hyperlink ref="AC3" r:id="rId4" xr:uid="{058CD847-D57F-4B41-8903-40B77D35105D}"/>
    <hyperlink ref="AC32" r:id="rId5" display="https://www.sciencedirect.com/science/article/pii/S0263436821000780" xr:uid="{895943B2-F3C7-4D0B-B90F-3A30C24BE91A}"/>
    <hyperlink ref="AC35" r:id="rId6" xr:uid="{FFFDAB7D-1256-45F7-AFB1-D22344886650}"/>
    <hyperlink ref="AC47" r:id="rId7" display="https://www.statista.com/statistics/1009446/tungsten-price/" xr:uid="{97F82DFC-6810-4593-8955-863ACBB3DF37}"/>
    <hyperlink ref="AD5" r:id="rId8" display="https://pubs.usgs.gov/periodicals/mcs2020/mcs2020-tin.pdf" xr:uid="{A3F1EB02-E5A1-49A7-8496-FD8516064D80}"/>
    <hyperlink ref="AE3" r:id="rId9" xr:uid="{ED5EB351-2DB6-48D4-A8B2-6EB12F62BC77}"/>
    <hyperlink ref="AE48" r:id="rId10" xr:uid="{846992AD-3ACB-4557-A7FA-7B00720CF198}"/>
    <hyperlink ref="AE47" r:id="rId11" display="https://www.argusmedia.com/en/news/2222244-eu-tantalum-prices-rebound-on-higher-input-costs" xr:uid="{B03EDC8A-A85B-4AE1-81A1-8460229585D4}"/>
    <hyperlink ref="AE32" r:id="rId12" xr:uid="{F9134EB4-AF7C-4CC4-BB1D-F4A8A307BE54}"/>
    <hyperlink ref="AE33" r:id="rId13" xr:uid="{E0E0ACF1-2E42-4611-9CCF-374D8A3492D0}"/>
    <hyperlink ref="AC48" r:id="rId14" xr:uid="{9E254A45-F310-4AC5-BD1A-6656B4CE3760}"/>
    <hyperlink ref="AJ47" r:id="rId15" xr:uid="{6B03944F-71E5-41D8-B06A-84DE89DA203B}"/>
    <hyperlink ref="AK38" r:id="rId16" xr:uid="{908B8CEB-0A15-4A26-8D30-F41FB42DECF8}"/>
    <hyperlink ref="AL19" r:id="rId17" display="https://www.mdpi.com/2079-9276/10/9/93/pdf" xr:uid="{6918E342-8074-47B2-B087-613D5AC7C8D0}"/>
    <hyperlink ref="AG39" r:id="rId18" display="https://www.copper.org/publications/newsletters/innovations/2001/08/hydrometallurgy.html" xr:uid="{BF4C9410-63BA-47BC-A63D-15337BE7BC5D}"/>
    <hyperlink ref="AH3" r:id="rId19" location=":~:text=Global%20silver%20demand%20edged%20higher%20in%202019%20to%20991.8%20Moz,from%202018%20at%20510.9%20Moz." display="https://www.globenewswire.com/news-release/2020/04/22/2020156/0/en/Global-Silver-Demand-Edged-Higher-in-2019-With-Investment-Demand-Up-12-While-Silver-Mine-Supply-Fell-for-the-Fourth-Consecutive-Year.html#:~:text=Global%20silver%20demand%20edged%20higher%20in%202019%20to%20991.8%20Moz,from%202018%20at%20510.9%20Moz." xr:uid="{7E3C5FCD-8F51-4490-BBE5-6F141696AF97}"/>
    <hyperlink ref="AJ6" r:id="rId20" xr:uid="{0F67CDD1-7035-DC44-9CA6-CA547F4A120E}"/>
    <hyperlink ref="AH7" r:id="rId21" xr:uid="{798E403D-86FA-8F4E-A18B-F39FDE87D1E1}"/>
    <hyperlink ref="AI7" r:id="rId22" xr:uid="{0E247788-8755-934D-922D-DF24A7747C35}"/>
    <hyperlink ref="AG7" r:id="rId23" display="https://www.sciencedirect.com/science/article/pii/S0921344917301817" xr:uid="{00987C5A-86EF-7449-830B-14136FA25644}"/>
    <hyperlink ref="AD7" r:id="rId24" display="https://www.sciencedirect.com/science/article/pii/S0048969718312373" xr:uid="{2FC36872-A372-8149-979C-5C1EB12DAB3C}"/>
    <hyperlink ref="AD8" r:id="rId25" display="https://www.sciencedirect.com/science/article/pii/S0048969718312373" xr:uid="{6485F26B-C8ED-7D47-AA92-D1F7CF8E46F1}"/>
    <hyperlink ref="AD9" r:id="rId26" display="https://www.sciencedirect.com/science/article/pii/S0048969718312373" xr:uid="{D2CF26CA-B025-4C41-899C-2215D4981909}"/>
    <hyperlink ref="AD10" r:id="rId27" display="https://www.sciencedirect.com/science/article/pii/S0048969718312373" xr:uid="{1F472A81-9D59-9340-B578-AD40B57FC5DB}"/>
    <hyperlink ref="AD11" r:id="rId28" display="https://www.sciencedirect.com/science/article/pii/S0048969718312373" xr:uid="{6A858768-DF1D-7A42-9B84-D34C269B492D}"/>
    <hyperlink ref="AJ7" r:id="rId29" xr:uid="{BDB1FBCE-8E5B-E446-9521-78DC3859DF64}"/>
    <hyperlink ref="AJ31" r:id="rId30" display="https://www.recyclingtoday.com/article/battery-council-international-lead-battery-recycling/" xr:uid="{EEE1D733-973D-194D-89E1-ED66138A0CA6}"/>
    <hyperlink ref="AI27" r:id="rId31" xr:uid="{1EBCFBC8-5E0B-3343-B5E4-413BE8F9F076}"/>
    <hyperlink ref="AG17" r:id="rId32" xr:uid="{5BF8B3C9-6734-4540-AB66-56985B2BD4D4}"/>
    <hyperlink ref="AG18" r:id="rId33" xr:uid="{3F6D9065-8733-8048-969F-D3F9B2D846FF}"/>
    <hyperlink ref="AG19" r:id="rId34" xr:uid="{DDC6013A-65C0-C747-8B90-58FABD091EA8}"/>
    <hyperlink ref="AG20" r:id="rId35" xr:uid="{34C61E79-65B5-784B-91E7-D6EFA72E1C16}"/>
    <hyperlink ref="AG21" r:id="rId36" xr:uid="{28856D38-242E-DF4D-A9C7-34619BAC263B}"/>
    <hyperlink ref="AG27" r:id="rId37" xr:uid="{DD334BF5-7CCC-854C-87DB-FD9A495C64E3}"/>
    <hyperlink ref="AG28" r:id="rId38" xr:uid="{960BA8A2-4FFC-D049-A2D2-78ED92322EB5}"/>
    <hyperlink ref="AG29" r:id="rId39" xr:uid="{9776F84E-607F-4340-99D2-0CF5831412A8}"/>
    <hyperlink ref="AG30" r:id="rId40" xr:uid="{E9CAE11E-46BE-D941-AC51-89FBCFAD8F10}"/>
    <hyperlink ref="AG31" r:id="rId41" xr:uid="{08C1E42C-92E1-A54A-9894-BB1716DCEAAE}"/>
    <hyperlink ref="AD27" r:id="rId42" xr:uid="{AB2B8C02-763D-B846-8D3A-C52B9C52ECE4}"/>
    <hyperlink ref="AD28" r:id="rId43" xr:uid="{D83C3CF7-5DCF-3B40-A3CE-426314CA2F28}"/>
    <hyperlink ref="AD29" r:id="rId44" xr:uid="{3658CDFA-B475-A248-8C69-D9B9ABC6614B}"/>
    <hyperlink ref="AD30" r:id="rId45" xr:uid="{8080BCC5-66E2-2349-97CE-9A809D50840E}"/>
    <hyperlink ref="AD31" r:id="rId46" xr:uid="{BBF2DF10-2671-734D-88B6-394D9C60D4A5}"/>
    <hyperlink ref="AI31" r:id="rId47" xr:uid="{F7723C52-BBC3-F24E-AAE4-A9B42CB8045B}"/>
    <hyperlink ref="Z43" r:id="rId48" xr:uid="{324D83B3-AFAE-2543-8E69-C10D887EE7AB}"/>
    <hyperlink ref="AI28" r:id="rId49" xr:uid="{DEC718A9-543E-DA46-97C4-748B0830EED9}"/>
    <hyperlink ref="AI29" r:id="rId50" xr:uid="{841D0090-CE2C-6B4D-8911-C602FC5CA170}"/>
    <hyperlink ref="AI30" r:id="rId51" xr:uid="{EF554BD6-D3AF-2A4B-AB8C-E9433478750A}"/>
    <hyperlink ref="AC23" r:id="rId52" xr:uid="{1F1F9692-265E-EB4A-B340-ADBAE27BB8BE}"/>
    <hyperlink ref="AE23" r:id="rId53" location=":~:text=Whilst%20MLCCs%20are%20susceptible%20to,of%202%20years%20or%20less." xr:uid="{DCBE729B-549B-F249-B4AC-F25B7CAD0B59}"/>
    <hyperlink ref="AL24" r:id="rId54" display="https://www.mdpi.com/2079-9276/10/9/93/pdf" xr:uid="{DE88708D-DBD3-F64C-8229-C156C477DEB1}"/>
    <hyperlink ref="AG22" r:id="rId55" xr:uid="{7E80EC07-8259-D146-8140-8E3DD3B9F6EF}"/>
    <hyperlink ref="AG23" r:id="rId56" xr:uid="{64C4618D-3ED1-094B-B542-0F6DE53871E6}"/>
    <hyperlink ref="AG24" r:id="rId57" xr:uid="{F14A5AEF-9B21-A349-BE04-71F2A55E8274}"/>
    <hyperlink ref="AG25" r:id="rId58" xr:uid="{3D01083B-008E-784D-A8F6-F38011D21DA1}"/>
    <hyperlink ref="AG26" r:id="rId59" xr:uid="{A3B1D1D1-23AC-C74C-B4EC-56A9A594783F}"/>
    <hyperlink ref="AG32" r:id="rId60" display="https://insg.org/wp-content/uploads/2022/02/publist_The-World-Nickel-Factbook-2021.pdf" xr:uid="{7CA7D73C-4B66-8A4E-B88E-797839CD039A}"/>
    <hyperlink ref="AG33" r:id="rId61" display="https://insg.org/wp-content/uploads/2022/02/publist_The-World-Nickel-Factbook-2021.pdf" xr:uid="{8F7902EA-8E88-214B-9383-15F7FF36E6D3}"/>
    <hyperlink ref="AL7" r:id="rId62" xr:uid="{14C6FE71-7E5F-1E4A-A8DC-860088D35D41}"/>
    <hyperlink ref="AL3" r:id="rId63" xr:uid="{A9F76A16-9DB7-C94A-AAE7-15EC57776DC7}"/>
    <hyperlink ref="AL47" r:id="rId64" display="https://ar2019.nornickel.com/pdf/ar/en/commodity-market-overview_platinum.pdf" xr:uid="{7D7A3D60-65BD-444B-9115-C440E32F388F}"/>
    <hyperlink ref="AL32" r:id="rId65" display="https://ar2019.nornickel.com/pdf/ar/en/commodity-market-overview_platinum.pdf" xr:uid="{8C924774-6FC1-E54B-B4C2-A2310983AD39}"/>
    <hyperlink ref="AL33" r:id="rId66" display="https://ar2019.nornickel.com/pdf/ar/en/commodity-market-overview_platinum.pdf" xr:uid="{16889A4C-9FB0-A04C-AAE4-0DE219C6309F}"/>
    <hyperlink ref="AL6" r:id="rId67" location=":~:text=China%20is%20the%20second%20largest,per%20cent%20of%20global%20demand" xr:uid="{4AFFD3CC-8143-A946-B2CA-F37FE48027FD}"/>
    <hyperlink ref="AL35" r:id="rId68" display="https://platinuminvestment.com/supply-and-demand/historic-data" xr:uid="{E7CA6D90-4A04-2948-B955-421E080B4C64}"/>
  </hyperlinks>
  <pageMargins left="0.7" right="0.7" top="0.75" bottom="0.75" header="0.3" footer="0.3"/>
  <pageSetup orientation="portrait" r:id="rId69"/>
  <tableParts count="1">
    <tablePart r:id="rId70"/>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71608-927F-4E4B-98C0-8BD1C2D780A9}">
  <dimension ref="A1:F34"/>
  <sheetViews>
    <sheetView workbookViewId="0">
      <selection activeCell="D31" sqref="D31:E31"/>
    </sheetView>
  </sheetViews>
  <sheetFormatPr baseColWidth="10" defaultColWidth="8.83203125" defaultRowHeight="15"/>
  <cols>
    <col min="3" max="3" width="10.1640625" bestFit="1" customWidth="1"/>
    <col min="4" max="4" width="10.5" customWidth="1"/>
    <col min="26" max="26" width="9.1640625" bestFit="1" customWidth="1"/>
  </cols>
  <sheetData>
    <row r="1" spans="1:6">
      <c r="B1" t="s">
        <v>176</v>
      </c>
      <c r="C1" t="s">
        <v>180</v>
      </c>
      <c r="D1" t="s">
        <v>181</v>
      </c>
      <c r="E1" t="s">
        <v>187</v>
      </c>
      <c r="F1" t="s">
        <v>431</v>
      </c>
    </row>
    <row r="2" spans="1:6">
      <c r="A2" t="s">
        <v>173</v>
      </c>
      <c r="B2" t="s">
        <v>313</v>
      </c>
      <c r="D2" t="s">
        <v>432</v>
      </c>
      <c r="E2" t="s">
        <v>314</v>
      </c>
      <c r="F2" s="1" t="s">
        <v>348</v>
      </c>
    </row>
    <row r="3" spans="1:6">
      <c r="A3">
        <v>1991</v>
      </c>
      <c r="B3">
        <v>19.179588989644255</v>
      </c>
      <c r="E3">
        <v>3.8069431775500351</v>
      </c>
    </row>
    <row r="4" spans="1:6">
      <c r="A4">
        <v>1992</v>
      </c>
      <c r="B4">
        <v>19.579331437463111</v>
      </c>
      <c r="E4">
        <v>3.9786446316467243</v>
      </c>
    </row>
    <row r="5" spans="1:6">
      <c r="A5">
        <v>1993</v>
      </c>
      <c r="B5">
        <v>20.700756559532117</v>
      </c>
      <c r="E5">
        <v>3.9840103020872455</v>
      </c>
    </row>
    <row r="6" spans="1:6">
      <c r="A6">
        <v>1994</v>
      </c>
      <c r="B6">
        <v>20.593443150721683</v>
      </c>
      <c r="E6">
        <v>4.0779095347963734</v>
      </c>
    </row>
    <row r="7" spans="1:6">
      <c r="A7">
        <v>1995</v>
      </c>
      <c r="B7">
        <v>20.6470998551269</v>
      </c>
      <c r="D7">
        <v>13.692828189876151</v>
      </c>
      <c r="E7">
        <v>4.3703385738047968</v>
      </c>
    </row>
    <row r="8" spans="1:6">
      <c r="A8">
        <v>1996</v>
      </c>
      <c r="B8">
        <v>21.808767505499812</v>
      </c>
      <c r="D8">
        <v>15.371121003210868</v>
      </c>
      <c r="E8">
        <v>4.2496109888930622</v>
      </c>
    </row>
    <row r="9" spans="1:6">
      <c r="A9">
        <v>1997</v>
      </c>
      <c r="B9">
        <v>22.672640446423781</v>
      </c>
      <c r="D9">
        <v>15.371121003210868</v>
      </c>
      <c r="E9">
        <v>4.5420400279014865</v>
      </c>
    </row>
    <row r="10" spans="1:6">
      <c r="A10">
        <v>1998</v>
      </c>
      <c r="B10">
        <v>22.358748725653271</v>
      </c>
      <c r="D10">
        <v>15.371121003210868</v>
      </c>
      <c r="E10">
        <v>5.204163760261844</v>
      </c>
    </row>
    <row r="11" spans="1:6">
      <c r="A11">
        <v>1999</v>
      </c>
      <c r="B11">
        <v>23.802114074153568</v>
      </c>
      <c r="D11">
        <v>15.787859252467968</v>
      </c>
      <c r="E11">
        <v>4.8720287599935608</v>
      </c>
      <c r="F11">
        <v>17.020807000000001</v>
      </c>
    </row>
    <row r="12" spans="1:6">
      <c r="A12">
        <v>2000</v>
      </c>
      <c r="B12">
        <v>25.38766968932768</v>
      </c>
      <c r="D12">
        <v>16.754578592581378</v>
      </c>
      <c r="E12">
        <v>4.8505660782314761</v>
      </c>
      <c r="F12">
        <v>18.202192999999998</v>
      </c>
    </row>
    <row r="13" spans="1:6">
      <c r="A13">
        <v>2001</v>
      </c>
      <c r="B13">
        <v>23.772602886730695</v>
      </c>
      <c r="D13">
        <v>17.185491612221373</v>
      </c>
      <c r="E13">
        <v>5.0705585662928581</v>
      </c>
      <c r="F13">
        <v>19.002631000000001</v>
      </c>
    </row>
    <row r="14" spans="1:6">
      <c r="A14">
        <v>2002</v>
      </c>
      <c r="B14">
        <v>23.35944626281054</v>
      </c>
      <c r="D14">
        <v>16.85380198526164</v>
      </c>
      <c r="E14">
        <v>5.2932338895745019</v>
      </c>
      <c r="F14">
        <v>18.904408</v>
      </c>
    </row>
    <row r="15" spans="1:6">
      <c r="A15">
        <v>2003</v>
      </c>
      <c r="B15">
        <v>23.871867789880344</v>
      </c>
      <c r="D15">
        <v>16.930345745329273</v>
      </c>
      <c r="E15">
        <v>5.2583570317111121</v>
      </c>
      <c r="F15">
        <v>18.82685</v>
      </c>
    </row>
    <row r="16" spans="1:6">
      <c r="A16">
        <v>2004</v>
      </c>
      <c r="B16">
        <v>23.67333798358105</v>
      </c>
      <c r="D16">
        <v>17.395278213888211</v>
      </c>
      <c r="E16">
        <v>5.3307935826581527</v>
      </c>
      <c r="F16">
        <v>19.891030999999998</v>
      </c>
    </row>
    <row r="17" spans="1:6">
      <c r="A17">
        <v>2005</v>
      </c>
      <c r="B17">
        <v>25.623759188710629</v>
      </c>
      <c r="D17">
        <v>18.140871136028466</v>
      </c>
      <c r="E17">
        <v>5.4568868380104094</v>
      </c>
      <c r="F17">
        <v>20.752817999999998</v>
      </c>
    </row>
    <row r="18" spans="1:6">
      <c r="A18">
        <v>2006</v>
      </c>
      <c r="B18">
        <v>24.843054139614743</v>
      </c>
      <c r="D18">
        <v>18.240094528708727</v>
      </c>
      <c r="E18">
        <v>5.5561517411600576</v>
      </c>
      <c r="F18">
        <v>20.207038000000001</v>
      </c>
    </row>
    <row r="19" spans="1:6">
      <c r="A19">
        <v>2007</v>
      </c>
      <c r="B19">
        <v>24.494285560980845</v>
      </c>
      <c r="D19">
        <v>18.928988369317405</v>
      </c>
      <c r="E19">
        <v>5.4783495197724958</v>
      </c>
      <c r="F19">
        <v>20.918483000000002</v>
      </c>
    </row>
    <row r="20" spans="1:6">
      <c r="A20">
        <v>2008</v>
      </c>
      <c r="B20">
        <v>24.547942265386059</v>
      </c>
      <c r="D20">
        <v>19.410930562335821</v>
      </c>
      <c r="E20">
        <v>5.4193271449267586</v>
      </c>
      <c r="F20">
        <v>21.436884999999997</v>
      </c>
    </row>
    <row r="21" spans="1:6">
      <c r="A21">
        <v>2009</v>
      </c>
      <c r="B21">
        <v>24.995975747169609</v>
      </c>
      <c r="D21">
        <v>20.335125591300542</v>
      </c>
      <c r="E21">
        <v>5.3978644631646722</v>
      </c>
      <c r="F21">
        <v>22.324262999999998</v>
      </c>
    </row>
    <row r="22" spans="1:6">
      <c r="A22">
        <v>2010</v>
      </c>
      <c r="B22">
        <v>28.872672640446424</v>
      </c>
      <c r="D22">
        <v>21.347204196639218</v>
      </c>
      <c r="E22">
        <v>6.1383269839566461</v>
      </c>
      <c r="F22">
        <v>23.391197999999999</v>
      </c>
    </row>
    <row r="23" spans="1:6">
      <c r="A23">
        <v>2011</v>
      </c>
      <c r="B23">
        <v>28.046359392606107</v>
      </c>
      <c r="D23">
        <v>21.548485936076322</v>
      </c>
      <c r="E23">
        <v>7.0156141009819182</v>
      </c>
      <c r="F23">
        <v>23.379133999999997</v>
      </c>
    </row>
    <row r="24" spans="1:6">
      <c r="A24">
        <v>2012</v>
      </c>
      <c r="B24">
        <v>28.124161613993667</v>
      </c>
      <c r="D24">
        <v>22.56339949549157</v>
      </c>
      <c r="E24">
        <v>6.8546439877662708</v>
      </c>
      <c r="F24">
        <v>25.035924999999999</v>
      </c>
    </row>
    <row r="25" spans="1:6">
      <c r="A25">
        <v>2013</v>
      </c>
      <c r="B25">
        <v>28.738530879433384</v>
      </c>
      <c r="D25">
        <v>23.963866809321551</v>
      </c>
      <c r="E25">
        <v>5.1698234694425063</v>
      </c>
      <c r="F25">
        <v>25.961294000000002</v>
      </c>
    </row>
    <row r="26" spans="1:6">
      <c r="A26">
        <v>2014</v>
      </c>
      <c r="B26">
        <v>28.486344368728872</v>
      </c>
      <c r="D26">
        <v>25.007129909502595</v>
      </c>
      <c r="E26">
        <v>4.6949616354563499</v>
      </c>
      <c r="F26">
        <v>27.434650000000001</v>
      </c>
    </row>
    <row r="27" spans="1:6">
      <c r="A27">
        <v>2015</v>
      </c>
      <c r="B27">
        <v>28.717068197671303</v>
      </c>
      <c r="D27">
        <v>25.426703112836272</v>
      </c>
      <c r="E27">
        <v>4.4669206417341849</v>
      </c>
      <c r="F27">
        <v>28.143955999999999</v>
      </c>
    </row>
    <row r="28" spans="1:6">
      <c r="A28">
        <v>2016</v>
      </c>
      <c r="B28">
        <v>27.520523689434992</v>
      </c>
      <c r="D28">
        <v>25.514586689210219</v>
      </c>
      <c r="E28">
        <v>4.4132639373289697</v>
      </c>
      <c r="F28">
        <v>28.132810000000003</v>
      </c>
    </row>
    <row r="29" spans="1:6">
      <c r="A29">
        <v>2017</v>
      </c>
      <c r="B29">
        <v>27.702956484412727</v>
      </c>
      <c r="D29">
        <v>24.485498359412073</v>
      </c>
      <c r="E29">
        <v>4.5017974995975756</v>
      </c>
      <c r="F29">
        <v>27.218978</v>
      </c>
    </row>
    <row r="30" spans="1:6">
      <c r="A30">
        <v>2018</v>
      </c>
      <c r="B30">
        <v>26.943714117078926</v>
      </c>
      <c r="D30">
        <v>24.102779559073923</v>
      </c>
      <c r="E30">
        <v>4.5017974995975756</v>
      </c>
      <c r="F30">
        <v>28.006637999999999</v>
      </c>
    </row>
    <row r="31" spans="1:6">
      <c r="A31">
        <v>2019</v>
      </c>
      <c r="B31">
        <v>26.704941782475718</v>
      </c>
      <c r="D31">
        <v>23.697381126123137</v>
      </c>
      <c r="E31">
        <v>4.5742340505446153</v>
      </c>
      <c r="F31">
        <v>28.35378</v>
      </c>
    </row>
    <row r="32" spans="1:6">
      <c r="A32">
        <v>2020</v>
      </c>
      <c r="B32">
        <v>25.846434511992275</v>
      </c>
      <c r="D32">
        <v>22.143826292157893</v>
      </c>
      <c r="E32">
        <v>4.885442936094865</v>
      </c>
      <c r="F32">
        <v>24.563119999999998</v>
      </c>
    </row>
    <row r="33" spans="1:5">
      <c r="A33">
        <v>2021</v>
      </c>
      <c r="B33">
        <v>28.142941460535493</v>
      </c>
      <c r="D33">
        <v>23.320332233938142</v>
      </c>
      <c r="E33">
        <v>5.2637227021516342</v>
      </c>
    </row>
    <row r="34" spans="1:5">
      <c r="A34">
        <v>2022</v>
      </c>
      <c r="B34">
        <v>29.55947845683318</v>
      </c>
      <c r="D34">
        <v>23.904332773713399</v>
      </c>
      <c r="E34">
        <v>4.8425175725706922</v>
      </c>
    </row>
  </sheetData>
  <phoneticPr fontId="12"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A80B4-7C9F-4455-863A-277E0A0ADA6C}">
  <dimension ref="A1:I23"/>
  <sheetViews>
    <sheetView workbookViewId="0">
      <selection activeCell="D22" sqref="D22"/>
    </sheetView>
  </sheetViews>
  <sheetFormatPr baseColWidth="10" defaultColWidth="8.83203125" defaultRowHeight="15"/>
  <sheetData>
    <row r="1" spans="1:9">
      <c r="B1" t="s">
        <v>176</v>
      </c>
      <c r="C1" t="s">
        <v>180</v>
      </c>
      <c r="D1" t="s">
        <v>181</v>
      </c>
      <c r="E1" t="s">
        <v>187</v>
      </c>
      <c r="F1" t="s">
        <v>176</v>
      </c>
      <c r="G1" t="s">
        <v>424</v>
      </c>
      <c r="H1" t="s">
        <v>423</v>
      </c>
      <c r="I1" t="s">
        <v>425</v>
      </c>
    </row>
    <row r="2" spans="1:9">
      <c r="A2" t="s">
        <v>173</v>
      </c>
      <c r="B2" t="s">
        <v>315</v>
      </c>
      <c r="D2" t="s">
        <v>426</v>
      </c>
      <c r="E2" t="s">
        <v>427</v>
      </c>
      <c r="F2" t="s">
        <v>428</v>
      </c>
      <c r="G2" t="s">
        <v>427</v>
      </c>
      <c r="H2" t="s">
        <v>427</v>
      </c>
      <c r="I2" t="s">
        <v>427</v>
      </c>
    </row>
    <row r="3" spans="1:9" ht="16">
      <c r="A3">
        <v>2000</v>
      </c>
      <c r="B3">
        <v>10351.0764090917</v>
      </c>
      <c r="C3" s="2"/>
      <c r="D3">
        <v>9064.9660879579806</v>
      </c>
      <c r="E3" s="41">
        <v>1217.13444065003</v>
      </c>
      <c r="F3">
        <f>SUM(D3:E3)</f>
        <v>10282.100528608011</v>
      </c>
      <c r="G3">
        <v>1084.37067773167</v>
      </c>
      <c r="H3">
        <v>531.13665201940012</v>
      </c>
      <c r="I3">
        <v>1217.13444065003</v>
      </c>
    </row>
    <row r="4" spans="1:9">
      <c r="A4">
        <v>2001</v>
      </c>
      <c r="B4">
        <v>9866.3488428836899</v>
      </c>
      <c r="D4">
        <v>8515.0850818531817</v>
      </c>
      <c r="E4" s="41">
        <v>1363.13866317931</v>
      </c>
      <c r="F4">
        <f t="shared" ref="F4:F23" si="0">SUM(D4:E4)</f>
        <v>9878.2237450324919</v>
      </c>
      <c r="G4">
        <v>1088.1551750096801</v>
      </c>
      <c r="H4">
        <v>495.78339847111988</v>
      </c>
      <c r="I4">
        <v>1363.13866317931</v>
      </c>
    </row>
    <row r="5" spans="1:9">
      <c r="A5">
        <v>2002</v>
      </c>
      <c r="B5">
        <v>9828.3789110155994</v>
      </c>
      <c r="D5">
        <v>8549.3141680529297</v>
      </c>
      <c r="E5" s="41">
        <v>1372.6107941219304</v>
      </c>
      <c r="F5">
        <f t="shared" si="0"/>
        <v>9921.9249621748604</v>
      </c>
      <c r="G5">
        <v>1088.14382226979</v>
      </c>
      <c r="H5">
        <v>455.36001319745992</v>
      </c>
      <c r="I5">
        <v>1372.6107941219304</v>
      </c>
    </row>
    <row r="6" spans="1:9">
      <c r="A6">
        <v>2003</v>
      </c>
      <c r="B6">
        <v>10237.2191670264</v>
      </c>
      <c r="D6">
        <v>9184.2980566687493</v>
      </c>
      <c r="E6" s="41">
        <v>1207.7818768462103</v>
      </c>
      <c r="F6">
        <f t="shared" si="0"/>
        <v>10392.07993351496</v>
      </c>
      <c r="G6">
        <v>1120.4432898624598</v>
      </c>
      <c r="H6">
        <v>525.96424873866022</v>
      </c>
      <c r="I6">
        <v>1207.7818768462103</v>
      </c>
    </row>
    <row r="7" spans="1:9">
      <c r="A7">
        <v>2004</v>
      </c>
      <c r="B7">
        <v>11502.3667861634</v>
      </c>
      <c r="D7">
        <v>10529.25918084443</v>
      </c>
      <c r="E7" s="41">
        <v>1173.8843040832</v>
      </c>
      <c r="F7">
        <f t="shared" si="0"/>
        <v>11703.14348492763</v>
      </c>
      <c r="G7">
        <v>1247.0215308133199</v>
      </c>
      <c r="H7">
        <v>526.17140176358998</v>
      </c>
      <c r="I7">
        <v>1173.8843040832</v>
      </c>
    </row>
    <row r="8" spans="1:9">
      <c r="A8">
        <v>2005</v>
      </c>
      <c r="B8">
        <v>12022.857035605</v>
      </c>
      <c r="D8">
        <v>10734.553321672051</v>
      </c>
      <c r="E8" s="41">
        <v>1486.2335877445698</v>
      </c>
      <c r="F8">
        <f t="shared" si="0"/>
        <v>12220.78690941662</v>
      </c>
      <c r="G8">
        <v>1256.49920309445</v>
      </c>
      <c r="H8">
        <v>606.85833774315006</v>
      </c>
      <c r="I8">
        <v>1486.2335877445698</v>
      </c>
    </row>
    <row r="9" spans="1:9">
      <c r="A9">
        <v>2006</v>
      </c>
      <c r="B9">
        <v>12543.399838585501</v>
      </c>
      <c r="D9">
        <v>10952.161424540769</v>
      </c>
      <c r="E9" s="41">
        <v>1648.32215914429</v>
      </c>
      <c r="F9">
        <f t="shared" si="0"/>
        <v>12600.48358368506</v>
      </c>
      <c r="G9">
        <v>1375.1514826452699</v>
      </c>
      <c r="H9">
        <v>635.74355750189011</v>
      </c>
      <c r="I9">
        <v>1648.32215914429</v>
      </c>
    </row>
    <row r="10" spans="1:9">
      <c r="A10">
        <v>2007</v>
      </c>
      <c r="B10">
        <v>13026.787289551199</v>
      </c>
      <c r="D10">
        <v>11106.147881979261</v>
      </c>
      <c r="E10" s="41">
        <v>1875.6529264926899</v>
      </c>
      <c r="F10">
        <f t="shared" si="0"/>
        <v>12981.800808471951</v>
      </c>
      <c r="G10">
        <v>1406.78260272633</v>
      </c>
      <c r="H10">
        <v>717.37034785262995</v>
      </c>
      <c r="I10">
        <v>1875.6529264926899</v>
      </c>
    </row>
    <row r="11" spans="1:9">
      <c r="A11">
        <v>2008</v>
      </c>
      <c r="B11">
        <v>13249.404080406901</v>
      </c>
      <c r="D11">
        <v>11202.96788383093</v>
      </c>
      <c r="E11" s="41">
        <v>2054.5098660301696</v>
      </c>
      <c r="F11">
        <f t="shared" si="0"/>
        <v>13257.4777498611</v>
      </c>
      <c r="G11">
        <v>1434.6687224143</v>
      </c>
      <c r="H11">
        <v>727.3655381236797</v>
      </c>
      <c r="I11">
        <v>2054.5098660301696</v>
      </c>
    </row>
    <row r="12" spans="1:9">
      <c r="A12">
        <v>2009</v>
      </c>
      <c r="B12">
        <v>13025.236960153099</v>
      </c>
      <c r="D12">
        <v>11037.335545252092</v>
      </c>
      <c r="E12" s="41">
        <v>2048.3753861983605</v>
      </c>
      <c r="F12">
        <f t="shared" si="0"/>
        <v>13085.710931450452</v>
      </c>
      <c r="G12">
        <v>1468.63723859071</v>
      </c>
      <c r="H12">
        <v>699.53150177906969</v>
      </c>
      <c r="I12">
        <v>2048.3753861983605</v>
      </c>
    </row>
    <row r="13" spans="1:9">
      <c r="A13">
        <v>2010</v>
      </c>
      <c r="B13">
        <v>13583.0402222264</v>
      </c>
      <c r="D13">
        <v>11792.35767592063</v>
      </c>
      <c r="E13" s="41">
        <v>1988.2327385452404</v>
      </c>
      <c r="F13">
        <f t="shared" si="0"/>
        <v>13780.590414465871</v>
      </c>
      <c r="G13">
        <v>1500.0850794202402</v>
      </c>
      <c r="H13">
        <v>697.26370153173957</v>
      </c>
      <c r="I13">
        <v>1988.2327385452404</v>
      </c>
    </row>
    <row r="14" spans="1:9">
      <c r="A14">
        <v>2011</v>
      </c>
      <c r="B14">
        <v>14066.2700125753</v>
      </c>
      <c r="D14">
        <v>12297.24689874724</v>
      </c>
      <c r="E14" s="41">
        <v>1802.8929011053401</v>
      </c>
      <c r="F14">
        <f t="shared" si="0"/>
        <v>14100.139799852581</v>
      </c>
      <c r="G14">
        <v>1549.3370125010699</v>
      </c>
      <c r="H14">
        <v>758.12897115736018</v>
      </c>
      <c r="I14">
        <v>1802.8929011053401</v>
      </c>
    </row>
    <row r="15" spans="1:9">
      <c r="A15">
        <v>2012</v>
      </c>
      <c r="B15">
        <v>14475.0577150472</v>
      </c>
      <c r="D15">
        <v>12668.752100066707</v>
      </c>
      <c r="E15" s="41">
        <v>1688.2287914846302</v>
      </c>
      <c r="F15">
        <f t="shared" si="0"/>
        <v>14356.980891551339</v>
      </c>
      <c r="G15">
        <v>1613.36949214588</v>
      </c>
      <c r="H15">
        <v>853.02062879577988</v>
      </c>
      <c r="I15">
        <v>1688.2287914846302</v>
      </c>
    </row>
    <row r="16" spans="1:9">
      <c r="A16">
        <v>2013</v>
      </c>
      <c r="B16">
        <v>14809.429606411501</v>
      </c>
      <c r="D16">
        <v>12807.815407677399</v>
      </c>
      <c r="E16" s="41">
        <v>1885.3140730854702</v>
      </c>
      <c r="F16">
        <f t="shared" si="0"/>
        <v>14693.129480762869</v>
      </c>
      <c r="G16">
        <v>1716.36272388476</v>
      </c>
      <c r="H16">
        <v>818.40521996699977</v>
      </c>
      <c r="I16">
        <v>1885.3140730854702</v>
      </c>
    </row>
    <row r="17" spans="1:9">
      <c r="A17">
        <v>2014</v>
      </c>
      <c r="B17">
        <v>15255.504044745499</v>
      </c>
      <c r="D17">
        <v>13084.447286886709</v>
      </c>
      <c r="E17" s="41">
        <v>2086.6991979336003</v>
      </c>
      <c r="F17">
        <f t="shared" si="0"/>
        <v>15171.146484820309</v>
      </c>
      <c r="G17">
        <v>1810.0214765443402</v>
      </c>
      <c r="H17">
        <v>846.18777229597981</v>
      </c>
      <c r="I17">
        <v>2086.6991979336003</v>
      </c>
    </row>
    <row r="18" spans="1:9">
      <c r="A18">
        <v>2015</v>
      </c>
      <c r="B18">
        <v>15664.3705775258</v>
      </c>
      <c r="D18">
        <v>13466.31015537981</v>
      </c>
      <c r="E18" s="41">
        <v>2166.0997359217708</v>
      </c>
      <c r="F18">
        <f t="shared" si="0"/>
        <v>15632.409891301581</v>
      </c>
      <c r="G18">
        <v>1891.68627690427</v>
      </c>
      <c r="H18">
        <v>901.8606834443699</v>
      </c>
      <c r="I18">
        <v>2166.0997359217708</v>
      </c>
    </row>
    <row r="19" spans="1:9">
      <c r="A19">
        <v>2016</v>
      </c>
      <c r="B19">
        <v>16073.184556767199</v>
      </c>
      <c r="D19">
        <v>13696.618894692318</v>
      </c>
      <c r="E19" s="41">
        <v>2190.7136000776104</v>
      </c>
      <c r="F19">
        <f t="shared" si="0"/>
        <v>15887.332494769928</v>
      </c>
      <c r="G19">
        <v>1981.17985470184</v>
      </c>
      <c r="H19">
        <v>933.73368360592963</v>
      </c>
      <c r="I19">
        <v>2190.7136000776104</v>
      </c>
    </row>
    <row r="20" spans="1:9">
      <c r="A20">
        <v>2017</v>
      </c>
      <c r="B20">
        <v>16593.7273597477</v>
      </c>
      <c r="D20">
        <v>14227.602753560419</v>
      </c>
      <c r="E20" s="41">
        <v>2307.7224017317999</v>
      </c>
      <c r="F20">
        <f t="shared" si="0"/>
        <v>16535.325155292219</v>
      </c>
      <c r="G20">
        <v>2076.1859349558904</v>
      </c>
      <c r="H20">
        <v>996.01449944829983</v>
      </c>
      <c r="I20">
        <v>2307.7224017317999</v>
      </c>
    </row>
    <row r="21" spans="1:9">
      <c r="A21">
        <v>2018</v>
      </c>
      <c r="B21">
        <v>17077.0097036355</v>
      </c>
      <c r="D21">
        <v>14359.859362913799</v>
      </c>
      <c r="E21" s="41">
        <v>2623.0190449618299</v>
      </c>
      <c r="F21">
        <f t="shared" si="0"/>
        <v>16982.878407875629</v>
      </c>
      <c r="G21">
        <v>2132.6410884745101</v>
      </c>
      <c r="H21">
        <v>973.68397371952005</v>
      </c>
      <c r="I21">
        <v>2623.0190449618299</v>
      </c>
    </row>
    <row r="22" spans="1:9">
      <c r="A22">
        <v>2019</v>
      </c>
      <c r="B22">
        <v>17448.642054092597</v>
      </c>
      <c r="D22">
        <v>14240.812392276797</v>
      </c>
      <c r="E22" s="41">
        <v>3026.2637033371398</v>
      </c>
      <c r="F22">
        <f t="shared" si="0"/>
        <v>17267.076095613938</v>
      </c>
      <c r="G22">
        <v>2180.83759065291</v>
      </c>
      <c r="H22">
        <v>1013.37382187708</v>
      </c>
      <c r="I22">
        <v>3026.2637033371398</v>
      </c>
    </row>
    <row r="23" spans="1:9">
      <c r="A23">
        <v>2020</v>
      </c>
      <c r="B23">
        <v>16889.367292929597</v>
      </c>
      <c r="D23">
        <v>13427.328141662838</v>
      </c>
      <c r="E23" s="41">
        <v>3290.9978690417297</v>
      </c>
      <c r="F23">
        <f t="shared" si="0"/>
        <v>16718.326010704568</v>
      </c>
      <c r="G23">
        <v>1960.72575347719</v>
      </c>
      <c r="H23">
        <v>1026.1148186739704</v>
      </c>
      <c r="I23">
        <v>3290.9978690417297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E4D7B-7CFC-4824-AFEA-E4C07C4B6BC5}">
  <dimension ref="A1:J34"/>
  <sheetViews>
    <sheetView workbookViewId="0">
      <selection activeCell="B32" sqref="B32"/>
    </sheetView>
  </sheetViews>
  <sheetFormatPr baseColWidth="10" defaultColWidth="8.83203125" defaultRowHeight="15"/>
  <cols>
    <col min="2" max="2" width="10.6640625" bestFit="1" customWidth="1"/>
  </cols>
  <sheetData>
    <row r="1" spans="1:10">
      <c r="B1" t="s">
        <v>176</v>
      </c>
      <c r="C1" t="s">
        <v>180</v>
      </c>
      <c r="D1" t="s">
        <v>181</v>
      </c>
      <c r="E1" t="s">
        <v>187</v>
      </c>
    </row>
    <row r="2" spans="1:10">
      <c r="A2" t="s">
        <v>173</v>
      </c>
      <c r="B2" t="s">
        <v>316</v>
      </c>
      <c r="D2" s="1" t="s">
        <v>348</v>
      </c>
      <c r="E2" t="s">
        <v>319</v>
      </c>
      <c r="H2" t="s">
        <v>318</v>
      </c>
      <c r="I2" t="s">
        <v>182</v>
      </c>
      <c r="J2" t="s">
        <v>317</v>
      </c>
    </row>
    <row r="3" spans="1:10">
      <c r="A3">
        <v>1990</v>
      </c>
      <c r="B3">
        <v>5403</v>
      </c>
      <c r="E3" s="34">
        <v>2290</v>
      </c>
    </row>
    <row r="4" spans="1:10">
      <c r="A4">
        <v>1991</v>
      </c>
      <c r="B4">
        <v>5255</v>
      </c>
      <c r="E4" s="34">
        <v>2276</v>
      </c>
    </row>
    <row r="5" spans="1:10">
      <c r="A5">
        <v>1992</v>
      </c>
      <c r="B5">
        <v>5279</v>
      </c>
      <c r="E5" s="34">
        <v>2468</v>
      </c>
    </row>
    <row r="6" spans="1:10">
      <c r="A6">
        <v>1993</v>
      </c>
      <c r="B6">
        <v>5224</v>
      </c>
      <c r="E6" s="34">
        <v>2811</v>
      </c>
    </row>
    <row r="7" spans="1:10">
      <c r="A7">
        <v>1994</v>
      </c>
      <c r="B7">
        <v>5486</v>
      </c>
      <c r="E7" s="34">
        <v>2773</v>
      </c>
    </row>
    <row r="8" spans="1:10">
      <c r="A8">
        <v>1995</v>
      </c>
      <c r="B8">
        <v>5870</v>
      </c>
      <c r="E8" s="34">
        <v>3022</v>
      </c>
    </row>
    <row r="9" spans="1:10">
      <c r="A9">
        <v>1996</v>
      </c>
      <c r="B9">
        <v>5975</v>
      </c>
      <c r="E9" s="34">
        <v>2841</v>
      </c>
    </row>
    <row r="10" spans="1:10">
      <c r="A10">
        <v>1997</v>
      </c>
      <c r="B10">
        <v>6053</v>
      </c>
      <c r="E10" s="34">
        <v>3006</v>
      </c>
    </row>
    <row r="11" spans="1:10">
      <c r="A11">
        <v>1998</v>
      </c>
      <c r="B11">
        <v>6067</v>
      </c>
      <c r="E11" s="34">
        <v>3032</v>
      </c>
    </row>
    <row r="12" spans="1:10">
      <c r="A12">
        <v>1999</v>
      </c>
      <c r="B12">
        <v>6242</v>
      </c>
      <c r="D12">
        <v>3026.49</v>
      </c>
      <c r="E12" s="34">
        <v>3322</v>
      </c>
    </row>
    <row r="13" spans="1:10">
      <c r="A13">
        <v>2000</v>
      </c>
      <c r="B13">
        <v>6508</v>
      </c>
      <c r="D13">
        <v>3051.6840000000002</v>
      </c>
      <c r="E13" s="34">
        <v>3596</v>
      </c>
    </row>
    <row r="14" spans="1:10">
      <c r="A14">
        <v>2001</v>
      </c>
      <c r="B14">
        <v>6482</v>
      </c>
      <c r="D14">
        <v>3099.54</v>
      </c>
      <c r="E14" s="34">
        <v>3584</v>
      </c>
    </row>
    <row r="15" spans="1:10">
      <c r="A15">
        <v>2002</v>
      </c>
      <c r="B15">
        <v>6647</v>
      </c>
      <c r="D15">
        <v>2866.3180000000002</v>
      </c>
      <c r="E15" s="34">
        <v>3846</v>
      </c>
    </row>
    <row r="16" spans="1:10">
      <c r="A16">
        <v>2003</v>
      </c>
      <c r="B16">
        <v>6826</v>
      </c>
      <c r="D16">
        <v>3186.7950000000001</v>
      </c>
      <c r="E16" s="34">
        <v>3649</v>
      </c>
    </row>
    <row r="17" spans="1:6">
      <c r="A17">
        <v>2004</v>
      </c>
      <c r="B17">
        <v>7141</v>
      </c>
      <c r="D17">
        <v>3194.8409999999999</v>
      </c>
      <c r="E17" s="34">
        <v>3746</v>
      </c>
    </row>
    <row r="18" spans="1:6">
      <c r="A18">
        <v>2005</v>
      </c>
      <c r="B18">
        <v>7652</v>
      </c>
      <c r="D18">
        <v>3497.0140000000001</v>
      </c>
      <c r="E18" s="34">
        <v>4316.50818139284</v>
      </c>
    </row>
    <row r="19" spans="1:6">
      <c r="A19">
        <v>2006</v>
      </c>
      <c r="B19" s="34">
        <v>8042.6223021582719</v>
      </c>
      <c r="D19">
        <v>3582.8589999999999</v>
      </c>
      <c r="E19" s="34">
        <v>4854.7482013480203</v>
      </c>
    </row>
    <row r="20" spans="1:6">
      <c r="A20">
        <v>2007</v>
      </c>
      <c r="B20" s="34">
        <v>8243.8446043165368</v>
      </c>
      <c r="D20">
        <v>3715.991</v>
      </c>
      <c r="E20" s="34">
        <v>5198.2613767341099</v>
      </c>
    </row>
    <row r="21" spans="1:6">
      <c r="A21">
        <v>2008</v>
      </c>
      <c r="B21" s="34">
        <v>9064.5039568345273</v>
      </c>
      <c r="D21">
        <v>3819.384</v>
      </c>
      <c r="E21" s="34">
        <v>5444.4611366192803</v>
      </c>
    </row>
    <row r="22" spans="1:6">
      <c r="A22">
        <v>2009</v>
      </c>
      <c r="B22" s="34">
        <v>9174.295683453227</v>
      </c>
      <c r="D22">
        <v>3888.8389999999999</v>
      </c>
      <c r="E22" s="34">
        <v>5812.6119620613499</v>
      </c>
    </row>
    <row r="23" spans="1:6">
      <c r="A23">
        <v>2010</v>
      </c>
      <c r="B23" s="34">
        <v>9810.2935251798444</v>
      </c>
      <c r="D23">
        <v>4360.0259999999998</v>
      </c>
      <c r="E23" s="34">
        <v>6083.0428684506496</v>
      </c>
    </row>
    <row r="24" spans="1:6">
      <c r="A24">
        <v>2011</v>
      </c>
      <c r="B24" s="34">
        <v>10504.199999999899</v>
      </c>
      <c r="D24">
        <v>4771.4889999999996</v>
      </c>
      <c r="E24" s="34">
        <v>5963.3187353952198</v>
      </c>
    </row>
    <row r="25" spans="1:6">
      <c r="A25">
        <v>2012</v>
      </c>
      <c r="B25" s="34">
        <v>10623.157194244588</v>
      </c>
      <c r="D25">
        <v>5113.1279999999997</v>
      </c>
      <c r="E25" s="34">
        <v>6209.4124508755604</v>
      </c>
    </row>
    <row r="26" spans="1:6">
      <c r="A26">
        <v>2013</v>
      </c>
      <c r="B26" s="34">
        <v>11329.666187050343</v>
      </c>
      <c r="D26">
        <v>5309.9859999999999</v>
      </c>
      <c r="E26" s="34">
        <v>6357.9806620453201</v>
      </c>
    </row>
    <row r="27" spans="1:6">
      <c r="A27">
        <v>2014</v>
      </c>
      <c r="B27" s="34">
        <v>11171.206834532331</v>
      </c>
      <c r="D27">
        <v>5320.74</v>
      </c>
      <c r="E27" s="34">
        <v>6335.9057517727697</v>
      </c>
    </row>
    <row r="28" spans="1:6">
      <c r="A28">
        <v>2015</v>
      </c>
      <c r="B28" s="34">
        <v>11190.713669064722</v>
      </c>
      <c r="D28">
        <v>5038.9870000000001</v>
      </c>
      <c r="E28" s="34">
        <v>6581.9287709832197</v>
      </c>
    </row>
    <row r="29" spans="1:6">
      <c r="A29">
        <v>2016</v>
      </c>
      <c r="B29" s="34">
        <v>11261.582374100692</v>
      </c>
      <c r="D29">
        <v>4858.1750000000002</v>
      </c>
      <c r="E29" s="34">
        <v>7169.52081815783</v>
      </c>
    </row>
    <row r="30" spans="1:6">
      <c r="A30">
        <v>2017</v>
      </c>
      <c r="B30">
        <v>12104</v>
      </c>
      <c r="D30">
        <v>4482.6620000000003</v>
      </c>
      <c r="E30" s="34">
        <v>7269.2732549698803</v>
      </c>
    </row>
    <row r="31" spans="1:6">
      <c r="A31">
        <v>2018</v>
      </c>
      <c r="B31">
        <v>12290</v>
      </c>
      <c r="D31">
        <v>4471.6390000000001</v>
      </c>
      <c r="E31" s="34">
        <v>7674</v>
      </c>
    </row>
    <row r="32" spans="1:6">
      <c r="A32">
        <v>2019</v>
      </c>
      <c r="B32">
        <v>12244</v>
      </c>
      <c r="D32">
        <v>4818.7460000000001</v>
      </c>
      <c r="E32" s="34">
        <v>7599</v>
      </c>
      <c r="F32">
        <f>SUM(D32:E32)</f>
        <v>12417.745999999999</v>
      </c>
    </row>
    <row r="33" spans="1:5">
      <c r="A33">
        <v>2020</v>
      </c>
      <c r="B33">
        <v>11375</v>
      </c>
      <c r="D33">
        <v>4543.9809999999998</v>
      </c>
      <c r="E33" s="34">
        <v>7427</v>
      </c>
    </row>
    <row r="34" spans="1:5">
      <c r="A34">
        <v>2021</v>
      </c>
      <c r="B34">
        <v>12205</v>
      </c>
      <c r="E34" s="34">
        <v>7717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9EBD6-8E7D-4D2E-919E-2C3665CCA70F}">
  <dimension ref="A1:E24"/>
  <sheetViews>
    <sheetView workbookViewId="0">
      <selection activeCell="A4" sqref="A4"/>
    </sheetView>
  </sheetViews>
  <sheetFormatPr baseColWidth="10" defaultColWidth="8.83203125" defaultRowHeight="15"/>
  <sheetData>
    <row r="1" spans="1:5">
      <c r="B1" t="s">
        <v>176</v>
      </c>
      <c r="C1" t="s">
        <v>180</v>
      </c>
      <c r="D1" t="s">
        <v>181</v>
      </c>
      <c r="E1" t="s">
        <v>187</v>
      </c>
    </row>
    <row r="2" spans="1:5">
      <c r="A2" t="s">
        <v>173</v>
      </c>
      <c r="B2" s="1"/>
      <c r="D2" s="1" t="s">
        <v>348</v>
      </c>
    </row>
    <row r="3" spans="1:5" ht="16">
      <c r="A3">
        <v>1990</v>
      </c>
      <c r="C3" s="2"/>
      <c r="D3">
        <v>131.78700000000001</v>
      </c>
    </row>
    <row r="4" spans="1:5">
      <c r="A4">
        <v>2000</v>
      </c>
      <c r="D4">
        <v>135.761</v>
      </c>
    </row>
    <row r="5" spans="1:5">
      <c r="A5">
        <v>2001</v>
      </c>
      <c r="D5">
        <v>135.233</v>
      </c>
    </row>
    <row r="6" spans="1:5">
      <c r="A6">
        <v>2002</v>
      </c>
      <c r="D6">
        <v>124.62</v>
      </c>
    </row>
    <row r="7" spans="1:5">
      <c r="A7">
        <v>2003</v>
      </c>
      <c r="D7">
        <v>133.73099999999999</v>
      </c>
    </row>
    <row r="8" spans="1:5">
      <c r="A8">
        <v>2004</v>
      </c>
      <c r="D8">
        <v>160.80199999999999</v>
      </c>
    </row>
    <row r="9" spans="1:5">
      <c r="A9">
        <v>2005</v>
      </c>
      <c r="D9">
        <v>177.709</v>
      </c>
    </row>
    <row r="10" spans="1:5">
      <c r="A10">
        <v>2006</v>
      </c>
      <c r="D10">
        <v>189.42699999999999</v>
      </c>
    </row>
    <row r="11" spans="1:5">
      <c r="A11">
        <v>2007</v>
      </c>
      <c r="D11">
        <v>213.22</v>
      </c>
    </row>
    <row r="12" spans="1:5">
      <c r="A12">
        <v>2008</v>
      </c>
      <c r="D12">
        <v>219.12299999999999</v>
      </c>
    </row>
    <row r="13" spans="1:5">
      <c r="A13">
        <v>2009</v>
      </c>
      <c r="D13">
        <v>220.66900000000001</v>
      </c>
    </row>
    <row r="14" spans="1:5">
      <c r="A14">
        <v>2010</v>
      </c>
      <c r="D14">
        <v>245.07</v>
      </c>
    </row>
    <row r="15" spans="1:5">
      <c r="A15">
        <v>2011</v>
      </c>
      <c r="D15">
        <v>263.82400000000001</v>
      </c>
    </row>
    <row r="16" spans="1:5">
      <c r="A16">
        <v>2012</v>
      </c>
      <c r="D16">
        <v>275.572</v>
      </c>
    </row>
    <row r="17" spans="1:4">
      <c r="A17">
        <v>2013</v>
      </c>
      <c r="D17">
        <v>282.01799999999997</v>
      </c>
    </row>
    <row r="18" spans="1:4">
      <c r="A18">
        <v>2014</v>
      </c>
      <c r="D18">
        <v>304.72899999999998</v>
      </c>
    </row>
    <row r="19" spans="1:4">
      <c r="A19">
        <v>2015</v>
      </c>
      <c r="D19">
        <v>290.24099999999999</v>
      </c>
    </row>
    <row r="20" spans="1:4">
      <c r="A20">
        <v>2016</v>
      </c>
      <c r="D20">
        <v>284.32</v>
      </c>
    </row>
    <row r="21" spans="1:4">
      <c r="A21">
        <v>2017</v>
      </c>
      <c r="D21">
        <v>290.26299999999998</v>
      </c>
    </row>
    <row r="22" spans="1:4">
      <c r="A22">
        <v>2018</v>
      </c>
      <c r="D22">
        <v>289.42500000000001</v>
      </c>
    </row>
    <row r="23" spans="1:4">
      <c r="A23">
        <v>2019</v>
      </c>
      <c r="D23">
        <v>284.97399999999999</v>
      </c>
    </row>
    <row r="24" spans="1:4">
      <c r="A24">
        <v>2020</v>
      </c>
      <c r="D24">
        <v>297.36099999999999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28CC3-7415-4459-ACB5-EE32C9212512}">
  <dimension ref="A1:F49"/>
  <sheetViews>
    <sheetView workbookViewId="0">
      <selection activeCell="F3" sqref="F3"/>
    </sheetView>
  </sheetViews>
  <sheetFormatPr baseColWidth="10" defaultColWidth="8.83203125" defaultRowHeight="15"/>
  <sheetData>
    <row r="1" spans="1:6">
      <c r="B1" t="s">
        <v>176</v>
      </c>
      <c r="C1" t="s">
        <v>180</v>
      </c>
      <c r="D1" t="s">
        <v>467</v>
      </c>
      <c r="E1" t="s">
        <v>181</v>
      </c>
      <c r="F1" t="s">
        <v>187</v>
      </c>
    </row>
    <row r="2" spans="1:6">
      <c r="A2" t="s">
        <v>173</v>
      </c>
      <c r="B2" s="1" t="s">
        <v>468</v>
      </c>
      <c r="D2" t="s">
        <v>349</v>
      </c>
      <c r="E2" s="1" t="s">
        <v>468</v>
      </c>
      <c r="F2" s="1" t="s">
        <v>468</v>
      </c>
    </row>
    <row r="3" spans="1:6">
      <c r="A3">
        <v>1975</v>
      </c>
      <c r="B3">
        <v>8.0200000000000007E-2</v>
      </c>
      <c r="E3">
        <v>7.8700000000000006E-2</v>
      </c>
      <c r="F3">
        <v>0</v>
      </c>
    </row>
    <row r="4" spans="1:6">
      <c r="A4">
        <v>1976</v>
      </c>
      <c r="B4">
        <v>7.46E-2</v>
      </c>
      <c r="E4">
        <v>8.09E-2</v>
      </c>
      <c r="F4">
        <v>0</v>
      </c>
    </row>
    <row r="5" spans="1:6">
      <c r="A5">
        <v>1977</v>
      </c>
      <c r="B5">
        <v>8.2400000000000001E-2</v>
      </c>
      <c r="E5">
        <v>8.1200000000000008E-2</v>
      </c>
      <c r="F5">
        <v>0</v>
      </c>
    </row>
    <row r="6" spans="1:6">
      <c r="A6">
        <v>1978</v>
      </c>
      <c r="B6">
        <v>8.4000000000000005E-2</v>
      </c>
      <c r="E6">
        <v>8.2400000000000001E-2</v>
      </c>
      <c r="F6">
        <v>0</v>
      </c>
    </row>
    <row r="7" spans="1:6">
      <c r="A7">
        <v>1979</v>
      </c>
      <c r="B7">
        <v>8.8599999999999998E-2</v>
      </c>
      <c r="E7">
        <v>8.7099999999999997E-2</v>
      </c>
      <c r="F7">
        <v>0</v>
      </c>
    </row>
    <row r="8" spans="1:6">
      <c r="A8">
        <v>1980</v>
      </c>
      <c r="B8">
        <v>7.2499999999999995E-2</v>
      </c>
      <c r="E8">
        <v>8.77E-2</v>
      </c>
      <c r="F8">
        <v>0</v>
      </c>
    </row>
    <row r="9" spans="1:6">
      <c r="A9">
        <v>1981</v>
      </c>
      <c r="B9">
        <v>7.5600000000000001E-2</v>
      </c>
      <c r="E9">
        <v>7.2499999999999995E-2</v>
      </c>
      <c r="F9">
        <v>0</v>
      </c>
    </row>
    <row r="10" spans="1:6">
      <c r="A10">
        <v>1982</v>
      </c>
      <c r="B10">
        <v>7.2499999999999995E-2</v>
      </c>
      <c r="E10">
        <v>7.740000000000001E-2</v>
      </c>
      <c r="F10">
        <v>2.9999999999999997E-4</v>
      </c>
    </row>
    <row r="11" spans="1:6">
      <c r="A11">
        <v>1983</v>
      </c>
      <c r="B11">
        <v>6.8699999999999997E-2</v>
      </c>
      <c r="E11">
        <v>7.7099999999999988E-2</v>
      </c>
      <c r="F11">
        <v>8.9999999999999998E-4</v>
      </c>
    </row>
    <row r="12" spans="1:6">
      <c r="A12">
        <v>1984</v>
      </c>
      <c r="B12">
        <v>8.3199999999999996E-2</v>
      </c>
      <c r="E12">
        <v>8.4599999999999995E-2</v>
      </c>
      <c r="F12">
        <v>1.4E-3</v>
      </c>
    </row>
    <row r="13" spans="1:6">
      <c r="A13">
        <v>1985</v>
      </c>
      <c r="B13">
        <v>9.0199999999999989E-2</v>
      </c>
      <c r="E13">
        <v>8.5800000000000001E-2</v>
      </c>
      <c r="F13">
        <v>2.2000000000000001E-3</v>
      </c>
    </row>
    <row r="14" spans="1:6">
      <c r="A14">
        <v>1986</v>
      </c>
      <c r="B14">
        <v>9.1300000000000006E-2</v>
      </c>
      <c r="E14">
        <v>8.7999999999999995E-2</v>
      </c>
      <c r="F14">
        <v>3.0000000000000001E-3</v>
      </c>
    </row>
    <row r="15" spans="1:6">
      <c r="A15">
        <v>1987</v>
      </c>
      <c r="B15">
        <v>0.10590000000000001</v>
      </c>
      <c r="E15">
        <v>9.64E-2</v>
      </c>
      <c r="F15">
        <v>3.5999999999999999E-3</v>
      </c>
    </row>
    <row r="16" spans="1:6">
      <c r="A16">
        <v>1988</v>
      </c>
      <c r="B16">
        <v>0.1173</v>
      </c>
      <c r="E16">
        <v>0.10199999999999999</v>
      </c>
      <c r="F16">
        <v>5.0000000000000001E-3</v>
      </c>
    </row>
    <row r="17" spans="1:6">
      <c r="A17">
        <v>1989</v>
      </c>
      <c r="B17">
        <v>0.11210000000000001</v>
      </c>
      <c r="E17">
        <v>0.1065</v>
      </c>
      <c r="F17">
        <v>5.4000000000000003E-3</v>
      </c>
    </row>
    <row r="18" spans="1:6">
      <c r="A18">
        <v>1990</v>
      </c>
      <c r="B18">
        <v>0.1217</v>
      </c>
      <c r="E18">
        <v>0.11600000000000001</v>
      </c>
      <c r="F18">
        <v>6.4999999999999997E-3</v>
      </c>
    </row>
    <row r="19" spans="1:6">
      <c r="A19">
        <v>1991</v>
      </c>
      <c r="B19">
        <v>0.13299999999999998</v>
      </c>
      <c r="E19">
        <v>0.12940000000000002</v>
      </c>
      <c r="F19">
        <v>6.4000000000000003E-3</v>
      </c>
    </row>
    <row r="20" spans="1:6">
      <c r="A20">
        <v>1992</v>
      </c>
      <c r="B20">
        <v>0.12590000000000001</v>
      </c>
      <c r="E20">
        <v>0.1188</v>
      </c>
      <c r="F20">
        <v>7.1999999999999998E-3</v>
      </c>
    </row>
    <row r="21" spans="1:6">
      <c r="A21">
        <v>1993</v>
      </c>
      <c r="B21">
        <v>0.13369999999999999</v>
      </c>
      <c r="E21">
        <v>0.13650000000000001</v>
      </c>
      <c r="F21">
        <v>7.9000000000000008E-3</v>
      </c>
    </row>
    <row r="22" spans="1:6">
      <c r="A22">
        <v>1994</v>
      </c>
      <c r="B22">
        <v>0.14990000000000001</v>
      </c>
      <c r="E22">
        <v>0.1409</v>
      </c>
      <c r="F22">
        <v>8.9999999999999993E-3</v>
      </c>
    </row>
    <row r="23" spans="1:6">
      <c r="A23">
        <v>1995</v>
      </c>
      <c r="B23">
        <v>0.1565</v>
      </c>
      <c r="E23">
        <v>0.15519999999999998</v>
      </c>
      <c r="F23">
        <v>0.01</v>
      </c>
    </row>
    <row r="24" spans="1:6">
      <c r="A24">
        <v>1996</v>
      </c>
      <c r="B24">
        <v>0.16520000000000001</v>
      </c>
      <c r="E24">
        <v>0.15490000000000001</v>
      </c>
      <c r="F24">
        <v>1.09E-2</v>
      </c>
    </row>
    <row r="25" spans="1:6">
      <c r="A25">
        <v>1997</v>
      </c>
      <c r="B25">
        <v>0.1711</v>
      </c>
      <c r="E25">
        <v>0.15430000000000002</v>
      </c>
      <c r="F25">
        <v>1.15E-2</v>
      </c>
    </row>
    <row r="26" spans="1:6">
      <c r="A26">
        <v>1998</v>
      </c>
      <c r="B26">
        <v>0.17960000000000001</v>
      </c>
      <c r="E26">
        <v>0.16800000000000001</v>
      </c>
      <c r="F26">
        <v>1.26E-2</v>
      </c>
    </row>
    <row r="27" spans="1:6">
      <c r="A27">
        <v>1999</v>
      </c>
      <c r="B27">
        <v>0.187</v>
      </c>
      <c r="E27">
        <v>0.1515</v>
      </c>
      <c r="F27">
        <v>1.3099999999999999E-2</v>
      </c>
    </row>
    <row r="28" spans="1:6">
      <c r="A28">
        <v>2000</v>
      </c>
      <c r="B28">
        <v>0.1913</v>
      </c>
      <c r="E28">
        <v>0.16450000000000001</v>
      </c>
      <c r="F28">
        <v>1.46E-2</v>
      </c>
    </row>
    <row r="29" spans="1:6" ht="16">
      <c r="A29">
        <v>2001</v>
      </c>
      <c r="B29">
        <v>0.21029999999999999</v>
      </c>
      <c r="C29" s="2"/>
      <c r="D29">
        <v>0.18427199999999999</v>
      </c>
      <c r="E29">
        <v>0.18229999999999999</v>
      </c>
      <c r="F29">
        <v>1.6500000000000001E-2</v>
      </c>
    </row>
    <row r="30" spans="1:6">
      <c r="A30">
        <v>2002</v>
      </c>
      <c r="B30">
        <v>0.21879999999999999</v>
      </c>
      <c r="D30">
        <v>0.18212299999999998</v>
      </c>
      <c r="E30">
        <v>0.1857</v>
      </c>
      <c r="F30">
        <v>1.7600000000000001E-2</v>
      </c>
    </row>
    <row r="31" spans="1:6">
      <c r="A31">
        <v>2003</v>
      </c>
      <c r="B31">
        <v>0.22320000000000001</v>
      </c>
      <c r="D31">
        <v>0.19712000000000002</v>
      </c>
      <c r="E31">
        <v>0.1928</v>
      </c>
      <c r="F31">
        <v>2.01E-2</v>
      </c>
    </row>
    <row r="32" spans="1:6">
      <c r="A32">
        <v>2004</v>
      </c>
      <c r="B32">
        <v>0.22489999999999999</v>
      </c>
      <c r="D32">
        <v>0.20032499999999998</v>
      </c>
      <c r="E32">
        <v>0.2019</v>
      </c>
      <c r="F32">
        <v>2.1499999999999998E-2</v>
      </c>
    </row>
    <row r="33" spans="1:6">
      <c r="A33">
        <v>2005</v>
      </c>
      <c r="B33">
        <v>0.24780000000000002</v>
      </c>
      <c r="D33">
        <v>0.21577399999999999</v>
      </c>
      <c r="E33">
        <v>0.20649999999999999</v>
      </c>
      <c r="F33">
        <v>3.95E-2</v>
      </c>
    </row>
    <row r="34" spans="1:6">
      <c r="A34">
        <v>2006</v>
      </c>
      <c r="B34">
        <v>0.24540000000000001</v>
      </c>
      <c r="D34">
        <v>0.217389</v>
      </c>
      <c r="E34">
        <v>0.21240000000000001</v>
      </c>
      <c r="F34">
        <v>4.3999999999999997E-2</v>
      </c>
    </row>
    <row r="35" spans="1:6">
      <c r="A35">
        <v>2007</v>
      </c>
      <c r="B35">
        <v>0.25730000000000003</v>
      </c>
      <c r="D35">
        <v>0.21476800000000001</v>
      </c>
      <c r="E35">
        <v>0.20530000000000001</v>
      </c>
      <c r="F35">
        <v>4.9500000000000002E-2</v>
      </c>
    </row>
    <row r="36" spans="1:6">
      <c r="A36">
        <v>2008</v>
      </c>
      <c r="B36">
        <v>0.2485</v>
      </c>
      <c r="D36">
        <v>0.19211400000000001</v>
      </c>
      <c r="E36">
        <v>0.18480000000000002</v>
      </c>
      <c r="F36">
        <v>5.6899999999999999E-2</v>
      </c>
    </row>
    <row r="37" spans="1:6">
      <c r="A37">
        <v>2009</v>
      </c>
      <c r="B37">
        <v>0.21130000000000002</v>
      </c>
      <c r="D37">
        <v>0.18301900000000002</v>
      </c>
      <c r="E37">
        <v>0.18740000000000001</v>
      </c>
      <c r="F37">
        <v>4.3700000000000003E-2</v>
      </c>
    </row>
    <row r="38" spans="1:6">
      <c r="A38">
        <v>2010</v>
      </c>
      <c r="B38">
        <v>0.24590000000000001</v>
      </c>
      <c r="D38">
        <v>0.192805</v>
      </c>
      <c r="E38">
        <v>0.18819999999999998</v>
      </c>
      <c r="F38">
        <v>5.6899999999999999E-2</v>
      </c>
    </row>
    <row r="39" spans="1:6">
      <c r="A39">
        <v>2011</v>
      </c>
      <c r="B39">
        <v>0.25180000000000002</v>
      </c>
      <c r="D39">
        <v>0.200569</v>
      </c>
      <c r="E39">
        <v>0.20169999999999999</v>
      </c>
      <c r="F39">
        <v>6.409999999999999E-2</v>
      </c>
    </row>
    <row r="40" spans="1:6">
      <c r="A40">
        <v>2012</v>
      </c>
      <c r="B40">
        <v>0.24980000000000002</v>
      </c>
      <c r="D40">
        <v>0.17965</v>
      </c>
      <c r="E40">
        <v>0.1757</v>
      </c>
      <c r="F40">
        <v>6.3500000000000001E-2</v>
      </c>
    </row>
    <row r="41" spans="1:6">
      <c r="A41">
        <v>2013</v>
      </c>
      <c r="B41">
        <v>0.24352241710315486</v>
      </c>
      <c r="D41">
        <v>0.19284700000000002</v>
      </c>
      <c r="E41">
        <v>0.1659864670708931</v>
      </c>
      <c r="F41">
        <v>5.6699049383738036E-2</v>
      </c>
    </row>
    <row r="42" spans="1:6">
      <c r="A42">
        <v>2014</v>
      </c>
      <c r="B42">
        <v>0.22948940238067969</v>
      </c>
      <c r="D42">
        <v>0.14810300000000001</v>
      </c>
      <c r="E42">
        <v>0.14812626651501562</v>
      </c>
      <c r="F42">
        <v>5.825827324179083E-2</v>
      </c>
    </row>
    <row r="43" spans="1:6">
      <c r="A43">
        <v>2015</v>
      </c>
      <c r="B43">
        <v>0.23345833583754136</v>
      </c>
      <c r="D43">
        <v>0.19228999999999999</v>
      </c>
      <c r="E43">
        <v>0.17548355784266922</v>
      </c>
      <c r="F43">
        <v>4.8761182470014708E-2</v>
      </c>
    </row>
    <row r="44" spans="1:6">
      <c r="A44">
        <v>2016</v>
      </c>
      <c r="B44">
        <v>0.23686027880056565</v>
      </c>
      <c r="D44">
        <v>0.18907099999999999</v>
      </c>
      <c r="E44">
        <v>0.17222336250310427</v>
      </c>
      <c r="F44">
        <v>5.2730115926876368E-2</v>
      </c>
    </row>
    <row r="45" spans="1:6">
      <c r="A45">
        <v>2017</v>
      </c>
      <c r="B45">
        <v>0.22282726407809048</v>
      </c>
      <c r="D45">
        <v>0.185886</v>
      </c>
      <c r="E45">
        <v>0.17463307210191314</v>
      </c>
      <c r="F45">
        <v>5.4289339784929169E-2</v>
      </c>
    </row>
    <row r="46" spans="1:6">
      <c r="A46">
        <v>2018</v>
      </c>
      <c r="B46">
        <v>0.209077744602534</v>
      </c>
      <c r="D46">
        <v>0.195079</v>
      </c>
      <c r="E46">
        <v>0.17392433398461643</v>
      </c>
      <c r="F46">
        <v>5.542332077260393E-2</v>
      </c>
    </row>
    <row r="47" spans="1:6">
      <c r="A47">
        <v>2019</v>
      </c>
      <c r="B47">
        <v>0.23663348260303069</v>
      </c>
      <c r="D47">
        <v>0.18704499999999999</v>
      </c>
      <c r="E47">
        <v>0.17228006155248801</v>
      </c>
      <c r="F47">
        <v>6.0497885692448482E-2</v>
      </c>
    </row>
    <row r="48" spans="1:6">
      <c r="A48">
        <v>2020</v>
      </c>
      <c r="B48">
        <v>0.22322415742377663</v>
      </c>
      <c r="E48">
        <v>0.13908276813830939</v>
      </c>
      <c r="F48">
        <v>5.4714582655307202E-2</v>
      </c>
    </row>
    <row r="49" spans="1:6">
      <c r="A49">
        <v>2021</v>
      </c>
      <c r="B49">
        <v>0.19824822617024004</v>
      </c>
      <c r="E49">
        <v>0.17588045118835538</v>
      </c>
      <c r="F49">
        <v>5.4913029328150287E-2</v>
      </c>
    </row>
  </sheetData>
  <hyperlinks>
    <hyperlink ref="B2" r:id="rId1" display="https://platinuminvestment.com/supply-and-demand/historic-data" xr:uid="{0D52897F-009E-694B-922F-7737FD4DB115}"/>
    <hyperlink ref="E2" r:id="rId2" display="https://platinuminvestment.com/supply-and-demand/historic-data" xr:uid="{8F57277E-41F6-3A48-BC64-B1FBFBA24B00}"/>
    <hyperlink ref="F2" r:id="rId3" display="https://platinuminvestment.com/supply-and-demand/historic-data" xr:uid="{8990EC85-F8D2-E34A-A7EB-AEBED35D25D4}"/>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AF772-8B76-4702-B768-A08EDD9553AC}">
  <dimension ref="A1:E21"/>
  <sheetViews>
    <sheetView workbookViewId="0">
      <selection activeCell="O26" sqref="O26"/>
    </sheetView>
  </sheetViews>
  <sheetFormatPr baseColWidth="10" defaultColWidth="8.83203125" defaultRowHeight="15"/>
  <cols>
    <col min="9" max="9" width="29.5" bestFit="1" customWidth="1"/>
  </cols>
  <sheetData>
    <row r="1" spans="1:5">
      <c r="B1" t="s">
        <v>176</v>
      </c>
      <c r="C1" t="s">
        <v>177</v>
      </c>
      <c r="D1" t="s">
        <v>180</v>
      </c>
      <c r="E1" t="s">
        <v>181</v>
      </c>
    </row>
    <row r="2" spans="1:5">
      <c r="A2" t="s">
        <v>173</v>
      </c>
      <c r="B2" t="s">
        <v>193</v>
      </c>
      <c r="C2" t="s">
        <v>194</v>
      </c>
      <c r="D2" t="s">
        <v>195</v>
      </c>
      <c r="E2" t="s">
        <v>196</v>
      </c>
    </row>
    <row r="3" spans="1:5">
      <c r="A3">
        <v>2001</v>
      </c>
      <c r="D3" s="4">
        <v>1958.0425618489601</v>
      </c>
      <c r="E3" s="4">
        <v>58.591498999999999</v>
      </c>
    </row>
    <row r="4" spans="1:5">
      <c r="A4">
        <v>2002</v>
      </c>
      <c r="D4" s="4">
        <v>1919.4593854631717</v>
      </c>
      <c r="E4" s="4">
        <v>67.924413999999999</v>
      </c>
    </row>
    <row r="5" spans="1:5">
      <c r="A5">
        <v>2003</v>
      </c>
      <c r="D5" s="4">
        <v>2096.3778424944198</v>
      </c>
      <c r="E5" s="4">
        <v>76.145567</v>
      </c>
    </row>
    <row r="6" spans="1:5">
      <c r="A6">
        <v>2004</v>
      </c>
      <c r="B6">
        <f>C6</f>
        <v>78.5</v>
      </c>
      <c r="C6">
        <v>78.5</v>
      </c>
      <c r="D6" s="4">
        <v>2375.8771057128938</v>
      </c>
      <c r="E6" s="4">
        <v>85.971186000000003</v>
      </c>
    </row>
    <row r="7" spans="1:5">
      <c r="A7">
        <v>2005</v>
      </c>
      <c r="B7">
        <f t="shared" ref="B7:B21" si="0">C7</f>
        <v>90</v>
      </c>
      <c r="C7">
        <v>90</v>
      </c>
      <c r="D7" s="4">
        <v>3256.0443542480489</v>
      </c>
      <c r="E7" s="4">
        <v>96.04539299999999</v>
      </c>
    </row>
    <row r="8" spans="1:5">
      <c r="A8">
        <v>2006</v>
      </c>
      <c r="B8">
        <f t="shared" si="0"/>
        <v>80</v>
      </c>
      <c r="C8">
        <v>80</v>
      </c>
      <c r="D8" s="4">
        <v>4287.9830078124996</v>
      </c>
      <c r="E8" s="4">
        <v>105.140455</v>
      </c>
    </row>
    <row r="9" spans="1:5">
      <c r="A9">
        <v>2007</v>
      </c>
      <c r="B9">
        <f t="shared" si="0"/>
        <v>86.6</v>
      </c>
      <c r="C9">
        <v>86.6</v>
      </c>
      <c r="D9" s="4">
        <v>6010.4877522786455</v>
      </c>
      <c r="E9" s="4">
        <v>121.12909199999999</v>
      </c>
    </row>
    <row r="10" spans="1:5">
      <c r="A10">
        <v>2008</v>
      </c>
      <c r="B10">
        <f t="shared" si="0"/>
        <v>112.8</v>
      </c>
      <c r="C10">
        <v>112.8</v>
      </c>
      <c r="D10" s="4">
        <v>6046.8367309570312</v>
      </c>
      <c r="E10" s="4">
        <v>125.57747800000001</v>
      </c>
    </row>
    <row r="11" spans="1:5">
      <c r="A11">
        <v>2009</v>
      </c>
      <c r="B11">
        <f t="shared" si="0"/>
        <v>95</v>
      </c>
      <c r="C11">
        <v>95</v>
      </c>
      <c r="D11" s="4">
        <v>5452.4385986328125</v>
      </c>
      <c r="E11" s="4">
        <v>99.382306999999997</v>
      </c>
    </row>
    <row r="12" spans="1:5">
      <c r="A12">
        <v>2010</v>
      </c>
      <c r="B12">
        <f t="shared" si="0"/>
        <v>125</v>
      </c>
      <c r="C12">
        <v>125</v>
      </c>
      <c r="D12" s="4">
        <v>4979.4941030649043</v>
      </c>
      <c r="E12" s="4">
        <v>143.25536400000001</v>
      </c>
    </row>
    <row r="13" spans="1:5">
      <c r="A13">
        <v>2011</v>
      </c>
      <c r="B13">
        <f t="shared" si="0"/>
        <v>122.429</v>
      </c>
      <c r="C13">
        <v>122.429</v>
      </c>
      <c r="D13" s="4">
        <v>4948.2326096754823</v>
      </c>
      <c r="E13" s="4">
        <v>177.108566</v>
      </c>
    </row>
    <row r="14" spans="1:5">
      <c r="A14">
        <v>2012</v>
      </c>
      <c r="B14">
        <f t="shared" si="0"/>
        <v>150.1086</v>
      </c>
      <c r="C14">
        <v>150.1086</v>
      </c>
      <c r="D14" s="4">
        <v>5233.7805350167409</v>
      </c>
      <c r="E14" s="4">
        <v>183.31275300000004</v>
      </c>
    </row>
    <row r="15" spans="1:5">
      <c r="A15">
        <v>2013</v>
      </c>
      <c r="B15">
        <f t="shared" si="0"/>
        <v>159.69</v>
      </c>
      <c r="C15">
        <v>159.69</v>
      </c>
      <c r="D15" s="4">
        <v>5540.7611607142853</v>
      </c>
      <c r="E15" s="4">
        <v>172.04403400000001</v>
      </c>
    </row>
    <row r="16" spans="1:5">
      <c r="A16">
        <v>2014</v>
      </c>
      <c r="B16">
        <f t="shared" si="0"/>
        <v>165</v>
      </c>
      <c r="C16">
        <v>165</v>
      </c>
      <c r="D16" s="4">
        <v>5611.9737025669647</v>
      </c>
      <c r="E16" s="4">
        <v>186.019372</v>
      </c>
    </row>
    <row r="17" spans="1:5">
      <c r="A17">
        <v>2015</v>
      </c>
      <c r="B17">
        <f t="shared" si="0"/>
        <v>194</v>
      </c>
      <c r="C17">
        <v>194</v>
      </c>
      <c r="D17" s="4">
        <v>6032.6183919270834</v>
      </c>
      <c r="E17" s="4">
        <v>201.32204200000001</v>
      </c>
    </row>
    <row r="18" spans="1:5">
      <c r="A18">
        <v>2016</v>
      </c>
      <c r="B18">
        <f t="shared" si="0"/>
        <v>195.35410000000002</v>
      </c>
      <c r="C18">
        <v>195.35410000000002</v>
      </c>
      <c r="D18" s="4">
        <v>10903.384212239584</v>
      </c>
      <c r="E18" s="4">
        <v>246.11897900000002</v>
      </c>
    </row>
    <row r="19" spans="1:5">
      <c r="A19">
        <v>2017</v>
      </c>
      <c r="B19">
        <f t="shared" si="0"/>
        <v>211.32310000000004</v>
      </c>
      <c r="C19">
        <v>211.32310000000004</v>
      </c>
      <c r="D19" s="4">
        <v>14657.141308593749</v>
      </c>
      <c r="E19" s="4">
        <v>312.55251800000002</v>
      </c>
    </row>
    <row r="20" spans="1:5">
      <c r="A20">
        <v>2018</v>
      </c>
      <c r="B20">
        <f t="shared" si="0"/>
        <v>253.37480000000002</v>
      </c>
      <c r="C20">
        <v>253.37480000000002</v>
      </c>
      <c r="D20" s="4">
        <v>15786.893098958333</v>
      </c>
      <c r="E20" s="4">
        <v>361.04267200000004</v>
      </c>
    </row>
    <row r="21" spans="1:5">
      <c r="A21">
        <v>2019</v>
      </c>
      <c r="B21">
        <f t="shared" si="0"/>
        <v>298.08800000000002</v>
      </c>
      <c r="C21">
        <v>298.08800000000002</v>
      </c>
      <c r="D21" s="4">
        <v>11120.835754394531</v>
      </c>
      <c r="E21" s="4">
        <v>439.40106200000008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D63CC-D9E2-4D18-93CD-FFAA257617FA}">
  <dimension ref="A1:I21"/>
  <sheetViews>
    <sheetView zoomScaleNormal="100" workbookViewId="0">
      <selection activeCell="D21" activeCellId="1" sqref="F21 D21"/>
    </sheetView>
  </sheetViews>
  <sheetFormatPr baseColWidth="10" defaultColWidth="8.83203125" defaultRowHeight="15"/>
  <cols>
    <col min="2" max="2" width="19.83203125" customWidth="1"/>
    <col min="3" max="3" width="21.33203125" customWidth="1"/>
    <col min="4" max="4" width="17.6640625" customWidth="1"/>
    <col min="5" max="5" width="24" customWidth="1"/>
    <col min="6" max="6" width="21.33203125" customWidth="1"/>
  </cols>
  <sheetData>
    <row r="1" spans="1:9">
      <c r="B1" t="s">
        <v>176</v>
      </c>
      <c r="C1" t="s">
        <v>180</v>
      </c>
      <c r="D1" t="s">
        <v>181</v>
      </c>
      <c r="E1" t="s">
        <v>177</v>
      </c>
      <c r="F1" t="s">
        <v>187</v>
      </c>
    </row>
    <row r="2" spans="1:9">
      <c r="A2" t="s">
        <v>173</v>
      </c>
      <c r="B2" t="s">
        <v>179</v>
      </c>
      <c r="C2" t="s">
        <v>191</v>
      </c>
      <c r="D2" t="s">
        <v>430</v>
      </c>
      <c r="E2" t="s">
        <v>178</v>
      </c>
      <c r="F2" t="s">
        <v>407</v>
      </c>
    </row>
    <row r="3" spans="1:9" ht="16">
      <c r="A3">
        <v>2001</v>
      </c>
      <c r="B3">
        <v>36692.949911590506</v>
      </c>
      <c r="C3">
        <v>1997.9905450000001</v>
      </c>
      <c r="D3">
        <v>24167.135874890071</v>
      </c>
      <c r="E3">
        <v>23586.24209233735</v>
      </c>
      <c r="F3">
        <f>B3-E3</f>
        <v>13106.707819253155</v>
      </c>
      <c r="I3" s="3"/>
    </row>
    <row r="4" spans="1:9" ht="16">
      <c r="A4">
        <v>2002</v>
      </c>
      <c r="B4">
        <v>37848.563480029639</v>
      </c>
      <c r="C4">
        <v>1842.596871</v>
      </c>
      <c r="D4">
        <v>25796.265334244981</v>
      </c>
      <c r="E4">
        <v>25194.165146347539</v>
      </c>
      <c r="F4">
        <f t="shared" ref="F4:F21" si="0">B4-E4</f>
        <v>12654.3983336821</v>
      </c>
      <c r="I4" s="3"/>
    </row>
    <row r="5" spans="1:9" ht="16">
      <c r="A5">
        <v>2003</v>
      </c>
      <c r="B5">
        <v>39032.795796776976</v>
      </c>
      <c r="C5">
        <v>1835.3739820000001</v>
      </c>
      <c r="D5">
        <v>28039.01855706616</v>
      </c>
      <c r="E5">
        <v>27745.08599541587</v>
      </c>
      <c r="F5">
        <f t="shared" si="0"/>
        <v>11287.709801361107</v>
      </c>
      <c r="I5" s="3"/>
    </row>
    <row r="6" spans="1:9" ht="16">
      <c r="A6">
        <v>2004</v>
      </c>
      <c r="B6">
        <v>41805.11473666539</v>
      </c>
      <c r="C6">
        <v>1999.007353</v>
      </c>
      <c r="D6">
        <v>29971.20629725781</v>
      </c>
      <c r="E6">
        <v>30515.48678321252</v>
      </c>
      <c r="F6">
        <f t="shared" si="0"/>
        <v>11289.627953452869</v>
      </c>
      <c r="I6" s="3"/>
    </row>
    <row r="7" spans="1:9" ht="16">
      <c r="A7">
        <v>2005</v>
      </c>
      <c r="B7">
        <v>44267.889348260738</v>
      </c>
      <c r="C7">
        <v>1933.6908249999999</v>
      </c>
      <c r="D7">
        <v>32666.511542675049</v>
      </c>
      <c r="E7">
        <v>32643.722467116389</v>
      </c>
      <c r="F7">
        <f t="shared" si="0"/>
        <v>11624.166881144349</v>
      </c>
      <c r="I7" s="3"/>
    </row>
    <row r="8" spans="1:9" ht="16">
      <c r="A8">
        <v>2006</v>
      </c>
      <c r="B8">
        <v>47496.510431695337</v>
      </c>
      <c r="C8">
        <v>2554.8448189999999</v>
      </c>
      <c r="D8">
        <v>33941.411133336558</v>
      </c>
      <c r="E8">
        <v>34462.637786284176</v>
      </c>
      <c r="F8">
        <f t="shared" si="0"/>
        <v>13033.87264541116</v>
      </c>
      <c r="I8" s="3"/>
    </row>
    <row r="9" spans="1:9" ht="16">
      <c r="A9">
        <v>2007</v>
      </c>
      <c r="B9">
        <v>50523.975766098505</v>
      </c>
      <c r="C9">
        <v>2480.7119269999998</v>
      </c>
      <c r="D9">
        <v>38125.836811938731</v>
      </c>
      <c r="E9">
        <v>37969.643535283409</v>
      </c>
      <c r="F9">
        <f t="shared" si="0"/>
        <v>12554.332230815096</v>
      </c>
      <c r="I9" s="3"/>
    </row>
    <row r="10" spans="1:9" ht="16">
      <c r="A10">
        <v>2008</v>
      </c>
      <c r="B10">
        <v>51796.681981430542</v>
      </c>
      <c r="C10">
        <v>1928.688547</v>
      </c>
      <c r="D10">
        <v>40157.535936797438</v>
      </c>
      <c r="E10">
        <v>37362.88382821971</v>
      </c>
      <c r="F10">
        <f t="shared" si="0"/>
        <v>14433.798153210832</v>
      </c>
      <c r="I10" s="3"/>
    </row>
    <row r="11" spans="1:9" ht="16">
      <c r="A11">
        <v>2009</v>
      </c>
      <c r="B11">
        <v>47647.595349280331</v>
      </c>
      <c r="C11">
        <v>1462.735707</v>
      </c>
      <c r="D11">
        <v>37722.714939577898</v>
      </c>
      <c r="E11">
        <v>34310.548171226808</v>
      </c>
      <c r="F11">
        <f t="shared" si="0"/>
        <v>13337.047178053523</v>
      </c>
      <c r="I11" s="3"/>
    </row>
    <row r="12" spans="1:9" ht="16">
      <c r="A12">
        <v>2010</v>
      </c>
      <c r="B12">
        <v>56753.117543155669</v>
      </c>
      <c r="C12">
        <v>1760.3780730000001</v>
      </c>
      <c r="D12">
        <v>42037.512284553821</v>
      </c>
      <c r="E12">
        <v>40964.877386645618</v>
      </c>
      <c r="F12">
        <f t="shared" si="0"/>
        <v>15788.240156510052</v>
      </c>
      <c r="I12" s="3"/>
    </row>
    <row r="13" spans="1:9" ht="16">
      <c r="A13">
        <v>2011</v>
      </c>
      <c r="B13">
        <v>62002.864398770726</v>
      </c>
      <c r="C13">
        <v>1744.15533</v>
      </c>
      <c r="D13">
        <v>46046.389963577501</v>
      </c>
      <c r="E13">
        <v>44837.939514223071</v>
      </c>
      <c r="F13">
        <f t="shared" si="0"/>
        <v>17164.924884547654</v>
      </c>
      <c r="I13" s="3"/>
    </row>
    <row r="14" spans="1:9" ht="16">
      <c r="A14">
        <v>2012</v>
      </c>
      <c r="B14">
        <v>66078.322142422825</v>
      </c>
      <c r="C14">
        <v>1324.5091210000001</v>
      </c>
      <c r="D14">
        <v>47963.674854665776</v>
      </c>
      <c r="E14">
        <v>47385.393635782973</v>
      </c>
      <c r="F14">
        <f t="shared" si="0"/>
        <v>18692.928506639852</v>
      </c>
      <c r="I14" s="3"/>
    </row>
    <row r="15" spans="1:9" ht="16">
      <c r="A15">
        <v>2013</v>
      </c>
      <c r="B15">
        <v>70072.125266348477</v>
      </c>
      <c r="C15">
        <v>1079.9049930000001</v>
      </c>
      <c r="D15">
        <v>50607.084465954482</v>
      </c>
      <c r="E15">
        <v>50616.171567437828</v>
      </c>
      <c r="F15">
        <f t="shared" si="0"/>
        <v>19455.953698910649</v>
      </c>
      <c r="I15" s="3"/>
    </row>
    <row r="16" spans="1:9" ht="16">
      <c r="A16">
        <v>2014</v>
      </c>
      <c r="B16">
        <v>73716.033463737695</v>
      </c>
      <c r="C16">
        <v>1153.3966969999999</v>
      </c>
      <c r="D16">
        <v>54162.389639146997</v>
      </c>
      <c r="E16">
        <v>54441.448371809187</v>
      </c>
      <c r="F16">
        <f t="shared" si="0"/>
        <v>19274.585091928508</v>
      </c>
      <c r="I16" s="3"/>
    </row>
    <row r="17" spans="1:9" ht="16">
      <c r="A17">
        <v>2015</v>
      </c>
      <c r="B17">
        <v>76701.865604324368</v>
      </c>
      <c r="C17">
        <v>1533.278067</v>
      </c>
      <c r="D17">
        <v>57059.219971922008</v>
      </c>
      <c r="E17">
        <v>56457.355204526582</v>
      </c>
      <c r="F17">
        <f t="shared" si="0"/>
        <v>20244.510399797786</v>
      </c>
      <c r="I17" s="3"/>
    </row>
    <row r="18" spans="1:9" ht="16">
      <c r="A18">
        <v>2016</v>
      </c>
      <c r="B18">
        <v>80735.380132877632</v>
      </c>
      <c r="C18">
        <v>1533.1627209999999</v>
      </c>
      <c r="D18">
        <v>58985.576857823617</v>
      </c>
      <c r="E18">
        <v>59840.904293387277</v>
      </c>
      <c r="F18">
        <f t="shared" si="0"/>
        <v>20894.475839490355</v>
      </c>
      <c r="I18" s="3"/>
    </row>
    <row r="19" spans="1:9" ht="16">
      <c r="A19">
        <v>2017</v>
      </c>
      <c r="B19">
        <v>84891.170758308959</v>
      </c>
      <c r="C19">
        <v>1776.4595509999999</v>
      </c>
      <c r="D19">
        <v>63536.365395741508</v>
      </c>
      <c r="E19">
        <v>63286.825501539977</v>
      </c>
      <c r="F19">
        <f t="shared" si="0"/>
        <v>21604.345256768982</v>
      </c>
      <c r="I19" s="3"/>
    </row>
    <row r="20" spans="1:9" ht="16">
      <c r="A20">
        <v>2018</v>
      </c>
      <c r="B20">
        <v>86886.090340495837</v>
      </c>
      <c r="C20">
        <v>1687.8842059999999</v>
      </c>
      <c r="D20">
        <v>63966.904071947458</v>
      </c>
      <c r="E20">
        <v>65227.740682118529</v>
      </c>
      <c r="F20">
        <f t="shared" si="0"/>
        <v>21658.349658377309</v>
      </c>
      <c r="I20" s="3"/>
    </row>
    <row r="21" spans="1:9" ht="16">
      <c r="A21">
        <v>2019</v>
      </c>
      <c r="B21">
        <f>B20*E21/E20</f>
        <v>85768.388145129153</v>
      </c>
      <c r="C21">
        <v>1689.1425320000001</v>
      </c>
      <c r="D21">
        <v>67223.3764402956</v>
      </c>
      <c r="E21">
        <v>64388.651379406132</v>
      </c>
      <c r="F21">
        <f t="shared" si="0"/>
        <v>21379.736765723021</v>
      </c>
      <c r="I21" s="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48EC1-E256-442B-8A96-B9961C018A96}">
  <dimension ref="A1:N26"/>
  <sheetViews>
    <sheetView workbookViewId="0">
      <selection activeCell="D25" sqref="D25"/>
    </sheetView>
  </sheetViews>
  <sheetFormatPr baseColWidth="10" defaultColWidth="8.83203125" defaultRowHeight="15"/>
  <cols>
    <col min="2" max="2" width="12.1640625" bestFit="1" customWidth="1"/>
    <col min="3" max="3" width="21.6640625" bestFit="1" customWidth="1"/>
    <col min="4" max="4" width="16.6640625" bestFit="1" customWidth="1"/>
    <col min="6" max="6" width="14.6640625" bestFit="1" customWidth="1"/>
    <col min="7" max="7" width="21.6640625" bestFit="1" customWidth="1"/>
  </cols>
  <sheetData>
    <row r="1" spans="1:14">
      <c r="B1" t="s">
        <v>176</v>
      </c>
      <c r="C1" t="s">
        <v>180</v>
      </c>
      <c r="D1" t="s">
        <v>181</v>
      </c>
      <c r="E1" t="s">
        <v>187</v>
      </c>
      <c r="F1" t="s">
        <v>182</v>
      </c>
      <c r="G1" t="s">
        <v>190</v>
      </c>
    </row>
    <row r="2" spans="1:14">
      <c r="A2" t="s">
        <v>173</v>
      </c>
      <c r="B2" s="1" t="s">
        <v>184</v>
      </c>
      <c r="C2" t="s">
        <v>189</v>
      </c>
      <c r="D2" s="1" t="s">
        <v>186</v>
      </c>
      <c r="F2" s="1" t="s">
        <v>183</v>
      </c>
      <c r="G2" t="s">
        <v>185</v>
      </c>
    </row>
    <row r="3" spans="1:14" ht="16">
      <c r="A3">
        <v>2001</v>
      </c>
      <c r="B3">
        <v>857999.99999999104</v>
      </c>
      <c r="C3" s="2">
        <f>AVERAGE(C4:C5)</f>
        <v>424.80860100000001</v>
      </c>
      <c r="D3">
        <f t="shared" ref="D3:D21" si="0">F3-E3</f>
        <v>502359.71223021601</v>
      </c>
      <c r="E3">
        <v>349640.28776978399</v>
      </c>
      <c r="F3">
        <v>852000</v>
      </c>
      <c r="G3">
        <f>AVERAGE(G4:G5)</f>
        <v>447.61374899999998</v>
      </c>
    </row>
    <row r="4" spans="1:14" ht="16">
      <c r="A4">
        <v>2002</v>
      </c>
      <c r="B4">
        <v>906000</v>
      </c>
      <c r="C4">
        <v>421.81073500000002</v>
      </c>
      <c r="D4">
        <f t="shared" si="0"/>
        <v>537230.21582733793</v>
      </c>
      <c r="E4">
        <v>367769.78417266201</v>
      </c>
      <c r="F4">
        <v>905000</v>
      </c>
      <c r="G4" s="2">
        <v>424.685877</v>
      </c>
    </row>
    <row r="5" spans="1:14" ht="16">
      <c r="A5">
        <v>2003</v>
      </c>
      <c r="B5">
        <v>972000</v>
      </c>
      <c r="C5">
        <v>427.806467</v>
      </c>
      <c r="D5">
        <f t="shared" si="0"/>
        <v>561791.36690647504</v>
      </c>
      <c r="E5">
        <v>409208.63309352502</v>
      </c>
      <c r="F5">
        <v>971000</v>
      </c>
      <c r="G5" s="2">
        <v>470.54162100000002</v>
      </c>
    </row>
    <row r="6" spans="1:14" ht="16">
      <c r="A6">
        <v>2004</v>
      </c>
      <c r="B6">
        <v>1058000</v>
      </c>
      <c r="C6">
        <v>643.47930599999995</v>
      </c>
      <c r="D6">
        <f t="shared" si="0"/>
        <v>617532.37410072004</v>
      </c>
      <c r="E6">
        <v>445467.62589928001</v>
      </c>
      <c r="F6">
        <v>1063000</v>
      </c>
      <c r="G6" s="2">
        <v>767.02960299999995</v>
      </c>
    </row>
    <row r="7" spans="1:14" ht="16">
      <c r="A7">
        <v>2005</v>
      </c>
      <c r="B7">
        <v>1132000</v>
      </c>
      <c r="C7">
        <v>438.71921800000001</v>
      </c>
      <c r="D7">
        <f t="shared" si="0"/>
        <v>668863.30935251806</v>
      </c>
      <c r="E7">
        <v>479136.690647482</v>
      </c>
      <c r="F7">
        <v>1148000</v>
      </c>
      <c r="G7" s="2">
        <v>674.22585800000002</v>
      </c>
    </row>
    <row r="8" spans="1:14" ht="16">
      <c r="A8">
        <v>2006</v>
      </c>
      <c r="B8">
        <v>1230000</v>
      </c>
      <c r="C8">
        <v>371.68281200000001</v>
      </c>
      <c r="D8">
        <f t="shared" si="0"/>
        <v>747553.95683453302</v>
      </c>
      <c r="E8">
        <v>502446.04316546698</v>
      </c>
      <c r="F8">
        <v>1250000</v>
      </c>
      <c r="G8" s="2">
        <v>671.66403600000001</v>
      </c>
    </row>
    <row r="9" spans="1:14" ht="16">
      <c r="A9">
        <v>2007</v>
      </c>
      <c r="B9">
        <v>1316000</v>
      </c>
      <c r="C9">
        <v>352.816913</v>
      </c>
      <c r="D9">
        <f t="shared" si="0"/>
        <v>801525.17985611595</v>
      </c>
      <c r="E9">
        <v>546474.82014388405</v>
      </c>
      <c r="F9">
        <v>1348000</v>
      </c>
      <c r="G9" s="2">
        <v>688.86588400000005</v>
      </c>
      <c r="J9" s="2"/>
    </row>
    <row r="10" spans="1:14" ht="16">
      <c r="A10">
        <v>2008</v>
      </c>
      <c r="B10">
        <v>1318000</v>
      </c>
      <c r="C10">
        <v>465.04678100000001</v>
      </c>
      <c r="D10">
        <f t="shared" si="0"/>
        <v>793935.25179856096</v>
      </c>
      <c r="E10">
        <v>549064.74820143904</v>
      </c>
      <c r="F10">
        <v>1343000</v>
      </c>
      <c r="G10" s="2">
        <v>980.35921399999995</v>
      </c>
      <c r="H10" s="2"/>
      <c r="J10" s="2"/>
      <c r="L10" s="2"/>
    </row>
    <row r="11" spans="1:14" ht="16">
      <c r="A11">
        <v>2009</v>
      </c>
      <c r="B11">
        <v>1226000</v>
      </c>
      <c r="C11">
        <v>355.09328699999998</v>
      </c>
      <c r="D11">
        <f t="shared" si="0"/>
        <v>710654.67625899299</v>
      </c>
      <c r="E11">
        <v>528345.32374100701</v>
      </c>
      <c r="F11">
        <v>1239000</v>
      </c>
      <c r="G11" s="2">
        <v>589.88204900000005</v>
      </c>
      <c r="H11" s="2"/>
      <c r="J11" s="2"/>
      <c r="L11" s="2"/>
      <c r="N11" s="2"/>
    </row>
    <row r="12" spans="1:14" ht="16">
      <c r="A12">
        <v>2010</v>
      </c>
      <c r="B12">
        <v>1398000</v>
      </c>
      <c r="C12">
        <v>357.09431999999998</v>
      </c>
      <c r="D12">
        <f t="shared" si="0"/>
        <v>870985.61151079205</v>
      </c>
      <c r="E12">
        <v>562014.38848920795</v>
      </c>
      <c r="F12">
        <v>1433000</v>
      </c>
      <c r="G12" s="2">
        <v>717.75586199999998</v>
      </c>
      <c r="H12" s="2"/>
      <c r="J12" s="2"/>
      <c r="L12" s="2"/>
      <c r="N12" s="2"/>
    </row>
    <row r="13" spans="1:14" ht="16">
      <c r="A13">
        <v>2011</v>
      </c>
      <c r="B13">
        <v>1484000</v>
      </c>
      <c r="C13">
        <v>364.30087800000001</v>
      </c>
      <c r="D13">
        <f t="shared" si="0"/>
        <v>934546.762589928</v>
      </c>
      <c r="E13">
        <v>603453.237410072</v>
      </c>
      <c r="F13">
        <v>1538000</v>
      </c>
      <c r="G13" s="2">
        <v>818.573082</v>
      </c>
      <c r="H13" s="2"/>
      <c r="J13" s="2"/>
      <c r="L13" s="2"/>
      <c r="N13" s="2"/>
    </row>
    <row r="14" spans="1:14" ht="16">
      <c r="A14">
        <v>2012</v>
      </c>
      <c r="B14">
        <f>(B13+B15)/2</f>
        <v>1514300</v>
      </c>
      <c r="C14">
        <v>261.788614</v>
      </c>
      <c r="D14">
        <f t="shared" si="0"/>
        <v>948776.97841726698</v>
      </c>
      <c r="E14">
        <v>611223.02158273302</v>
      </c>
      <c r="F14">
        <v>1560000</v>
      </c>
      <c r="G14">
        <v>697.02143899999999</v>
      </c>
      <c r="H14" s="2"/>
      <c r="J14" s="2"/>
      <c r="L14" s="2"/>
      <c r="N14" s="2"/>
    </row>
    <row r="15" spans="1:14" ht="16">
      <c r="A15">
        <v>2013</v>
      </c>
      <c r="B15">
        <v>1544600</v>
      </c>
      <c r="C15">
        <v>203.18601000000001</v>
      </c>
      <c r="D15">
        <f t="shared" si="0"/>
        <v>1049136.690647484</v>
      </c>
      <c r="E15">
        <v>600863.30935251596</v>
      </c>
      <c r="F15">
        <v>1650000</v>
      </c>
      <c r="G15">
        <v>655.78911400000004</v>
      </c>
      <c r="H15" s="2"/>
      <c r="J15" s="2"/>
      <c r="L15" s="2"/>
      <c r="N15" s="2"/>
    </row>
    <row r="16" spans="1:14" ht="16">
      <c r="A16">
        <v>2014</v>
      </c>
      <c r="B16">
        <v>1551500</v>
      </c>
      <c r="C16">
        <v>218.00930500000001</v>
      </c>
      <c r="D16">
        <f t="shared" si="0"/>
        <v>1062366.906474821</v>
      </c>
      <c r="E16">
        <v>608633.09352517896</v>
      </c>
      <c r="F16">
        <v>1671000</v>
      </c>
      <c r="G16">
        <v>625.94569000000001</v>
      </c>
      <c r="H16" s="2"/>
      <c r="J16" s="2"/>
      <c r="L16" s="2"/>
      <c r="N16" s="2"/>
    </row>
    <row r="17" spans="1:14" ht="16">
      <c r="A17">
        <v>2015</v>
      </c>
      <c r="B17">
        <v>1505800</v>
      </c>
      <c r="C17">
        <v>358.61809</v>
      </c>
      <c r="D17">
        <f t="shared" si="0"/>
        <v>1043446.043165468</v>
      </c>
      <c r="E17">
        <v>577553.95683453197</v>
      </c>
      <c r="F17">
        <v>1621000</v>
      </c>
      <c r="G17">
        <v>455.83717999999999</v>
      </c>
      <c r="H17" s="2"/>
      <c r="J17" s="2"/>
      <c r="L17" s="2"/>
      <c r="N17" s="2"/>
    </row>
    <row r="18" spans="1:14" ht="16">
      <c r="A18">
        <v>2016</v>
      </c>
      <c r="B18">
        <v>1520000</v>
      </c>
      <c r="C18">
        <v>408.31106399999999</v>
      </c>
      <c r="D18">
        <f t="shared" si="0"/>
        <v>1048856.115107914</v>
      </c>
      <c r="E18">
        <v>580143.88489208603</v>
      </c>
      <c r="F18">
        <v>1629000</v>
      </c>
      <c r="G18">
        <v>466.806218</v>
      </c>
      <c r="H18" s="2"/>
      <c r="J18" s="2"/>
      <c r="L18" s="2"/>
      <c r="N18" s="2"/>
    </row>
    <row r="19" spans="1:14" ht="16">
      <c r="A19">
        <v>2017</v>
      </c>
      <c r="B19">
        <v>1633400</v>
      </c>
      <c r="C19">
        <v>494.15014000000002</v>
      </c>
      <c r="D19">
        <f t="shared" si="0"/>
        <v>1092287.769784173</v>
      </c>
      <c r="E19">
        <v>639712.230215827</v>
      </c>
      <c r="F19">
        <v>1732000</v>
      </c>
      <c r="G19">
        <v>597.59132699999998</v>
      </c>
      <c r="H19" s="2"/>
      <c r="J19" s="2"/>
      <c r="L19" s="2"/>
      <c r="N19" s="2"/>
    </row>
    <row r="20" spans="1:14" ht="16">
      <c r="A20">
        <v>2018</v>
      </c>
      <c r="B20">
        <v>1708400</v>
      </c>
      <c r="C20">
        <v>482.72191099999998</v>
      </c>
      <c r="D20">
        <f t="shared" si="0"/>
        <v>1140618.7050359719</v>
      </c>
      <c r="E20">
        <v>673381.29496402806</v>
      </c>
      <c r="F20">
        <v>1814000</v>
      </c>
      <c r="G20">
        <v>678.44844699999999</v>
      </c>
      <c r="H20" s="2"/>
      <c r="J20" s="2"/>
      <c r="L20" s="2"/>
      <c r="N20" s="2"/>
    </row>
    <row r="21" spans="1:14" ht="16">
      <c r="A21">
        <v>2019</v>
      </c>
      <c r="B21">
        <v>1767500</v>
      </c>
      <c r="C21">
        <v>480</v>
      </c>
      <c r="D21">
        <f t="shared" si="0"/>
        <v>1159359.712230216</v>
      </c>
      <c r="E21">
        <v>709640.28776978399</v>
      </c>
      <c r="F21">
        <v>1869000</v>
      </c>
      <c r="G21">
        <v>670</v>
      </c>
      <c r="H21" s="2"/>
      <c r="J21" s="2"/>
      <c r="N21" s="2"/>
    </row>
    <row r="22" spans="1:14" ht="16">
      <c r="H22" s="2"/>
    </row>
    <row r="23" spans="1:14" ht="16">
      <c r="H23" s="2"/>
    </row>
    <row r="24" spans="1:14" ht="16">
      <c r="H24" s="2"/>
    </row>
    <row r="25" spans="1:14" ht="16">
      <c r="H25" s="2"/>
    </row>
    <row r="26" spans="1:14" ht="16">
      <c r="H26" s="2"/>
    </row>
  </sheetData>
  <hyperlinks>
    <hyperlink ref="B2" r:id="rId1" display="https://worldsteel.org/wp-content/uploads/2020-World-Steel-in-Figures.pdf" xr:uid="{26E328BE-CE03-4B25-AFDC-43F70423EA1A}"/>
    <hyperlink ref="F2" r:id="rId2" xr:uid="{4C51E42F-D397-4432-B7E7-E058515EFFE4}"/>
    <hyperlink ref="D2" r:id="rId3" xr:uid="{6DA237BC-CAF0-427F-9A6C-FFCAA3DAF1BE}"/>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F787E-9CE6-4767-AADB-C0D49F24A7F3}">
  <dimension ref="A1:Q41"/>
  <sheetViews>
    <sheetView workbookViewId="0">
      <selection activeCell="B21" sqref="B21"/>
    </sheetView>
  </sheetViews>
  <sheetFormatPr baseColWidth="10" defaultColWidth="8.83203125" defaultRowHeight="15"/>
  <cols>
    <col min="3" max="3" width="13.83203125" bestFit="1" customWidth="1"/>
    <col min="5" max="5" width="14.6640625" customWidth="1"/>
  </cols>
  <sheetData>
    <row r="1" spans="1:17">
      <c r="B1" t="s">
        <v>176</v>
      </c>
      <c r="C1" t="s">
        <v>180</v>
      </c>
      <c r="D1" t="s">
        <v>181</v>
      </c>
      <c r="E1" t="s">
        <v>187</v>
      </c>
      <c r="F1" t="s">
        <v>182</v>
      </c>
      <c r="G1" t="s">
        <v>190</v>
      </c>
      <c r="H1" t="s">
        <v>303</v>
      </c>
      <c r="L1" t="s">
        <v>180</v>
      </c>
      <c r="M1" t="s">
        <v>180</v>
      </c>
      <c r="Q1" t="s">
        <v>300</v>
      </c>
    </row>
    <row r="2" spans="1:17">
      <c r="A2" t="s">
        <v>173</v>
      </c>
      <c r="B2" s="1" t="s">
        <v>302</v>
      </c>
      <c r="C2" t="s">
        <v>299</v>
      </c>
      <c r="D2" s="1" t="s">
        <v>192</v>
      </c>
      <c r="E2" t="s">
        <v>301</v>
      </c>
      <c r="F2" t="s">
        <v>301</v>
      </c>
      <c r="H2" t="s">
        <v>304</v>
      </c>
      <c r="L2" t="s">
        <v>299</v>
      </c>
      <c r="M2" s="32"/>
      <c r="Q2" t="s">
        <v>299</v>
      </c>
    </row>
    <row r="3" spans="1:17">
      <c r="A3">
        <v>2001</v>
      </c>
      <c r="B3" s="32">
        <v>3.7280000000000002</v>
      </c>
      <c r="C3">
        <v>32158607.714417279</v>
      </c>
      <c r="D3">
        <v>2.56</v>
      </c>
      <c r="E3">
        <v>0.94684931506849312</v>
      </c>
      <c r="F3">
        <v>3.506849315068493</v>
      </c>
      <c r="H3" s="32">
        <v>3.7280000000000002</v>
      </c>
      <c r="L3">
        <v>13566761.083007999</v>
      </c>
      <c r="M3">
        <v>384.62169599999999</v>
      </c>
      <c r="Q3">
        <v>11873993.704704</v>
      </c>
    </row>
    <row r="4" spans="1:17">
      <c r="A4">
        <v>2002</v>
      </c>
      <c r="B4" s="32">
        <v>3.3620000000000001</v>
      </c>
      <c r="C4">
        <v>34756129.686718091</v>
      </c>
      <c r="D4">
        <v>2.5499999999999998</v>
      </c>
      <c r="E4">
        <v>1.0415492957746479</v>
      </c>
      <c r="F4">
        <v>3.591549295774648</v>
      </c>
      <c r="H4" s="32">
        <v>3.3620000000000001</v>
      </c>
      <c r="L4">
        <v>15261925.167299999</v>
      </c>
      <c r="M4" s="32">
        <v>432.68009999999998</v>
      </c>
      <c r="Q4">
        <v>13567145.704704</v>
      </c>
    </row>
    <row r="5" spans="1:17">
      <c r="A5">
        <v>2003</v>
      </c>
      <c r="B5" s="32">
        <v>3.206</v>
      </c>
      <c r="C5">
        <v>38240248.805773944</v>
      </c>
      <c r="D5">
        <v>2.54</v>
      </c>
      <c r="E5">
        <v>1.0885714285714287</v>
      </c>
      <c r="F5">
        <v>3.628571428571429</v>
      </c>
      <c r="H5" s="32">
        <v>3.206</v>
      </c>
      <c r="L5">
        <v>17508670.647999998</v>
      </c>
      <c r="M5" s="32">
        <v>496.37599999999998</v>
      </c>
      <c r="Q5">
        <v>15252034.346915999</v>
      </c>
    </row>
    <row r="6" spans="1:17">
      <c r="A6">
        <v>2004</v>
      </c>
      <c r="B6" s="32">
        <v>3.512</v>
      </c>
      <c r="C6">
        <v>33392445.494627818</v>
      </c>
      <c r="D6">
        <v>2.42</v>
      </c>
      <c r="E6">
        <v>1.0371428571428571</v>
      </c>
      <c r="F6">
        <v>3.4571428571428573</v>
      </c>
      <c r="H6" s="32">
        <v>3.512</v>
      </c>
      <c r="L6">
        <v>19169570.399</v>
      </c>
      <c r="M6" s="32">
        <v>543.46299999999997</v>
      </c>
      <c r="Q6">
        <v>15749019.786006</v>
      </c>
    </row>
    <row r="7" spans="1:17">
      <c r="A7">
        <v>2005</v>
      </c>
      <c r="B7" s="32">
        <v>3.7450000000000001</v>
      </c>
      <c r="C7">
        <v>33248775.81758856</v>
      </c>
      <c r="D7">
        <v>2.48</v>
      </c>
      <c r="E7">
        <v>0.91726027397260279</v>
      </c>
      <c r="F7">
        <v>3.397260273972603</v>
      </c>
      <c r="H7" s="32">
        <v>3.7450000000000001</v>
      </c>
      <c r="L7">
        <v>20163133.2084</v>
      </c>
      <c r="M7" s="32">
        <v>571.63080000000002</v>
      </c>
      <c r="Q7">
        <v>15122391.179784</v>
      </c>
    </row>
    <row r="8" spans="1:17">
      <c r="A8">
        <v>2006</v>
      </c>
      <c r="B8" s="32">
        <v>3.4239999999999999</v>
      </c>
      <c r="C8">
        <v>30743276.91313928</v>
      </c>
      <c r="D8">
        <v>2.37</v>
      </c>
      <c r="E8">
        <v>1.2761538461538462</v>
      </c>
      <c r="F8">
        <v>3.6461538461538461</v>
      </c>
      <c r="H8" s="32">
        <v>3.4239999999999999</v>
      </c>
      <c r="L8">
        <v>26549874.226400003</v>
      </c>
      <c r="M8" s="32">
        <v>752.69680000000005</v>
      </c>
      <c r="Q8">
        <v>20608702.998528</v>
      </c>
    </row>
    <row r="9" spans="1:17">
      <c r="A9">
        <v>2007</v>
      </c>
      <c r="B9" s="32">
        <v>3.552</v>
      </c>
      <c r="C9">
        <v>30864252.603043139</v>
      </c>
      <c r="D9">
        <v>2.35</v>
      </c>
      <c r="E9">
        <v>1.1574626865671642</v>
      </c>
      <c r="F9">
        <v>3.5074626865671643</v>
      </c>
      <c r="H9" s="32">
        <v>3.552</v>
      </c>
      <c r="L9">
        <v>29720363.140299998</v>
      </c>
      <c r="M9" s="32">
        <v>842.58109999999999</v>
      </c>
      <c r="Q9">
        <v>23289317.400419999</v>
      </c>
    </row>
    <row r="10" spans="1:17">
      <c r="A10">
        <v>2008</v>
      </c>
      <c r="B10" s="32">
        <v>3.806</v>
      </c>
      <c r="C10">
        <v>35319609.12352629</v>
      </c>
      <c r="D10">
        <v>2.2799999999999998</v>
      </c>
      <c r="E10">
        <v>1.4577049180327868</v>
      </c>
      <c r="F10">
        <v>3.7377049180327866</v>
      </c>
      <c r="H10" s="32">
        <v>3.806</v>
      </c>
      <c r="L10">
        <v>35897191.008000001</v>
      </c>
      <c r="M10" s="32">
        <v>1017.696</v>
      </c>
      <c r="Q10">
        <v>26830921.217274003</v>
      </c>
    </row>
    <row r="11" spans="1:17">
      <c r="A11">
        <v>2009</v>
      </c>
      <c r="B11" s="32">
        <v>3.6116350000000002</v>
      </c>
      <c r="C11">
        <v>38898966.518224157</v>
      </c>
      <c r="D11">
        <v>2.46</v>
      </c>
      <c r="E11">
        <v>1.7813793103448277</v>
      </c>
      <c r="F11">
        <v>4.2413793103448274</v>
      </c>
      <c r="H11" s="32">
        <v>3.6116350000000002</v>
      </c>
      <c r="L11">
        <v>40098416.945999995</v>
      </c>
      <c r="M11" s="32">
        <v>1136.8019999999999</v>
      </c>
      <c r="Q11">
        <v>35094737.355630003</v>
      </c>
    </row>
    <row r="12" spans="1:17">
      <c r="A12">
        <v>2010</v>
      </c>
      <c r="B12" s="32">
        <v>4.1711999999999998</v>
      </c>
      <c r="C12">
        <v>37588090.75913588</v>
      </c>
      <c r="D12">
        <v>2.7545000000000002</v>
      </c>
      <c r="E12">
        <v>1.6710719654124919</v>
      </c>
      <c r="F12">
        <v>4.4255719654124919</v>
      </c>
      <c r="H12" s="32">
        <v>4.1711999999999998</v>
      </c>
      <c r="L12">
        <v>49760044.376000002</v>
      </c>
      <c r="M12" s="32">
        <v>1410.712</v>
      </c>
      <c r="Q12">
        <v>42975239.260650001</v>
      </c>
    </row>
    <row r="13" spans="1:17">
      <c r="A13">
        <v>2011</v>
      </c>
      <c r="B13" s="32">
        <v>4.7247000000000003</v>
      </c>
      <c r="C13">
        <v>30235459.474326681</v>
      </c>
      <c r="D13">
        <v>2.8769</v>
      </c>
      <c r="E13">
        <v>1.6260682952887595</v>
      </c>
      <c r="F13">
        <v>4.5029682952887597</v>
      </c>
      <c r="H13" s="32">
        <v>4.7247000000000003</v>
      </c>
      <c r="L13">
        <v>61920552.217999995</v>
      </c>
      <c r="M13" s="32">
        <v>1755.4659999999999</v>
      </c>
      <c r="Q13">
        <v>53778977.547102004</v>
      </c>
    </row>
    <row r="14" spans="1:17">
      <c r="A14">
        <v>2012</v>
      </c>
      <c r="B14" s="32">
        <v>4.6726999999999999</v>
      </c>
      <c r="C14">
        <v>34760511.443366013</v>
      </c>
      <c r="D14">
        <v>2.9571999999999998</v>
      </c>
      <c r="E14">
        <v>1.636490651685955</v>
      </c>
      <c r="F14">
        <v>4.5936906516859546</v>
      </c>
      <c r="H14" s="32">
        <v>4.6726999999999999</v>
      </c>
      <c r="L14">
        <v>64372413.721000001</v>
      </c>
      <c r="M14" s="32">
        <v>1824.9770000000001</v>
      </c>
      <c r="Q14">
        <v>56518569.477336004</v>
      </c>
    </row>
    <row r="15" spans="1:17">
      <c r="A15">
        <v>2013</v>
      </c>
      <c r="B15" s="32">
        <v>4.5137</v>
      </c>
      <c r="C15">
        <v>36919530.56733261</v>
      </c>
      <c r="D15">
        <v>3.1667999999999998</v>
      </c>
      <c r="E15">
        <v>1.1952304507245022</v>
      </c>
      <c r="F15">
        <v>4.362030450724502</v>
      </c>
      <c r="H15" s="32">
        <v>4.5137</v>
      </c>
      <c r="L15">
        <v>53626494.270999998</v>
      </c>
      <c r="M15" s="32">
        <v>1520.327</v>
      </c>
      <c r="Q15">
        <v>45537007.619892001</v>
      </c>
    </row>
    <row r="16" spans="1:17">
      <c r="A16">
        <v>2014</v>
      </c>
      <c r="B16" s="32">
        <v>4.4260999999999999</v>
      </c>
      <c r="C16">
        <v>39607390.179120421</v>
      </c>
      <c r="D16">
        <v>3.2705000000000002</v>
      </c>
      <c r="E16">
        <v>1.1295000626595046</v>
      </c>
      <c r="F16">
        <v>4.4000000626595046</v>
      </c>
      <c r="H16" s="32">
        <v>4.4260999999999999</v>
      </c>
      <c r="L16">
        <v>47384090.369000003</v>
      </c>
      <c r="M16" s="32">
        <v>1343.3530000000001</v>
      </c>
      <c r="Q16">
        <v>39909789.610542007</v>
      </c>
    </row>
    <row r="17" spans="1:17">
      <c r="A17">
        <v>2015</v>
      </c>
      <c r="B17" s="32">
        <v>4.3685</v>
      </c>
      <c r="C17">
        <v>42508448.15397431</v>
      </c>
      <c r="D17">
        <v>3.3662999999999998</v>
      </c>
      <c r="E17">
        <v>1.0668016412034791</v>
      </c>
      <c r="F17">
        <v>4.4331016412034785</v>
      </c>
      <c r="H17" s="32">
        <v>4.3685</v>
      </c>
      <c r="L17">
        <v>43305191.195</v>
      </c>
      <c r="M17" s="32">
        <v>1227.7149999999999</v>
      </c>
      <c r="Q17">
        <v>40209714.238356002</v>
      </c>
    </row>
    <row r="18" spans="1:17">
      <c r="A18">
        <v>2016</v>
      </c>
      <c r="B18" s="32">
        <v>4.3914</v>
      </c>
      <c r="C18">
        <v>42548544.823638499</v>
      </c>
      <c r="D18">
        <v>3.5173000000000001</v>
      </c>
      <c r="E18">
        <v>1.2321408911587837</v>
      </c>
      <c r="F18">
        <v>4.749440891158784</v>
      </c>
      <c r="H18" s="32">
        <v>4.3914</v>
      </c>
      <c r="L18">
        <v>46124315.173999995</v>
      </c>
      <c r="M18" s="32">
        <v>1307.6379999999999</v>
      </c>
      <c r="Q18">
        <v>43624963.306727998</v>
      </c>
    </row>
    <row r="19" spans="1:17">
      <c r="A19">
        <v>2017</v>
      </c>
      <c r="B19" s="32">
        <v>4.2782999999999998</v>
      </c>
      <c r="C19">
        <v>42679109.372038342</v>
      </c>
      <c r="D19">
        <v>3.5678000000000001</v>
      </c>
      <c r="E19">
        <v>1.112318600152481</v>
      </c>
      <c r="F19">
        <v>4.6801186001524808</v>
      </c>
      <c r="H19" s="32">
        <v>4.2782999999999998</v>
      </c>
      <c r="L19">
        <v>45451976.520999998</v>
      </c>
      <c r="M19" s="32">
        <v>1288.577</v>
      </c>
      <c r="Q19">
        <v>42306183.016679995</v>
      </c>
    </row>
    <row r="20" spans="1:17">
      <c r="A20">
        <v>2018</v>
      </c>
      <c r="B20" s="32">
        <v>4.4542999999999999</v>
      </c>
      <c r="C20">
        <v>45655005.588163659</v>
      </c>
      <c r="D20">
        <v>3.6536</v>
      </c>
      <c r="E20">
        <v>1.1317010124660076</v>
      </c>
      <c r="F20">
        <v>4.7853010124660074</v>
      </c>
      <c r="H20" s="32">
        <v>4.4542999999999999</v>
      </c>
      <c r="L20">
        <v>44895298.035000004</v>
      </c>
      <c r="M20" s="32">
        <v>1272.7950000000001</v>
      </c>
      <c r="Q20">
        <v>40434691.598711997</v>
      </c>
    </row>
    <row r="21" spans="1:17">
      <c r="A21">
        <v>2019</v>
      </c>
      <c r="B21" s="32">
        <v>4.3593999999999999</v>
      </c>
      <c r="C21">
        <f t="shared" ref="C21" si="0">M21*35273</f>
        <v>52976451.681300007</v>
      </c>
      <c r="D21">
        <v>3.5962000000000001</v>
      </c>
      <c r="E21">
        <v>1.2756181422894106</v>
      </c>
      <c r="F21">
        <v>4.8718181422894107</v>
      </c>
      <c r="H21" s="32">
        <v>4.3593999999999999</v>
      </c>
      <c r="L21">
        <v>52976451.681300007</v>
      </c>
      <c r="M21">
        <f>M20+(M20*0.18)</f>
        <v>1501.8981000000001</v>
      </c>
      <c r="Q21">
        <v>47712936.086480156</v>
      </c>
    </row>
    <row r="22" spans="1:17" ht="19">
      <c r="H22" s="31"/>
    </row>
    <row r="23" spans="1:17" ht="19">
      <c r="C23" s="33"/>
      <c r="H23" s="31"/>
    </row>
    <row r="24" spans="1:17" ht="19">
      <c r="C24" s="33"/>
      <c r="H24" s="31"/>
    </row>
    <row r="25" spans="1:17" ht="19">
      <c r="C25" s="33"/>
      <c r="H25" s="31"/>
    </row>
    <row r="26" spans="1:17">
      <c r="C26" s="33"/>
    </row>
    <row r="27" spans="1:17">
      <c r="C27" s="33"/>
    </row>
    <row r="28" spans="1:17">
      <c r="C28" s="33"/>
    </row>
    <row r="29" spans="1:17">
      <c r="C29" s="33"/>
    </row>
    <row r="30" spans="1:17">
      <c r="C30" s="33"/>
    </row>
    <row r="31" spans="1:17">
      <c r="C31" s="33"/>
    </row>
    <row r="32" spans="1:17">
      <c r="C32" s="33"/>
    </row>
    <row r="33" spans="3:3">
      <c r="C33" s="33"/>
    </row>
    <row r="34" spans="3:3">
      <c r="C34" s="33"/>
    </row>
    <row r="35" spans="3:3">
      <c r="C35" s="33"/>
    </row>
    <row r="36" spans="3:3">
      <c r="C36" s="33"/>
    </row>
    <row r="37" spans="3:3">
      <c r="C37" s="33"/>
    </row>
    <row r="38" spans="3:3">
      <c r="C38" s="33"/>
    </row>
    <row r="39" spans="3:3">
      <c r="C39" s="33"/>
    </row>
    <row r="40" spans="3:3">
      <c r="C40" s="33"/>
    </row>
    <row r="41" spans="3:3">
      <c r="C41" s="3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E14CA-A602-4FF7-9D44-04838930B2AC}">
  <dimension ref="A1:M32"/>
  <sheetViews>
    <sheetView zoomScale="83" workbookViewId="0">
      <selection activeCell="D2" sqref="D2"/>
    </sheetView>
  </sheetViews>
  <sheetFormatPr baseColWidth="10" defaultColWidth="8.83203125" defaultRowHeight="15"/>
  <sheetData>
    <row r="1" spans="1:13">
      <c r="B1" t="s">
        <v>176</v>
      </c>
      <c r="C1" t="s">
        <v>180</v>
      </c>
      <c r="D1" t="s">
        <v>181</v>
      </c>
      <c r="E1" t="s">
        <v>187</v>
      </c>
      <c r="K1" t="s">
        <v>411</v>
      </c>
      <c r="L1" t="s">
        <v>409</v>
      </c>
      <c r="M1" t="s">
        <v>410</v>
      </c>
    </row>
    <row r="2" spans="1:13">
      <c r="A2" t="s">
        <v>173</v>
      </c>
      <c r="B2" s="1"/>
      <c r="D2" s="1" t="s">
        <v>412</v>
      </c>
      <c r="J2">
        <v>1990</v>
      </c>
      <c r="K2" s="39">
        <v>51900</v>
      </c>
      <c r="L2">
        <f>K2/1000</f>
        <v>51.9</v>
      </c>
    </row>
    <row r="3" spans="1:13">
      <c r="A3">
        <v>1990</v>
      </c>
      <c r="D3">
        <f t="shared" ref="D3:D32" si="0">L2/0.793</f>
        <v>65.44766708701134</v>
      </c>
      <c r="J3">
        <v>1991</v>
      </c>
      <c r="K3" s="39">
        <v>48200</v>
      </c>
      <c r="L3">
        <f t="shared" ref="L3:L31" si="1">K3/1000</f>
        <v>48.2</v>
      </c>
    </row>
    <row r="4" spans="1:13">
      <c r="A4">
        <v>1991</v>
      </c>
      <c r="D4">
        <f t="shared" si="0"/>
        <v>60.781841109709966</v>
      </c>
      <c r="J4">
        <v>1992</v>
      </c>
      <c r="K4" s="39">
        <v>42900</v>
      </c>
      <c r="L4">
        <f t="shared" si="1"/>
        <v>42.9</v>
      </c>
    </row>
    <row r="5" spans="1:13">
      <c r="A5">
        <v>1992</v>
      </c>
      <c r="D5">
        <f t="shared" si="0"/>
        <v>54.0983606557377</v>
      </c>
      <c r="J5">
        <v>1993</v>
      </c>
      <c r="K5" s="39">
        <v>34300</v>
      </c>
      <c r="L5">
        <f t="shared" si="1"/>
        <v>34.299999999999997</v>
      </c>
    </row>
    <row r="6" spans="1:13">
      <c r="A6">
        <v>1993</v>
      </c>
      <c r="D6">
        <f t="shared" si="0"/>
        <v>43.253467843631775</v>
      </c>
      <c r="J6">
        <v>1994</v>
      </c>
      <c r="K6" s="39">
        <v>34000</v>
      </c>
      <c r="L6">
        <f t="shared" si="1"/>
        <v>34</v>
      </c>
    </row>
    <row r="7" spans="1:13">
      <c r="A7">
        <v>1994</v>
      </c>
      <c r="D7">
        <f t="shared" si="0"/>
        <v>42.875157629255988</v>
      </c>
      <c r="J7">
        <v>1995</v>
      </c>
      <c r="K7" s="39">
        <v>38500</v>
      </c>
      <c r="L7">
        <f t="shared" si="1"/>
        <v>38.5</v>
      </c>
    </row>
    <row r="8" spans="1:13">
      <c r="A8">
        <v>1995</v>
      </c>
      <c r="D8">
        <f t="shared" si="0"/>
        <v>48.549810844892811</v>
      </c>
      <c r="J8">
        <v>1996</v>
      </c>
      <c r="K8" s="39">
        <v>34700</v>
      </c>
      <c r="L8">
        <f t="shared" si="1"/>
        <v>34.700000000000003</v>
      </c>
    </row>
    <row r="9" spans="1:13">
      <c r="A9">
        <v>1996</v>
      </c>
      <c r="D9">
        <f t="shared" si="0"/>
        <v>43.757881462799496</v>
      </c>
      <c r="J9">
        <v>1997</v>
      </c>
      <c r="K9" s="39">
        <v>33200</v>
      </c>
      <c r="L9">
        <f t="shared" si="1"/>
        <v>33.200000000000003</v>
      </c>
    </row>
    <row r="10" spans="1:13">
      <c r="A10">
        <v>1997</v>
      </c>
      <c r="D10">
        <f t="shared" si="0"/>
        <v>41.86633039092056</v>
      </c>
      <c r="J10">
        <v>1998</v>
      </c>
      <c r="K10" s="39">
        <v>37000</v>
      </c>
      <c r="L10">
        <f t="shared" si="1"/>
        <v>37</v>
      </c>
    </row>
    <row r="11" spans="1:13">
      <c r="A11">
        <v>1998</v>
      </c>
      <c r="D11">
        <f t="shared" si="0"/>
        <v>46.658259773013867</v>
      </c>
      <c r="J11">
        <v>1999</v>
      </c>
      <c r="K11" s="39">
        <v>37700</v>
      </c>
      <c r="L11">
        <f t="shared" si="1"/>
        <v>37.700000000000003</v>
      </c>
    </row>
    <row r="12" spans="1:13">
      <c r="A12">
        <v>1999</v>
      </c>
      <c r="D12">
        <f t="shared" si="0"/>
        <v>47.540983606557376</v>
      </c>
      <c r="J12">
        <v>2000</v>
      </c>
      <c r="K12" s="39">
        <v>44000</v>
      </c>
      <c r="L12">
        <f t="shared" si="1"/>
        <v>44</v>
      </c>
    </row>
    <row r="13" spans="1:13" ht="16">
      <c r="A13">
        <v>2000</v>
      </c>
      <c r="C13" s="2"/>
      <c r="D13">
        <f t="shared" si="0"/>
        <v>55.485498108448922</v>
      </c>
      <c r="J13">
        <v>2001</v>
      </c>
      <c r="K13" s="40">
        <v>50800</v>
      </c>
      <c r="L13">
        <f t="shared" si="1"/>
        <v>50.8</v>
      </c>
    </row>
    <row r="14" spans="1:13">
      <c r="A14">
        <v>2001</v>
      </c>
      <c r="D14">
        <f t="shared" si="0"/>
        <v>64.060529634300124</v>
      </c>
      <c r="J14">
        <v>2002</v>
      </c>
      <c r="K14" s="40">
        <v>47000</v>
      </c>
      <c r="L14">
        <f t="shared" si="1"/>
        <v>47</v>
      </c>
    </row>
    <row r="15" spans="1:13">
      <c r="A15">
        <v>2002</v>
      </c>
      <c r="D15">
        <f t="shared" si="0"/>
        <v>59.268600252206809</v>
      </c>
      <c r="J15">
        <v>2003</v>
      </c>
      <c r="K15" s="40">
        <v>47200</v>
      </c>
      <c r="L15">
        <f t="shared" si="1"/>
        <v>47.2</v>
      </c>
    </row>
    <row r="16" spans="1:13">
      <c r="A16">
        <v>2003</v>
      </c>
      <c r="D16">
        <f t="shared" si="0"/>
        <v>59.52080706179067</v>
      </c>
      <c r="J16">
        <v>2004</v>
      </c>
      <c r="K16" s="40">
        <v>66300</v>
      </c>
      <c r="L16">
        <f t="shared" si="1"/>
        <v>66.3</v>
      </c>
    </row>
    <row r="17" spans="1:12">
      <c r="A17">
        <v>2004</v>
      </c>
      <c r="D17">
        <f t="shared" si="0"/>
        <v>83.606557377049171</v>
      </c>
      <c r="J17">
        <v>2005</v>
      </c>
      <c r="K17" s="40">
        <v>59500</v>
      </c>
      <c r="L17">
        <f t="shared" si="1"/>
        <v>59.5</v>
      </c>
    </row>
    <row r="18" spans="1:12">
      <c r="A18">
        <v>2005</v>
      </c>
      <c r="D18">
        <f t="shared" si="0"/>
        <v>75.031525851197983</v>
      </c>
      <c r="J18">
        <v>2006</v>
      </c>
      <c r="K18" s="40">
        <v>56600</v>
      </c>
      <c r="L18">
        <f t="shared" si="1"/>
        <v>56.6</v>
      </c>
    </row>
    <row r="19" spans="1:12">
      <c r="A19">
        <v>2006</v>
      </c>
      <c r="D19">
        <f t="shared" si="0"/>
        <v>71.37452711223203</v>
      </c>
      <c r="J19">
        <v>2007</v>
      </c>
      <c r="K19" s="40">
        <v>53600</v>
      </c>
      <c r="L19">
        <f t="shared" si="1"/>
        <v>53.6</v>
      </c>
    </row>
    <row r="20" spans="1:12">
      <c r="A20">
        <v>2007</v>
      </c>
      <c r="D20">
        <f t="shared" si="0"/>
        <v>67.591424968474143</v>
      </c>
      <c r="J20">
        <v>2008</v>
      </c>
      <c r="K20" s="40">
        <v>61900</v>
      </c>
      <c r="L20">
        <f t="shared" si="1"/>
        <v>61.9</v>
      </c>
    </row>
    <row r="21" spans="1:12">
      <c r="A21">
        <v>2008</v>
      </c>
      <c r="D21">
        <f t="shared" si="0"/>
        <v>78.058007566204282</v>
      </c>
      <c r="J21">
        <v>2009</v>
      </c>
      <c r="K21" s="40">
        <v>61200</v>
      </c>
      <c r="L21">
        <f t="shared" si="1"/>
        <v>61.2</v>
      </c>
    </row>
    <row r="22" spans="1:12">
      <c r="A22">
        <v>2009</v>
      </c>
      <c r="D22">
        <f t="shared" si="0"/>
        <v>77.175283732660787</v>
      </c>
      <c r="J22">
        <v>2010</v>
      </c>
      <c r="K22" s="40">
        <v>68400</v>
      </c>
      <c r="L22">
        <f t="shared" si="1"/>
        <v>68.400000000000006</v>
      </c>
    </row>
    <row r="23" spans="1:12">
      <c r="A23">
        <v>2010</v>
      </c>
      <c r="D23">
        <f t="shared" si="0"/>
        <v>86.254728877679696</v>
      </c>
      <c r="J23">
        <v>2011</v>
      </c>
      <c r="K23" s="40">
        <v>73900</v>
      </c>
      <c r="L23">
        <f t="shared" si="1"/>
        <v>73.900000000000006</v>
      </c>
    </row>
    <row r="24" spans="1:12">
      <c r="A24">
        <v>2011</v>
      </c>
      <c r="D24">
        <f t="shared" si="0"/>
        <v>93.190416141235815</v>
      </c>
      <c r="J24">
        <v>2012</v>
      </c>
      <c r="K24" s="40">
        <v>77700</v>
      </c>
      <c r="L24">
        <f t="shared" si="1"/>
        <v>77.7</v>
      </c>
    </row>
    <row r="25" spans="1:12">
      <c r="A25">
        <v>2012</v>
      </c>
      <c r="D25">
        <f t="shared" si="0"/>
        <v>97.98234552332913</v>
      </c>
      <c r="J25">
        <v>2013</v>
      </c>
      <c r="K25" s="40">
        <v>79400</v>
      </c>
      <c r="L25">
        <f t="shared" si="1"/>
        <v>79.400000000000006</v>
      </c>
    </row>
    <row r="26" spans="1:12">
      <c r="A26">
        <v>2013</v>
      </c>
      <c r="D26">
        <f t="shared" si="0"/>
        <v>100.12610340479193</v>
      </c>
      <c r="J26">
        <v>2014</v>
      </c>
      <c r="K26" s="40">
        <v>82100</v>
      </c>
      <c r="L26">
        <f t="shared" si="1"/>
        <v>82.1</v>
      </c>
    </row>
    <row r="27" spans="1:12">
      <c r="A27">
        <v>2014</v>
      </c>
      <c r="D27">
        <f t="shared" si="0"/>
        <v>103.53089533417401</v>
      </c>
      <c r="J27">
        <v>2015</v>
      </c>
      <c r="K27" s="40">
        <v>83700</v>
      </c>
      <c r="L27">
        <f t="shared" si="1"/>
        <v>83.7</v>
      </c>
    </row>
    <row r="28" spans="1:12">
      <c r="A28">
        <v>2015</v>
      </c>
      <c r="D28">
        <f t="shared" si="0"/>
        <v>105.54854981084489</v>
      </c>
      <c r="J28">
        <v>2016</v>
      </c>
      <c r="K28" s="40">
        <v>78400</v>
      </c>
      <c r="L28">
        <f t="shared" si="1"/>
        <v>78.400000000000006</v>
      </c>
    </row>
    <row r="29" spans="1:12">
      <c r="A29">
        <v>2016</v>
      </c>
      <c r="D29">
        <f t="shared" si="0"/>
        <v>98.865069356872638</v>
      </c>
      <c r="J29">
        <v>2017</v>
      </c>
      <c r="K29" s="40">
        <v>81400</v>
      </c>
      <c r="L29">
        <f t="shared" si="1"/>
        <v>81.400000000000006</v>
      </c>
    </row>
    <row r="30" spans="1:12">
      <c r="A30">
        <v>2017</v>
      </c>
      <c r="D30">
        <f t="shared" si="0"/>
        <v>102.64817150063053</v>
      </c>
      <c r="J30">
        <v>2018</v>
      </c>
      <c r="K30" s="40">
        <v>82200</v>
      </c>
      <c r="L30">
        <f t="shared" si="1"/>
        <v>82.2</v>
      </c>
    </row>
    <row r="31" spans="1:12">
      <c r="A31">
        <v>2018</v>
      </c>
      <c r="D31">
        <f t="shared" si="0"/>
        <v>103.65699873896595</v>
      </c>
      <c r="J31">
        <v>2019</v>
      </c>
      <c r="K31" s="40">
        <v>83800</v>
      </c>
      <c r="L31">
        <f t="shared" si="1"/>
        <v>83.8</v>
      </c>
    </row>
    <row r="32" spans="1:12">
      <c r="A32">
        <v>2019</v>
      </c>
      <c r="D32">
        <f t="shared" si="0"/>
        <v>105.67465321563681</v>
      </c>
    </row>
  </sheetData>
  <hyperlinks>
    <hyperlink ref="D2" r:id="rId1" xr:uid="{BF6C4004-0780-AD44-B728-E0C63F9DE10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8560D-51C4-4FC5-A30A-D50BD25B2BD4}">
  <dimension ref="A1:E33"/>
  <sheetViews>
    <sheetView workbookViewId="0">
      <selection activeCell="D32" sqref="D32:E32"/>
    </sheetView>
  </sheetViews>
  <sheetFormatPr baseColWidth="10" defaultColWidth="8.83203125" defaultRowHeight="15"/>
  <sheetData>
    <row r="1" spans="1:5">
      <c r="B1" t="s">
        <v>176</v>
      </c>
      <c r="C1" t="s">
        <v>180</v>
      </c>
      <c r="D1" t="s">
        <v>181</v>
      </c>
      <c r="E1" t="s">
        <v>187</v>
      </c>
    </row>
    <row r="2" spans="1:5">
      <c r="A2" t="s">
        <v>173</v>
      </c>
      <c r="B2" s="1" t="s">
        <v>311</v>
      </c>
      <c r="D2" s="1"/>
    </row>
    <row r="3" spans="1:5">
      <c r="A3">
        <v>1990</v>
      </c>
      <c r="B3">
        <v>227.46799999999999</v>
      </c>
      <c r="D3">
        <v>210.60900000000001</v>
      </c>
      <c r="E3">
        <f t="shared" ref="E3:E32" si="0">B3-D3</f>
        <v>16.85899999999998</v>
      </c>
    </row>
    <row r="4" spans="1:5">
      <c r="A4">
        <v>1991</v>
      </c>
      <c r="B4">
        <v>203.57</v>
      </c>
      <c r="D4">
        <v>193.32499999999999</v>
      </c>
      <c r="E4">
        <f t="shared" si="0"/>
        <v>10.245000000000005</v>
      </c>
    </row>
    <row r="5" spans="1:5">
      <c r="A5">
        <v>1992</v>
      </c>
      <c r="B5">
        <v>203.13800000000001</v>
      </c>
      <c r="D5">
        <v>185.542</v>
      </c>
      <c r="E5">
        <f t="shared" si="0"/>
        <v>17.596000000000004</v>
      </c>
    </row>
    <row r="6" spans="1:5">
      <c r="A6">
        <v>1993</v>
      </c>
      <c r="B6">
        <v>197.32599999999999</v>
      </c>
      <c r="D6">
        <v>185.87700000000001</v>
      </c>
      <c r="E6">
        <f t="shared" si="0"/>
        <v>11.448999999999984</v>
      </c>
    </row>
    <row r="7" spans="1:5">
      <c r="A7">
        <v>1994</v>
      </c>
      <c r="B7">
        <v>231.25700000000001</v>
      </c>
      <c r="D7">
        <v>184.40899999999999</v>
      </c>
      <c r="E7">
        <f t="shared" si="0"/>
        <v>46.848000000000013</v>
      </c>
    </row>
    <row r="8" spans="1:5">
      <c r="A8">
        <v>1995</v>
      </c>
      <c r="B8">
        <v>219.834</v>
      </c>
      <c r="D8">
        <v>198.006</v>
      </c>
      <c r="E8">
        <f t="shared" si="0"/>
        <v>21.828000000000003</v>
      </c>
    </row>
    <row r="9" spans="1:5">
      <c r="A9">
        <v>1996</v>
      </c>
      <c r="B9">
        <v>230.744</v>
      </c>
      <c r="D9">
        <v>223.40100000000001</v>
      </c>
      <c r="E9">
        <f t="shared" si="0"/>
        <v>7.3429999999999893</v>
      </c>
    </row>
    <row r="10" spans="1:5">
      <c r="A10">
        <v>1997</v>
      </c>
      <c r="B10">
        <v>238.179</v>
      </c>
      <c r="D10">
        <v>221.51599999999999</v>
      </c>
      <c r="E10">
        <f t="shared" si="0"/>
        <v>16.663000000000011</v>
      </c>
    </row>
    <row r="11" spans="1:5">
      <c r="A11">
        <v>1998</v>
      </c>
      <c r="B11">
        <v>237.03</v>
      </c>
      <c r="D11">
        <v>212.01400000000001</v>
      </c>
      <c r="E11">
        <f t="shared" si="0"/>
        <v>25.015999999999991</v>
      </c>
    </row>
    <row r="12" spans="1:5">
      <c r="A12">
        <v>1999</v>
      </c>
      <c r="B12">
        <v>248.10300000000001</v>
      </c>
      <c r="D12">
        <v>220.06200000000001</v>
      </c>
      <c r="E12">
        <f t="shared" si="0"/>
        <v>28.040999999999997</v>
      </c>
    </row>
    <row r="13" spans="1:5">
      <c r="A13">
        <v>2000</v>
      </c>
      <c r="B13">
        <v>260.66899999999998</v>
      </c>
      <c r="D13">
        <v>249.02600000000001</v>
      </c>
      <c r="E13">
        <f t="shared" si="0"/>
        <v>11.642999999999972</v>
      </c>
    </row>
    <row r="14" spans="1:5" ht="16">
      <c r="A14">
        <v>2001</v>
      </c>
      <c r="B14">
        <v>280.69499999999999</v>
      </c>
      <c r="C14" s="2"/>
      <c r="D14" s="2">
        <v>244.29499999999999</v>
      </c>
      <c r="E14">
        <f t="shared" si="0"/>
        <v>36.400000000000006</v>
      </c>
    </row>
    <row r="15" spans="1:5">
      <c r="A15">
        <v>2002</v>
      </c>
      <c r="B15">
        <v>264.428</v>
      </c>
      <c r="D15">
        <v>234.91499999999999</v>
      </c>
      <c r="E15">
        <f t="shared" si="0"/>
        <v>29.513000000000005</v>
      </c>
    </row>
    <row r="16" spans="1:5">
      <c r="A16">
        <v>2003</v>
      </c>
      <c r="B16">
        <v>275.28199999999998</v>
      </c>
      <c r="D16">
        <v>257.041</v>
      </c>
      <c r="E16">
        <f t="shared" si="0"/>
        <v>18.240999999999985</v>
      </c>
    </row>
    <row r="17" spans="1:5">
      <c r="A17">
        <v>2004</v>
      </c>
      <c r="B17">
        <v>313.08999999999997</v>
      </c>
      <c r="D17">
        <v>285.44200000000001</v>
      </c>
      <c r="E17">
        <f t="shared" si="0"/>
        <v>27.647999999999968</v>
      </c>
    </row>
    <row r="18" spans="1:5">
      <c r="A18">
        <v>2005</v>
      </c>
      <c r="B18">
        <v>333.6</v>
      </c>
      <c r="D18">
        <v>297.81200000000001</v>
      </c>
      <c r="E18">
        <f t="shared" si="0"/>
        <v>35.788000000000011</v>
      </c>
    </row>
    <row r="19" spans="1:5">
      <c r="A19">
        <v>2006</v>
      </c>
      <c r="B19">
        <v>327.00200000000001</v>
      </c>
      <c r="D19">
        <v>296.48</v>
      </c>
      <c r="E19">
        <f t="shared" si="0"/>
        <v>30.521999999999991</v>
      </c>
    </row>
    <row r="20" spans="1:5">
      <c r="A20">
        <v>2007</v>
      </c>
      <c r="B20">
        <v>335.40800000000002</v>
      </c>
      <c r="D20">
        <v>342.53100000000001</v>
      </c>
      <c r="E20">
        <v>16</v>
      </c>
    </row>
    <row r="21" spans="1:5">
      <c r="A21">
        <v>2008</v>
      </c>
      <c r="B21">
        <v>326.262</v>
      </c>
      <c r="D21">
        <v>313.90699999999998</v>
      </c>
      <c r="E21">
        <f t="shared" si="0"/>
        <v>12.355000000000018</v>
      </c>
    </row>
    <row r="22" spans="1:5">
      <c r="A22">
        <v>2009</v>
      </c>
      <c r="B22">
        <v>318.16300000000001</v>
      </c>
      <c r="D22">
        <v>314.53899999999999</v>
      </c>
      <c r="E22">
        <f t="shared" si="0"/>
        <v>3.6240000000000236</v>
      </c>
    </row>
    <row r="23" spans="1:5">
      <c r="A23">
        <v>2010</v>
      </c>
      <c r="B23">
        <v>351.84800000000001</v>
      </c>
      <c r="D23">
        <v>328.03500000000003</v>
      </c>
      <c r="E23">
        <f t="shared" si="0"/>
        <v>23.812999999999988</v>
      </c>
    </row>
    <row r="24" spans="1:5">
      <c r="A24">
        <v>2011</v>
      </c>
      <c r="B24">
        <v>364.58600000000001</v>
      </c>
      <c r="D24">
        <v>327.23700000000002</v>
      </c>
      <c r="E24">
        <f t="shared" si="0"/>
        <v>37.34899999999999</v>
      </c>
    </row>
    <row r="25" spans="1:5">
      <c r="A25">
        <v>2012</v>
      </c>
      <c r="B25">
        <v>357.89600000000002</v>
      </c>
      <c r="D25">
        <v>314.19900000000001</v>
      </c>
      <c r="E25">
        <f t="shared" si="0"/>
        <v>43.697000000000003</v>
      </c>
    </row>
    <row r="26" spans="1:5">
      <c r="A26">
        <v>2013</v>
      </c>
      <c r="B26">
        <v>346.137</v>
      </c>
      <c r="D26">
        <v>297.916</v>
      </c>
      <c r="E26">
        <f t="shared" si="0"/>
        <v>48.221000000000004</v>
      </c>
    </row>
    <row r="27" spans="1:5">
      <c r="A27">
        <v>2014</v>
      </c>
      <c r="B27">
        <v>391.78300000000002</v>
      </c>
      <c r="D27">
        <v>311.27699999999999</v>
      </c>
      <c r="E27">
        <f t="shared" si="0"/>
        <v>80.506000000000029</v>
      </c>
    </row>
    <row r="28" spans="1:5">
      <c r="A28">
        <v>2015</v>
      </c>
      <c r="B28">
        <v>348.48</v>
      </c>
      <c r="D28">
        <v>315.57100000000003</v>
      </c>
      <c r="E28">
        <f t="shared" si="0"/>
        <v>32.908999999999992</v>
      </c>
    </row>
    <row r="29" spans="1:5">
      <c r="A29">
        <v>2016</v>
      </c>
      <c r="B29">
        <v>362.06099999999998</v>
      </c>
      <c r="D29">
        <v>315.89999999999998</v>
      </c>
      <c r="E29">
        <f t="shared" si="0"/>
        <v>46.161000000000001</v>
      </c>
    </row>
    <row r="30" spans="1:5">
      <c r="A30">
        <v>2017</v>
      </c>
      <c r="B30">
        <v>369.08800000000002</v>
      </c>
      <c r="D30">
        <v>336.887</v>
      </c>
      <c r="E30">
        <f t="shared" si="0"/>
        <v>32.201000000000022</v>
      </c>
    </row>
    <row r="31" spans="1:5">
      <c r="A31">
        <v>2018</v>
      </c>
      <c r="B31">
        <v>373.03500000000003</v>
      </c>
      <c r="D31">
        <v>324.733</v>
      </c>
      <c r="E31">
        <f t="shared" si="0"/>
        <v>48.302000000000021</v>
      </c>
    </row>
    <row r="32" spans="1:5">
      <c r="A32">
        <v>2019</v>
      </c>
      <c r="B32">
        <v>371.81700000000001</v>
      </c>
      <c r="D32">
        <v>310.661</v>
      </c>
      <c r="E32">
        <f t="shared" si="0"/>
        <v>61.156000000000006</v>
      </c>
    </row>
    <row r="33" spans="1:5">
      <c r="A33">
        <v>2020</v>
      </c>
      <c r="B33">
        <v>367.46699999999998</v>
      </c>
      <c r="D33">
        <v>278.34100000000001</v>
      </c>
      <c r="E33">
        <f>B33-D33</f>
        <v>89.125999999999976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AA359-5A00-444B-B37D-5A9C733CE8E6}">
  <dimension ref="A1:E53"/>
  <sheetViews>
    <sheetView workbookViewId="0">
      <selection activeCell="D1" sqref="D1"/>
    </sheetView>
  </sheetViews>
  <sheetFormatPr baseColWidth="10" defaultColWidth="8.83203125" defaultRowHeight="15"/>
  <sheetData>
    <row r="1" spans="1:5">
      <c r="B1" t="s">
        <v>176</v>
      </c>
      <c r="C1" t="s">
        <v>180</v>
      </c>
      <c r="D1" t="s">
        <v>181</v>
      </c>
      <c r="E1" t="s">
        <v>187</v>
      </c>
    </row>
    <row r="2" spans="1:5">
      <c r="A2" t="s">
        <v>173</v>
      </c>
      <c r="B2" t="s">
        <v>188</v>
      </c>
      <c r="D2" s="1"/>
    </row>
    <row r="3" spans="1:5" ht="16">
      <c r="A3">
        <v>1969</v>
      </c>
      <c r="C3" s="2"/>
      <c r="D3">
        <v>388</v>
      </c>
    </row>
    <row r="4" spans="1:5">
      <c r="A4">
        <v>1970</v>
      </c>
      <c r="D4">
        <v>318</v>
      </c>
    </row>
    <row r="5" spans="1:5">
      <c r="A5">
        <v>1971</v>
      </c>
      <c r="D5">
        <v>496</v>
      </c>
    </row>
    <row r="6" spans="1:5">
      <c r="A6">
        <v>1972</v>
      </c>
      <c r="D6">
        <v>371</v>
      </c>
    </row>
    <row r="7" spans="1:5">
      <c r="A7">
        <v>1973</v>
      </c>
      <c r="D7">
        <v>384</v>
      </c>
    </row>
    <row r="8" spans="1:5">
      <c r="A8">
        <v>1974</v>
      </c>
      <c r="D8">
        <v>436</v>
      </c>
    </row>
    <row r="9" spans="1:5">
      <c r="A9">
        <v>1975</v>
      </c>
      <c r="D9">
        <v>411</v>
      </c>
    </row>
    <row r="10" spans="1:5">
      <c r="A10">
        <v>1976</v>
      </c>
      <c r="D10">
        <v>339</v>
      </c>
    </row>
    <row r="11" spans="1:5">
      <c r="A11">
        <v>1977</v>
      </c>
      <c r="D11">
        <v>409</v>
      </c>
    </row>
    <row r="12" spans="1:5">
      <c r="A12">
        <v>1978</v>
      </c>
      <c r="D12">
        <v>362</v>
      </c>
    </row>
    <row r="13" spans="1:5">
      <c r="A13">
        <v>1979</v>
      </c>
      <c r="D13">
        <v>476</v>
      </c>
    </row>
    <row r="14" spans="1:5">
      <c r="A14">
        <v>1980</v>
      </c>
      <c r="D14">
        <v>544</v>
      </c>
    </row>
    <row r="15" spans="1:5">
      <c r="A15">
        <v>1981</v>
      </c>
      <c r="D15">
        <v>403</v>
      </c>
    </row>
    <row r="16" spans="1:5">
      <c r="A16">
        <v>1982</v>
      </c>
      <c r="D16">
        <v>284</v>
      </c>
    </row>
    <row r="17" spans="1:4">
      <c r="A17">
        <v>1983</v>
      </c>
      <c r="D17">
        <v>313</v>
      </c>
    </row>
    <row r="18" spans="1:4">
      <c r="A18">
        <v>1984</v>
      </c>
      <c r="D18">
        <v>315</v>
      </c>
    </row>
    <row r="19" spans="1:4">
      <c r="A19">
        <v>1985</v>
      </c>
      <c r="D19">
        <v>315</v>
      </c>
    </row>
    <row r="20" spans="1:4">
      <c r="A20">
        <v>1986</v>
      </c>
      <c r="D20">
        <v>215</v>
      </c>
    </row>
    <row r="21" spans="1:4">
      <c r="A21">
        <v>1987</v>
      </c>
      <c r="D21">
        <v>275</v>
      </c>
    </row>
    <row r="22" spans="1:4">
      <c r="A22">
        <v>1988</v>
      </c>
      <c r="D22">
        <v>292</v>
      </c>
    </row>
    <row r="23" spans="1:4">
      <c r="A23">
        <v>1989</v>
      </c>
      <c r="D23">
        <v>395</v>
      </c>
    </row>
    <row r="24" spans="1:4">
      <c r="A24">
        <v>1990</v>
      </c>
      <c r="D24">
        <v>396</v>
      </c>
    </row>
    <row r="25" spans="1:4">
      <c r="A25">
        <v>1991</v>
      </c>
      <c r="D25">
        <v>477</v>
      </c>
    </row>
    <row r="26" spans="1:4">
      <c r="A26">
        <v>1992</v>
      </c>
      <c r="D26">
        <v>399</v>
      </c>
    </row>
    <row r="27" spans="1:4">
      <c r="A27">
        <v>1993</v>
      </c>
      <c r="D27">
        <v>292</v>
      </c>
    </row>
    <row r="28" spans="1:4">
      <c r="A28">
        <v>1994</v>
      </c>
      <c r="D28">
        <v>333</v>
      </c>
    </row>
    <row r="29" spans="1:4">
      <c r="A29">
        <v>1995</v>
      </c>
      <c r="D29">
        <v>361</v>
      </c>
    </row>
    <row r="30" spans="1:4">
      <c r="A30">
        <v>1996</v>
      </c>
      <c r="D30">
        <v>436</v>
      </c>
    </row>
    <row r="31" spans="1:4">
      <c r="A31">
        <v>1997</v>
      </c>
      <c r="D31">
        <v>562</v>
      </c>
    </row>
    <row r="32" spans="1:4">
      <c r="A32">
        <v>1998</v>
      </c>
      <c r="D32">
        <v>779</v>
      </c>
    </row>
    <row r="33" spans="1:4">
      <c r="A33">
        <v>1999</v>
      </c>
      <c r="D33">
        <v>656</v>
      </c>
    </row>
    <row r="34" spans="1:4">
      <c r="A34">
        <v>2000</v>
      </c>
      <c r="D34">
        <v>1070</v>
      </c>
    </row>
    <row r="35" spans="1:4">
      <c r="A35">
        <v>2001</v>
      </c>
      <c r="D35">
        <v>1180</v>
      </c>
    </row>
    <row r="36" spans="1:4">
      <c r="A36">
        <v>2002</v>
      </c>
      <c r="D36">
        <v>1340</v>
      </c>
    </row>
    <row r="37" spans="1:4">
      <c r="A37">
        <v>2003</v>
      </c>
      <c r="D37">
        <v>1390</v>
      </c>
    </row>
    <row r="38" spans="1:4">
      <c r="A38">
        <v>2004</v>
      </c>
      <c r="D38">
        <v>1430</v>
      </c>
    </row>
    <row r="39" spans="1:4">
      <c r="A39">
        <v>2005</v>
      </c>
      <c r="D39">
        <v>1380</v>
      </c>
    </row>
    <row r="40" spans="1:4">
      <c r="A40">
        <v>2006</v>
      </c>
      <c r="D40">
        <v>859</v>
      </c>
    </row>
    <row r="41" spans="1:4">
      <c r="A41">
        <v>2007</v>
      </c>
      <c r="D41">
        <v>1060</v>
      </c>
    </row>
    <row r="42" spans="1:4">
      <c r="A42">
        <v>2008</v>
      </c>
      <c r="D42">
        <v>1500</v>
      </c>
    </row>
    <row r="43" spans="1:4">
      <c r="A43">
        <v>2009</v>
      </c>
      <c r="D43">
        <v>956</v>
      </c>
    </row>
    <row r="44" spans="1:4">
      <c r="A44">
        <v>2010</v>
      </c>
      <c r="D44">
        <v>922</v>
      </c>
    </row>
    <row r="45" spans="1:4">
      <c r="A45">
        <v>2011</v>
      </c>
      <c r="D45">
        <v>1000</v>
      </c>
    </row>
    <row r="46" spans="1:4">
      <c r="A46">
        <v>2012</v>
      </c>
      <c r="D46">
        <v>1100</v>
      </c>
    </row>
    <row r="47" spans="1:4">
      <c r="A47">
        <v>2013</v>
      </c>
      <c r="D47">
        <v>1300</v>
      </c>
    </row>
    <row r="48" spans="1:4">
      <c r="A48">
        <v>2014</v>
      </c>
      <c r="D48">
        <v>1610</v>
      </c>
    </row>
    <row r="49" spans="1:4">
      <c r="A49">
        <v>2015</v>
      </c>
      <c r="D49">
        <v>1660</v>
      </c>
    </row>
    <row r="50" spans="1:4">
      <c r="A50">
        <v>2016</v>
      </c>
      <c r="D50">
        <v>1680</v>
      </c>
    </row>
    <row r="51" spans="1:4">
      <c r="A51">
        <v>2017</v>
      </c>
      <c r="D51">
        <v>1910</v>
      </c>
    </row>
    <row r="52" spans="1:4">
      <c r="A52">
        <v>2018</v>
      </c>
      <c r="D52">
        <v>2020</v>
      </c>
    </row>
    <row r="53" spans="1:4">
      <c r="A53">
        <v>2019</v>
      </c>
      <c r="D53">
        <v>1850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BBC54-9A6A-4436-A684-DF848EF748EA}">
  <dimension ref="A1:E71"/>
  <sheetViews>
    <sheetView topLeftCell="A31" workbookViewId="0">
      <selection activeCell="E71" sqref="D71:E71"/>
    </sheetView>
  </sheetViews>
  <sheetFormatPr baseColWidth="10" defaultColWidth="8.83203125" defaultRowHeight="15"/>
  <sheetData>
    <row r="1" spans="1:5">
      <c r="B1" t="s">
        <v>176</v>
      </c>
      <c r="C1" t="s">
        <v>180</v>
      </c>
      <c r="D1" t="s">
        <v>181</v>
      </c>
      <c r="E1" t="s">
        <v>187</v>
      </c>
    </row>
    <row r="2" spans="1:5">
      <c r="A2" t="s">
        <v>173</v>
      </c>
      <c r="B2" t="s">
        <v>309</v>
      </c>
      <c r="D2" t="s">
        <v>312</v>
      </c>
      <c r="E2" t="s">
        <v>308</v>
      </c>
    </row>
    <row r="3" spans="1:5">
      <c r="A3">
        <v>1951</v>
      </c>
      <c r="D3" s="34">
        <v>2385.7328498409602</v>
      </c>
    </row>
    <row r="4" spans="1:5">
      <c r="A4">
        <v>1952</v>
      </c>
      <c r="D4" s="34">
        <v>2491.7023564716101</v>
      </c>
    </row>
    <row r="5" spans="1:5">
      <c r="A5">
        <v>1953</v>
      </c>
      <c r="D5" s="34">
        <v>2565.8650655053102</v>
      </c>
    </row>
    <row r="6" spans="1:5">
      <c r="A6">
        <v>1954</v>
      </c>
      <c r="D6" s="34">
        <v>2586.99455908245</v>
      </c>
    </row>
    <row r="7" spans="1:5">
      <c r="A7">
        <v>1955</v>
      </c>
      <c r="D7" s="34">
        <v>2639.9402300258098</v>
      </c>
    </row>
    <row r="8" spans="1:5">
      <c r="A8">
        <v>1956</v>
      </c>
      <c r="D8" s="34">
        <v>2926.20140839841</v>
      </c>
    </row>
    <row r="9" spans="1:5">
      <c r="A9">
        <v>1957</v>
      </c>
      <c r="D9" s="34">
        <v>3212.4719665402799</v>
      </c>
    </row>
    <row r="10" spans="1:5">
      <c r="A10">
        <v>1958</v>
      </c>
      <c r="D10" s="34">
        <v>3286.6284223944599</v>
      </c>
    </row>
    <row r="11" spans="1:5">
      <c r="A11">
        <v>1959</v>
      </c>
      <c r="D11" s="34">
        <v>3191.10172555186</v>
      </c>
    </row>
    <row r="12" spans="1:5">
      <c r="A12">
        <v>1960</v>
      </c>
      <c r="B12">
        <v>5790.4642289348103</v>
      </c>
      <c r="D12" s="34">
        <v>3445.5498531479898</v>
      </c>
    </row>
    <row r="13" spans="1:5">
      <c r="A13">
        <v>1961</v>
      </c>
      <c r="B13">
        <v>6290.0635930047702</v>
      </c>
      <c r="D13" s="34">
        <v>3924</v>
      </c>
    </row>
    <row r="14" spans="1:5">
      <c r="A14">
        <v>1962</v>
      </c>
      <c r="B14">
        <v>6288.0635930047702</v>
      </c>
      <c r="D14" s="34">
        <v>4081</v>
      </c>
    </row>
    <row r="15" spans="1:5">
      <c r="A15">
        <v>1963</v>
      </c>
      <c r="B15">
        <v>6711.4467408585006</v>
      </c>
      <c r="D15" s="34">
        <v>4216</v>
      </c>
    </row>
    <row r="16" spans="1:5">
      <c r="A16">
        <v>1964</v>
      </c>
      <c r="B16">
        <v>7820.1192368839402</v>
      </c>
      <c r="D16" s="34">
        <v>4286</v>
      </c>
    </row>
    <row r="17" spans="1:4">
      <c r="A17">
        <v>1965</v>
      </c>
      <c r="B17">
        <v>8056.2750397456202</v>
      </c>
      <c r="D17" s="34">
        <v>4443</v>
      </c>
    </row>
    <row r="18" spans="1:4">
      <c r="A18">
        <v>1966</v>
      </c>
      <c r="B18">
        <v>8320.9936406995203</v>
      </c>
      <c r="D18" s="34">
        <v>4769</v>
      </c>
    </row>
    <row r="19" spans="1:4">
      <c r="A19">
        <v>1967</v>
      </c>
      <c r="B19">
        <v>7994.6820349761501</v>
      </c>
      <c r="D19" s="34">
        <v>4987</v>
      </c>
    </row>
    <row r="20" spans="1:4">
      <c r="A20">
        <v>1968</v>
      </c>
      <c r="B20">
        <v>8462.5866454689894</v>
      </c>
      <c r="D20" s="34">
        <v>4743</v>
      </c>
    </row>
    <row r="21" spans="1:4">
      <c r="A21">
        <v>1969</v>
      </c>
      <c r="B21">
        <v>9286.4435612082598</v>
      </c>
      <c r="D21" s="34">
        <v>5010</v>
      </c>
    </row>
    <row r="22" spans="1:4">
      <c r="A22">
        <v>1970</v>
      </c>
      <c r="B22">
        <v>9275.1017488076304</v>
      </c>
      <c r="D22" s="34">
        <v>5682</v>
      </c>
    </row>
    <row r="23" spans="1:4">
      <c r="A23">
        <v>1971</v>
      </c>
      <c r="B23">
        <v>9350.0540540540496</v>
      </c>
      <c r="D23" s="34">
        <v>5900</v>
      </c>
    </row>
    <row r="24" spans="1:4">
      <c r="A24">
        <v>1972</v>
      </c>
      <c r="B24">
        <v>10085.084260731321</v>
      </c>
      <c r="D24" s="34">
        <v>5941</v>
      </c>
    </row>
    <row r="25" spans="1:4">
      <c r="A25">
        <v>1973</v>
      </c>
      <c r="B25">
        <v>11162.89348171701</v>
      </c>
      <c r="D25" s="34">
        <v>6541</v>
      </c>
    </row>
    <row r="26" spans="1:4">
      <c r="A26">
        <v>1974</v>
      </c>
      <c r="B26">
        <v>10545.29411764705</v>
      </c>
      <c r="D26" s="34">
        <v>6915</v>
      </c>
    </row>
    <row r="27" spans="1:4">
      <c r="A27">
        <v>1975</v>
      </c>
      <c r="B27">
        <v>9241.5023847376706</v>
      </c>
      <c r="D27" s="34">
        <v>7097</v>
      </c>
    </row>
    <row r="28" spans="1:4">
      <c r="A28">
        <v>1976</v>
      </c>
      <c r="B28">
        <v>10602.593004769471</v>
      </c>
      <c r="D28" s="34">
        <v>6735</v>
      </c>
    </row>
    <row r="29" spans="1:4">
      <c r="A29">
        <v>1977</v>
      </c>
      <c r="B29">
        <v>11082.437201907789</v>
      </c>
      <c r="D29" s="34">
        <v>7289</v>
      </c>
    </row>
    <row r="30" spans="1:4">
      <c r="A30">
        <v>1978</v>
      </c>
      <c r="B30">
        <v>11727.31796502384</v>
      </c>
      <c r="D30" s="34">
        <v>7444</v>
      </c>
    </row>
    <row r="31" spans="1:4">
      <c r="A31">
        <v>1979</v>
      </c>
      <c r="B31">
        <v>12375.82193958664</v>
      </c>
      <c r="D31" s="34">
        <v>7306</v>
      </c>
    </row>
    <row r="32" spans="1:4">
      <c r="A32">
        <v>1980</v>
      </c>
      <c r="B32">
        <v>11981.05564387917</v>
      </c>
      <c r="D32" s="34">
        <v>7371</v>
      </c>
    </row>
    <row r="33" spans="1:4">
      <c r="A33">
        <v>1981</v>
      </c>
      <c r="B33">
        <v>12119.774244833061</v>
      </c>
      <c r="D33" s="34">
        <v>7227</v>
      </c>
    </row>
    <row r="34" spans="1:4">
      <c r="A34">
        <v>1982</v>
      </c>
      <c r="B34">
        <v>11439.761526232111</v>
      </c>
      <c r="D34" s="34">
        <v>7721</v>
      </c>
    </row>
    <row r="35" spans="1:4">
      <c r="A35">
        <v>1983</v>
      </c>
      <c r="B35">
        <v>11882.01907790143</v>
      </c>
      <c r="D35" s="34">
        <v>7745</v>
      </c>
    </row>
    <row r="36" spans="1:4">
      <c r="A36">
        <v>1984</v>
      </c>
      <c r="B36">
        <v>12559.5707472178</v>
      </c>
      <c r="D36" s="34">
        <v>7824</v>
      </c>
    </row>
    <row r="37" spans="1:4">
      <c r="A37">
        <v>1985</v>
      </c>
      <c r="B37">
        <v>12456.18759936407</v>
      </c>
      <c r="D37" s="34">
        <v>8135</v>
      </c>
    </row>
    <row r="38" spans="1:4">
      <c r="A38">
        <v>1986</v>
      </c>
      <c r="B38">
        <v>12852.85850556438</v>
      </c>
      <c r="D38" s="34">
        <v>8288</v>
      </c>
    </row>
    <row r="39" spans="1:4">
      <c r="A39">
        <v>1987</v>
      </c>
      <c r="B39">
        <v>13189.661367249601</v>
      </c>
      <c r="D39" s="34">
        <v>8295</v>
      </c>
    </row>
    <row r="40" spans="1:4">
      <c r="A40">
        <v>1988</v>
      </c>
      <c r="B40">
        <v>13615.535771065181</v>
      </c>
      <c r="D40" s="34">
        <v>8620</v>
      </c>
    </row>
    <row r="41" spans="1:4">
      <c r="A41">
        <v>1989</v>
      </c>
      <c r="B41">
        <v>13939.50556438791</v>
      </c>
      <c r="D41" s="34">
        <v>8773</v>
      </c>
    </row>
    <row r="42" spans="1:4">
      <c r="A42">
        <v>1990</v>
      </c>
      <c r="B42">
        <v>13874.871224165341</v>
      </c>
      <c r="D42" s="34">
        <v>9086</v>
      </c>
    </row>
    <row r="43" spans="1:4">
      <c r="A43">
        <v>1991</v>
      </c>
      <c r="B43">
        <v>13570.94912559618</v>
      </c>
      <c r="D43" s="34">
        <v>9227</v>
      </c>
    </row>
    <row r="44" spans="1:4">
      <c r="A44">
        <v>1992</v>
      </c>
      <c r="B44">
        <v>14074.267090620029</v>
      </c>
      <c r="D44" s="34">
        <v>9373</v>
      </c>
    </row>
    <row r="45" spans="1:4">
      <c r="A45">
        <v>1993</v>
      </c>
      <c r="B45">
        <v>14152.57233704292</v>
      </c>
      <c r="D45" s="34">
        <v>9497</v>
      </c>
    </row>
    <row r="46" spans="1:4">
      <c r="A46">
        <v>1994</v>
      </c>
      <c r="B46">
        <v>15025.818759936399</v>
      </c>
      <c r="D46" s="34">
        <v>9571</v>
      </c>
    </row>
    <row r="47" spans="1:4">
      <c r="A47">
        <v>1995</v>
      </c>
      <c r="B47">
        <v>15524.717011128771</v>
      </c>
      <c r="D47" s="34">
        <v>9539</v>
      </c>
    </row>
    <row r="48" spans="1:4">
      <c r="A48">
        <v>1996</v>
      </c>
      <c r="B48">
        <v>16298.220985691571</v>
      </c>
      <c r="D48" s="34">
        <v>10070</v>
      </c>
    </row>
    <row r="49" spans="1:5">
      <c r="A49">
        <v>1997</v>
      </c>
      <c r="B49">
        <v>17228.263910969792</v>
      </c>
      <c r="D49" s="34">
        <v>11084</v>
      </c>
    </row>
    <row r="50" spans="1:5">
      <c r="A50">
        <v>1998</v>
      </c>
      <c r="B50">
        <v>17875.612082670901</v>
      </c>
      <c r="D50" s="34">
        <v>11514</v>
      </c>
    </row>
    <row r="51" spans="1:5">
      <c r="A51">
        <v>1999</v>
      </c>
      <c r="B51">
        <v>19129.20031796502</v>
      </c>
      <c r="D51" s="34">
        <v>12228</v>
      </c>
    </row>
    <row r="52" spans="1:5">
      <c r="A52">
        <v>2000</v>
      </c>
      <c r="B52">
        <v>20776</v>
      </c>
      <c r="D52" s="34">
        <v>12767</v>
      </c>
    </row>
    <row r="53" spans="1:5">
      <c r="A53">
        <v>2001</v>
      </c>
      <c r="B53">
        <v>20067</v>
      </c>
      <c r="D53" s="34">
        <v>13199</v>
      </c>
      <c r="E53">
        <v>6952.0186409456373</v>
      </c>
    </row>
    <row r="54" spans="1:5">
      <c r="A54">
        <v>2002</v>
      </c>
      <c r="B54">
        <v>20292</v>
      </c>
      <c r="D54" s="34">
        <v>13636</v>
      </c>
      <c r="E54">
        <v>7029.967721237299</v>
      </c>
    </row>
    <row r="55" spans="1:5">
      <c r="A55">
        <v>2003</v>
      </c>
      <c r="B55">
        <v>20703</v>
      </c>
      <c r="D55" s="34">
        <v>13487</v>
      </c>
      <c r="E55">
        <v>6858.9913693972994</v>
      </c>
    </row>
    <row r="56" spans="1:5">
      <c r="A56">
        <v>2004</v>
      </c>
      <c r="B56">
        <v>22137</v>
      </c>
      <c r="D56" s="34">
        <v>13699</v>
      </c>
      <c r="E56">
        <v>7475.7839077943008</v>
      </c>
    </row>
    <row r="57" spans="1:5">
      <c r="A57">
        <v>2005</v>
      </c>
      <c r="B57">
        <v>21872</v>
      </c>
      <c r="D57" s="34">
        <v>14594</v>
      </c>
      <c r="E57">
        <v>7475.9243112857002</v>
      </c>
    </row>
    <row r="58" spans="1:5">
      <c r="A58">
        <v>2006</v>
      </c>
      <c r="B58">
        <v>22009</v>
      </c>
      <c r="D58" s="34">
        <v>14927</v>
      </c>
      <c r="E58">
        <v>8402.4118511779016</v>
      </c>
    </row>
    <row r="59" spans="1:5">
      <c r="A59">
        <v>2007</v>
      </c>
      <c r="B59">
        <v>23753</v>
      </c>
      <c r="D59" s="34">
        <v>14983</v>
      </c>
      <c r="E59">
        <v>8504.8712991395023</v>
      </c>
    </row>
    <row r="60" spans="1:5">
      <c r="A60">
        <v>2008</v>
      </c>
      <c r="B60">
        <v>23145</v>
      </c>
      <c r="D60" s="34">
        <v>15508</v>
      </c>
      <c r="E60">
        <v>8230.7334818801992</v>
      </c>
    </row>
    <row r="61" spans="1:5">
      <c r="A61">
        <v>2009</v>
      </c>
      <c r="B61">
        <v>23145</v>
      </c>
      <c r="D61" s="34">
        <v>15537</v>
      </c>
      <c r="E61">
        <v>7235.8694416013004</v>
      </c>
    </row>
    <row r="62" spans="1:5">
      <c r="A62">
        <v>2010</v>
      </c>
      <c r="B62">
        <v>24194.52173168564</v>
      </c>
      <c r="D62" s="34">
        <v>15945</v>
      </c>
      <c r="E62">
        <v>8354.0918708251647</v>
      </c>
    </row>
    <row r="63" spans="1:5">
      <c r="A63">
        <v>2011</v>
      </c>
      <c r="B63">
        <v>25089.29089953471</v>
      </c>
      <c r="D63" s="34">
        <v>15990</v>
      </c>
      <c r="E63">
        <v>9046.3264891723593</v>
      </c>
    </row>
    <row r="64" spans="1:5">
      <c r="A64">
        <v>2012</v>
      </c>
      <c r="B64">
        <v>25297.975557049198</v>
      </c>
      <c r="D64" s="34">
        <v>15965</v>
      </c>
      <c r="E64">
        <v>9043.9376022742108</v>
      </c>
    </row>
    <row r="65" spans="1:5">
      <c r="A65">
        <v>2013</v>
      </c>
      <c r="B65">
        <v>26259.767623756532</v>
      </c>
      <c r="D65" s="34">
        <v>16692</v>
      </c>
      <c r="E65">
        <v>9252.9652058623305</v>
      </c>
    </row>
    <row r="66" spans="1:5">
      <c r="A66">
        <v>2014</v>
      </c>
      <c r="B66">
        <v>27894.831923939641</v>
      </c>
      <c r="D66" s="34">
        <v>18190</v>
      </c>
      <c r="E66">
        <v>9652.3273730605197</v>
      </c>
    </row>
    <row r="67" spans="1:5">
      <c r="A67">
        <v>2015</v>
      </c>
      <c r="B67">
        <v>27978.19375439177</v>
      </c>
      <c r="D67" s="34">
        <v>18426</v>
      </c>
      <c r="E67">
        <v>9480.77543268714</v>
      </c>
    </row>
    <row r="68" spans="1:5">
      <c r="A68">
        <v>2016</v>
      </c>
      <c r="B68">
        <v>28520.721798863349</v>
      </c>
      <c r="D68" s="34">
        <v>19149</v>
      </c>
      <c r="E68">
        <v>9415.0511819017902</v>
      </c>
    </row>
    <row r="69" spans="1:5">
      <c r="A69">
        <v>2017</v>
      </c>
      <c r="B69">
        <v>29751.152073732701</v>
      </c>
      <c r="D69" s="34">
        <v>20357</v>
      </c>
      <c r="E69">
        <v>9983.9347356099406</v>
      </c>
    </row>
    <row r="70" spans="1:5">
      <c r="A70">
        <v>2018</v>
      </c>
      <c r="B70">
        <v>30709.677419354801</v>
      </c>
      <c r="D70" s="34">
        <v>20038</v>
      </c>
      <c r="E70">
        <v>9980.2319609177994</v>
      </c>
    </row>
    <row r="71" spans="1:5">
      <c r="A71">
        <v>2019</v>
      </c>
      <c r="B71">
        <v>30046.0829493087</v>
      </c>
      <c r="D71">
        <v>20539</v>
      </c>
      <c r="E71">
        <v>9619.4503171247306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10BC-6699-4D7F-A1BA-2D5B6A269B1B}">
  <dimension ref="A1:E28"/>
  <sheetViews>
    <sheetView workbookViewId="0">
      <selection activeCell="E28" sqref="A1:E28"/>
    </sheetView>
  </sheetViews>
  <sheetFormatPr baseColWidth="10" defaultColWidth="8.83203125" defaultRowHeight="15"/>
  <sheetData>
    <row r="1" spans="1:5">
      <c r="B1" t="s">
        <v>176</v>
      </c>
      <c r="C1" t="s">
        <v>180</v>
      </c>
      <c r="D1" t="s">
        <v>181</v>
      </c>
      <c r="E1" t="s">
        <v>187</v>
      </c>
    </row>
    <row r="2" spans="1:5">
      <c r="A2" t="s">
        <v>173</v>
      </c>
      <c r="B2" s="1" t="s">
        <v>310</v>
      </c>
      <c r="D2" s="1" t="s">
        <v>348</v>
      </c>
      <c r="E2" s="1" t="s">
        <v>310</v>
      </c>
    </row>
    <row r="3" spans="1:5" ht="16">
      <c r="A3">
        <v>1995</v>
      </c>
      <c r="B3">
        <v>1469.917875310188</v>
      </c>
      <c r="C3" s="2"/>
      <c r="D3">
        <v>1022.922</v>
      </c>
      <c r="E3">
        <v>461.47509857472789</v>
      </c>
    </row>
    <row r="4" spans="1:5">
      <c r="A4">
        <v>1996</v>
      </c>
      <c r="B4">
        <v>1432.5767347969486</v>
      </c>
      <c r="D4">
        <v>1061.732</v>
      </c>
      <c r="E4">
        <v>461.65741021908769</v>
      </c>
    </row>
    <row r="5" spans="1:5">
      <c r="A5">
        <v>1997</v>
      </c>
      <c r="B5">
        <v>1558.8604356972196</v>
      </c>
      <c r="D5">
        <v>1096.1959999999999</v>
      </c>
      <c r="E5">
        <v>508.20377528446966</v>
      </c>
    </row>
    <row r="6" spans="1:5">
      <c r="A6">
        <v>1998</v>
      </c>
      <c r="B6">
        <v>1566.6470888700878</v>
      </c>
      <c r="D6">
        <v>1130.6079999999999</v>
      </c>
      <c r="E6">
        <v>530.06172301643778</v>
      </c>
    </row>
    <row r="7" spans="1:5">
      <c r="A7">
        <v>1999</v>
      </c>
      <c r="B7">
        <v>1635.0227035488601</v>
      </c>
      <c r="D7">
        <v>1104.134</v>
      </c>
      <c r="E7">
        <v>523.39043338001011</v>
      </c>
    </row>
    <row r="8" spans="1:5">
      <c r="A8">
        <v>2000</v>
      </c>
      <c r="B8">
        <v>1661.7302002671909</v>
      </c>
      <c r="D8">
        <v>1226.5060000000001</v>
      </c>
      <c r="E8">
        <v>507.88404642104092</v>
      </c>
    </row>
    <row r="9" spans="1:5">
      <c r="A9">
        <v>2001</v>
      </c>
      <c r="B9">
        <v>1646.5508055892237</v>
      </c>
      <c r="D9">
        <v>1280.5909999999999</v>
      </c>
      <c r="E9">
        <v>506.77594630217362</v>
      </c>
    </row>
    <row r="10" spans="1:5">
      <c r="A10">
        <v>2002</v>
      </c>
      <c r="B10">
        <v>1828.5151622065189</v>
      </c>
      <c r="D10">
        <v>1291.55</v>
      </c>
      <c r="E10">
        <v>623.07426164366882</v>
      </c>
    </row>
    <row r="11" spans="1:5">
      <c r="A11">
        <v>2003</v>
      </c>
      <c r="B11">
        <v>1852.2122080473666</v>
      </c>
      <c r="D11">
        <v>1320.856</v>
      </c>
      <c r="E11">
        <v>599.86699228751672</v>
      </c>
    </row>
    <row r="12" spans="1:5">
      <c r="A12">
        <v>2004</v>
      </c>
      <c r="B12">
        <v>1918.1720841064041</v>
      </c>
      <c r="D12">
        <v>1389.83</v>
      </c>
      <c r="E12">
        <v>637.68427922835428</v>
      </c>
    </row>
    <row r="13" spans="1:5">
      <c r="A13">
        <v>2005</v>
      </c>
      <c r="B13">
        <v>1807.1371119820149</v>
      </c>
      <c r="D13">
        <v>1432.046</v>
      </c>
      <c r="E13">
        <v>526.64930710397505</v>
      </c>
    </row>
    <row r="14" spans="1:5">
      <c r="A14">
        <v>2006</v>
      </c>
      <c r="B14">
        <v>2007.3552125204042</v>
      </c>
      <c r="D14">
        <v>1562.2090000000001</v>
      </c>
      <c r="E14">
        <v>572.08316749226424</v>
      </c>
    </row>
    <row r="15" spans="1:5">
      <c r="A15">
        <v>2007</v>
      </c>
      <c r="B15">
        <v>1863.4250041489902</v>
      </c>
      <c r="D15">
        <v>1584.009</v>
      </c>
      <c r="E15">
        <v>512.58072647544986</v>
      </c>
    </row>
    <row r="16" spans="1:5">
      <c r="A16">
        <v>2008</v>
      </c>
      <c r="B16">
        <v>1854.4805365204747</v>
      </c>
      <c r="D16">
        <v>1551.0530000000001</v>
      </c>
      <c r="E16">
        <v>536.46927948483471</v>
      </c>
    </row>
    <row r="17" spans="1:5">
      <c r="A17">
        <v>2009</v>
      </c>
      <c r="B17">
        <v>1773.6215012491273</v>
      </c>
      <c r="D17">
        <v>1351.752</v>
      </c>
      <c r="E17">
        <v>502.5145594104772</v>
      </c>
    </row>
    <row r="18" spans="1:5">
      <c r="A18">
        <v>2010</v>
      </c>
      <c r="B18">
        <v>2070.5609888925214</v>
      </c>
      <c r="D18">
        <v>1605.13</v>
      </c>
      <c r="E18">
        <v>574.31333410828154</v>
      </c>
    </row>
    <row r="19" spans="1:5">
      <c r="A19">
        <v>2011</v>
      </c>
      <c r="B19">
        <v>2253.2043546584018</v>
      </c>
      <c r="D19">
        <v>2129.2730000000001</v>
      </c>
      <c r="E19">
        <v>611.5533227634719</v>
      </c>
    </row>
    <row r="20" spans="1:5">
      <c r="A20">
        <v>2012</v>
      </c>
      <c r="B20">
        <v>2317.9463444890989</v>
      </c>
      <c r="D20">
        <v>2709.4760000000001</v>
      </c>
      <c r="E20">
        <v>615.31970283806891</v>
      </c>
    </row>
    <row r="21" spans="1:5">
      <c r="A21">
        <v>2013</v>
      </c>
      <c r="B21">
        <v>2457.656878677687</v>
      </c>
      <c r="D21">
        <v>3090.2919999999999</v>
      </c>
      <c r="E21">
        <v>637.76944903416688</v>
      </c>
    </row>
    <row r="22" spans="1:5">
      <c r="A22">
        <v>2014</v>
      </c>
      <c r="B22">
        <v>2551.1525244544005</v>
      </c>
      <c r="D22">
        <v>2074.3649999999998</v>
      </c>
      <c r="E22">
        <v>646.83732745628015</v>
      </c>
    </row>
    <row r="23" spans="1:5">
      <c r="A23">
        <v>2015</v>
      </c>
      <c r="B23">
        <v>2543.4257897672492</v>
      </c>
      <c r="D23">
        <v>2163.6880000000001</v>
      </c>
      <c r="E23">
        <v>629.729729729729</v>
      </c>
    </row>
    <row r="24" spans="1:5">
      <c r="A24">
        <v>2016</v>
      </c>
      <c r="B24">
        <v>2727.9397596470685</v>
      </c>
      <c r="D24">
        <v>1993.057</v>
      </c>
      <c r="E24">
        <v>659.45945945945903</v>
      </c>
    </row>
    <row r="25" spans="1:5">
      <c r="A25">
        <v>2017</v>
      </c>
      <c r="B25">
        <v>2940.1957304396319</v>
      </c>
      <c r="D25">
        <v>2136.8220000000001</v>
      </c>
      <c r="E25">
        <v>721.62162162162201</v>
      </c>
    </row>
    <row r="26" spans="1:5">
      <c r="A26">
        <v>2018</v>
      </c>
      <c r="B26">
        <v>3118.0315399827541</v>
      </c>
      <c r="D26">
        <v>2383.8649999999998</v>
      </c>
      <c r="E26">
        <v>754.05405405405395</v>
      </c>
    </row>
    <row r="27" spans="1:5">
      <c r="A27">
        <v>2019</v>
      </c>
      <c r="B27">
        <v>3226.8622280817385</v>
      </c>
      <c r="D27">
        <v>2673.57</v>
      </c>
      <c r="E27">
        <v>787.83783783783804</v>
      </c>
    </row>
    <row r="28" spans="1:5">
      <c r="A28">
        <v>2020</v>
      </c>
      <c r="B28">
        <v>3190.6115308554304</v>
      </c>
      <c r="D28">
        <v>2510.1309999999999</v>
      </c>
      <c r="E28">
        <v>779.72972972973002</v>
      </c>
    </row>
  </sheetData>
  <hyperlinks>
    <hyperlink ref="E2" r:id="rId1" display="https://insg.org/wp-content/uploads/2022/02/publist_The-World-Nickel-Factbook-2021.pdf" xr:uid="{6A9BA9A3-4A78-4B4E-BD43-8AA40E877029}"/>
    <hyperlink ref="B2" r:id="rId2" display="https://insg.org/wp-content/uploads/2022/02/publist_The-World-Nickel-Factbook-2021.pdf" xr:uid="{C0AE32C9-51D6-3144-A647-96668195AEB2}"/>
    <hyperlink ref="D2" r:id="rId3" xr:uid="{B8A1A0BD-AEBA-7B49-BDAE-EAAE6AD9188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Sheet1</vt:lpstr>
      <vt:lpstr>Al</vt:lpstr>
      <vt:lpstr>Steel</vt:lpstr>
      <vt:lpstr>Au</vt:lpstr>
      <vt:lpstr>W</vt:lpstr>
      <vt:lpstr>Sn</vt:lpstr>
      <vt:lpstr>Ta</vt:lpstr>
      <vt:lpstr>Cu</vt:lpstr>
      <vt:lpstr>Ni</vt:lpstr>
      <vt:lpstr>Ag</vt:lpstr>
      <vt:lpstr>Zn</vt:lpstr>
      <vt:lpstr>Pb</vt:lpstr>
      <vt:lpstr>Mo</vt:lpstr>
      <vt:lpstr>Pt</vt:lpstr>
      <vt:lpstr>Li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dc:creator>
  <cp:keywords/>
  <dc:description/>
  <cp:lastModifiedBy>Microsoft Office User</cp:lastModifiedBy>
  <dcterms:created xsi:type="dcterms:W3CDTF">2022-05-19T12:45:24Z</dcterms:created>
  <dcterms:modified xsi:type="dcterms:W3CDTF">2022-12-19T18:10:09Z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{DD56DDAD-DFDD-4F48-BE36-D710A84B9E80}</vt:lpwstr>
  </property>
  <property fmtid="{D5CDD505-2E9C-101B-9397-08002B2CF9AE}" pid="3" name="list_comm_prod" linkTarget="prop_list_comm_prod">
    <vt:lpwstr>#REF!</vt:lpwstr>
  </property>
</Properties>
</file>