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input_files/user_defined/"/>
    </mc:Choice>
  </mc:AlternateContent>
  <xr:revisionPtr revIDLastSave="0" documentId="13_ncr:1_{6E67A7A4-7283-804D-BD4F-C424175AAB54}" xr6:coauthVersionLast="47" xr6:coauthVersionMax="47" xr10:uidLastSave="{00000000-0000-0000-0000-000000000000}"/>
  <bookViews>
    <workbookView xWindow="0" yWindow="500" windowWidth="28800" windowHeight="1608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 name="Ore grade" sheetId="18" r:id="rId16"/>
  </sheets>
  <externalReferences>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13" l="1"/>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4" i="13"/>
  <c r="F33" i="17"/>
  <c r="F32" i="17"/>
  <c r="T48" i="17"/>
  <c r="T40" i="17"/>
  <c r="T42" i="17"/>
  <c r="T23" i="17"/>
  <c r="T22" i="17"/>
  <c r="AY18" i="17"/>
  <c r="AW32" i="17"/>
  <c r="AV32" i="17"/>
  <c r="AW27" i="17"/>
  <c r="AW28" i="17"/>
  <c r="AW29" i="17"/>
  <c r="AW30" i="17"/>
  <c r="AW31" i="17"/>
  <c r="T35" i="17"/>
  <c r="T6" i="17"/>
  <c r="AW12" i="17"/>
  <c r="AW16" i="17"/>
  <c r="AW14" i="17"/>
  <c r="AU27" i="17" s="1"/>
  <c r="AV12" i="17"/>
  <c r="AT31" i="17" s="1"/>
  <c r="AX12" i="17"/>
  <c r="AU12" i="17"/>
  <c r="AU13" i="17"/>
  <c r="AV13" i="17" s="1"/>
  <c r="AU14" i="17"/>
  <c r="AV14" i="17" s="1"/>
  <c r="AU15" i="17"/>
  <c r="AV15" i="17" s="1"/>
  <c r="AU16" i="17"/>
  <c r="AV16" i="17" s="1"/>
  <c r="AU17" i="17"/>
  <c r="AV17" i="17" s="1"/>
  <c r="T5" i="17"/>
  <c r="O4" i="8"/>
  <c r="P4" i="8" s="1"/>
  <c r="O5" i="8"/>
  <c r="P5" i="8"/>
  <c r="O6" i="8"/>
  <c r="P6" i="8" s="1"/>
  <c r="O7" i="8"/>
  <c r="P7" i="8" s="1"/>
  <c r="O8" i="8"/>
  <c r="P8" i="8" s="1"/>
  <c r="O9" i="8"/>
  <c r="P9" i="8"/>
  <c r="O10" i="8"/>
  <c r="P10" i="8" s="1"/>
  <c r="O11" i="8"/>
  <c r="P11" i="8"/>
  <c r="O12" i="8"/>
  <c r="P12" i="8" s="1"/>
  <c r="O13" i="8"/>
  <c r="P13" i="8"/>
  <c r="O14" i="8"/>
  <c r="P14" i="8" s="1"/>
  <c r="O15" i="8"/>
  <c r="P15" i="8"/>
  <c r="O16" i="8"/>
  <c r="P16" i="8" s="1"/>
  <c r="AG49" i="8"/>
  <c r="AG5" i="8"/>
  <c r="E43" i="8"/>
  <c r="E13" i="8"/>
  <c r="E21" i="8"/>
  <c r="E29" i="8"/>
  <c r="D16" i="8"/>
  <c r="D24" i="8"/>
  <c r="D25" i="8"/>
  <c r="D32" i="8"/>
  <c r="D4" i="8"/>
  <c r="AE27" i="8"/>
  <c r="AD20" i="8"/>
  <c r="E20" i="8" s="1"/>
  <c r="AD36" i="8"/>
  <c r="E36" i="8" s="1"/>
  <c r="AD46" i="8"/>
  <c r="AE46" i="8" s="1"/>
  <c r="AB4" i="8"/>
  <c r="Y5" i="8"/>
  <c r="AD5" i="8" s="1"/>
  <c r="Y6" i="8"/>
  <c r="AD6" i="8" s="1"/>
  <c r="Y7" i="8"/>
  <c r="AD7" i="8" s="1"/>
  <c r="E7" i="8" s="1"/>
  <c r="Y8" i="8"/>
  <c r="AD8" i="8" s="1"/>
  <c r="Y9" i="8"/>
  <c r="AD9" i="8" s="1"/>
  <c r="Y10" i="8"/>
  <c r="AD10" i="8" s="1"/>
  <c r="Y11" i="8"/>
  <c r="AD11" i="8" s="1"/>
  <c r="Y12" i="8"/>
  <c r="AD12" i="8" s="1"/>
  <c r="Y13" i="8"/>
  <c r="AD13" i="8" s="1"/>
  <c r="Y14" i="8"/>
  <c r="AD14" i="8" s="1"/>
  <c r="Y15" i="8"/>
  <c r="AD15" i="8" s="1"/>
  <c r="Y16" i="8"/>
  <c r="AD16" i="8" s="1"/>
  <c r="E16" i="8" s="1"/>
  <c r="Y17" i="8"/>
  <c r="AD17" i="8" s="1"/>
  <c r="Y18" i="8"/>
  <c r="AD18" i="8" s="1"/>
  <c r="Y19" i="8"/>
  <c r="AD19" i="8" s="1"/>
  <c r="Y20" i="8"/>
  <c r="Y21" i="8"/>
  <c r="AD21" i="8" s="1"/>
  <c r="Y22" i="8"/>
  <c r="AD22" i="8" s="1"/>
  <c r="Y23" i="8"/>
  <c r="AD23" i="8" s="1"/>
  <c r="E23" i="8" s="1"/>
  <c r="Y24" i="8"/>
  <c r="AD24" i="8" s="1"/>
  <c r="E24" i="8" s="1"/>
  <c r="Y25" i="8"/>
  <c r="AD25" i="8" s="1"/>
  <c r="Y26" i="8"/>
  <c r="AD26" i="8" s="1"/>
  <c r="Y27" i="8"/>
  <c r="AD27" i="8" s="1"/>
  <c r="Y28" i="8"/>
  <c r="AD28" i="8" s="1"/>
  <c r="Y29" i="8"/>
  <c r="AD29" i="8" s="1"/>
  <c r="Y30" i="8"/>
  <c r="AD30" i="8" s="1"/>
  <c r="Y31" i="8"/>
  <c r="AD31" i="8" s="1"/>
  <c r="Y32" i="8"/>
  <c r="AD32" i="8" s="1"/>
  <c r="E32" i="8" s="1"/>
  <c r="Y33" i="8"/>
  <c r="AD33" i="8" s="1"/>
  <c r="Y34" i="8"/>
  <c r="AD34" i="8" s="1"/>
  <c r="Y35" i="8"/>
  <c r="AD35" i="8" s="1"/>
  <c r="Y36" i="8"/>
  <c r="Y37" i="8"/>
  <c r="AD37" i="8" s="1"/>
  <c r="Y38" i="8"/>
  <c r="AD38" i="8" s="1"/>
  <c r="Y39" i="8"/>
  <c r="AD39" i="8" s="1"/>
  <c r="Y40" i="8"/>
  <c r="AD40" i="8" s="1"/>
  <c r="AE40" i="8" s="1"/>
  <c r="Y41" i="8"/>
  <c r="AD41" i="8" s="1"/>
  <c r="Y42" i="8"/>
  <c r="AD42" i="8" s="1"/>
  <c r="Y43" i="8"/>
  <c r="AD43" i="8" s="1"/>
  <c r="Y44" i="8"/>
  <c r="AD44" i="8" s="1"/>
  <c r="Y45" i="8"/>
  <c r="AD45" i="8" s="1"/>
  <c r="Y46" i="8"/>
  <c r="Y47" i="8"/>
  <c r="AD47" i="8" s="1"/>
  <c r="AE47" i="8" s="1"/>
  <c r="Y48" i="8"/>
  <c r="AD48" i="8" s="1"/>
  <c r="Y49" i="8"/>
  <c r="AD49" i="8" s="1"/>
  <c r="AH49" i="8" s="1"/>
  <c r="Y4" i="8"/>
  <c r="AD4" i="8" s="1"/>
  <c r="Z5" i="8"/>
  <c r="D5" i="8" s="1"/>
  <c r="AA5" i="8"/>
  <c r="AB5" i="8"/>
  <c r="Z6" i="8"/>
  <c r="AG6" i="8" s="1"/>
  <c r="AA6" i="8"/>
  <c r="AB6" i="8"/>
  <c r="Z7" i="8"/>
  <c r="AG8" i="8" s="1"/>
  <c r="AA7" i="8"/>
  <c r="AB7" i="8"/>
  <c r="Z8" i="8"/>
  <c r="D8" i="8" s="1"/>
  <c r="AA8" i="8"/>
  <c r="AB8" i="8"/>
  <c r="Z9" i="8"/>
  <c r="AG9" i="8" s="1"/>
  <c r="AA9" i="8"/>
  <c r="AB9" i="8"/>
  <c r="Z10" i="8"/>
  <c r="AG10" i="8" s="1"/>
  <c r="AA10" i="8"/>
  <c r="AB10" i="8"/>
  <c r="Z11" i="8"/>
  <c r="AA11" i="8"/>
  <c r="AB11" i="8"/>
  <c r="AE11" i="8" s="1"/>
  <c r="B11" i="8" s="1"/>
  <c r="Z12" i="8"/>
  <c r="AA12" i="8"/>
  <c r="AB12" i="8"/>
  <c r="Z13" i="8"/>
  <c r="AA13" i="8"/>
  <c r="AB13" i="8"/>
  <c r="Z14" i="8"/>
  <c r="AG14" i="8" s="1"/>
  <c r="AA14" i="8"/>
  <c r="AB14" i="8"/>
  <c r="Z15" i="8"/>
  <c r="AG16" i="8" s="1"/>
  <c r="AA15" i="8"/>
  <c r="AB15" i="8"/>
  <c r="Z16" i="8"/>
  <c r="AA16" i="8"/>
  <c r="AB16" i="8"/>
  <c r="Z17" i="8"/>
  <c r="AG17" i="8" s="1"/>
  <c r="AA17" i="8"/>
  <c r="AB17" i="8"/>
  <c r="Z18" i="8"/>
  <c r="D18" i="8" s="1"/>
  <c r="AA18" i="8"/>
  <c r="AB18" i="8"/>
  <c r="Z19" i="8"/>
  <c r="AA19" i="8"/>
  <c r="AB19" i="8"/>
  <c r="AE19" i="8" s="1"/>
  <c r="B19" i="8" s="1"/>
  <c r="Z20" i="8"/>
  <c r="AG20" i="8" s="1"/>
  <c r="AA20" i="8"/>
  <c r="AB20" i="8"/>
  <c r="AE20" i="8" s="1"/>
  <c r="Z21" i="8"/>
  <c r="AA21" i="8"/>
  <c r="AB21" i="8"/>
  <c r="Z22" i="8"/>
  <c r="AG22" i="8" s="1"/>
  <c r="AA22" i="8"/>
  <c r="AB22" i="8"/>
  <c r="Z23" i="8"/>
  <c r="AG23" i="8" s="1"/>
  <c r="AA23" i="8"/>
  <c r="AB23" i="8"/>
  <c r="Z24" i="8"/>
  <c r="AA24" i="8"/>
  <c r="AB24" i="8"/>
  <c r="Z25" i="8"/>
  <c r="AG25" i="8" s="1"/>
  <c r="AA25" i="8"/>
  <c r="AB25" i="8"/>
  <c r="Z26" i="8"/>
  <c r="AG26" i="8" s="1"/>
  <c r="AA26" i="8"/>
  <c r="AB26" i="8"/>
  <c r="Z27" i="8"/>
  <c r="AA27" i="8"/>
  <c r="AB27" i="8"/>
  <c r="Z28" i="8"/>
  <c r="AA28" i="8"/>
  <c r="AB28" i="8"/>
  <c r="Z29" i="8"/>
  <c r="AA29" i="8"/>
  <c r="AB29" i="8"/>
  <c r="Z30" i="8"/>
  <c r="AG30" i="8" s="1"/>
  <c r="AA30" i="8"/>
  <c r="AB30" i="8"/>
  <c r="Z31" i="8"/>
  <c r="AG32" i="8" s="1"/>
  <c r="AA31" i="8"/>
  <c r="AB31" i="8"/>
  <c r="Z32" i="8"/>
  <c r="AA32" i="8"/>
  <c r="AB32" i="8"/>
  <c r="Z33" i="8"/>
  <c r="D33" i="8" s="1"/>
  <c r="AA33" i="8"/>
  <c r="AB33" i="8"/>
  <c r="Z34" i="8"/>
  <c r="D34" i="8" s="1"/>
  <c r="AA34" i="8"/>
  <c r="AB34" i="8"/>
  <c r="Z35" i="8"/>
  <c r="AA35" i="8"/>
  <c r="AB35" i="8"/>
  <c r="AE35" i="8" s="1"/>
  <c r="Z36" i="8"/>
  <c r="AA36" i="8"/>
  <c r="AB36" i="8"/>
  <c r="Z37" i="8"/>
  <c r="AA37" i="8"/>
  <c r="AB37" i="8"/>
  <c r="Z38" i="8"/>
  <c r="AG38" i="8" s="1"/>
  <c r="AA38" i="8"/>
  <c r="AB38" i="8"/>
  <c r="Z39" i="8"/>
  <c r="AG40" i="8" s="1"/>
  <c r="AA39" i="8"/>
  <c r="AB39" i="8"/>
  <c r="Z40" i="8"/>
  <c r="D40" i="8" s="1"/>
  <c r="AA40" i="8"/>
  <c r="AB40" i="8"/>
  <c r="Z41" i="8"/>
  <c r="D41" i="8" s="1"/>
  <c r="AA41" i="8"/>
  <c r="AB41" i="8"/>
  <c r="Z42" i="8"/>
  <c r="D42" i="8" s="1"/>
  <c r="AA42" i="8"/>
  <c r="AB42" i="8"/>
  <c r="Z43" i="8"/>
  <c r="AA43" i="8"/>
  <c r="AC43" i="8" s="1"/>
  <c r="AB43" i="8"/>
  <c r="Z44" i="8"/>
  <c r="AA44" i="8"/>
  <c r="AB44" i="8"/>
  <c r="Z45" i="8"/>
  <c r="AA45" i="8"/>
  <c r="AB45" i="8"/>
  <c r="Z46" i="8"/>
  <c r="AG46" i="8" s="1"/>
  <c r="AA46" i="8"/>
  <c r="AB46" i="8"/>
  <c r="Z47" i="8"/>
  <c r="AG48" i="8" s="1"/>
  <c r="AA47" i="8"/>
  <c r="AB47" i="8"/>
  <c r="Z48" i="8"/>
  <c r="D48" i="8" s="1"/>
  <c r="AA48" i="8"/>
  <c r="AB48" i="8"/>
  <c r="Z49" i="8"/>
  <c r="D49" i="8" s="1"/>
  <c r="AA49" i="8"/>
  <c r="AB49" i="8"/>
  <c r="AA4" i="8"/>
  <c r="Z4" i="8"/>
  <c r="E52" i="6"/>
  <c r="E54" i="6"/>
  <c r="E56" i="6"/>
  <c r="E51" i="6"/>
  <c r="B51" i="6"/>
  <c r="U51" i="6"/>
  <c r="V51" i="6" s="1"/>
  <c r="S52" i="6"/>
  <c r="T52" i="6"/>
  <c r="B52" i="6" s="1"/>
  <c r="S53" i="6"/>
  <c r="T53" i="6"/>
  <c r="U53" i="6" s="1"/>
  <c r="S54" i="6"/>
  <c r="T54" i="6"/>
  <c r="U54" i="6" s="1"/>
  <c r="B54" i="6" s="1"/>
  <c r="S55" i="6"/>
  <c r="T55" i="6"/>
  <c r="S56" i="6"/>
  <c r="U56" i="6" s="1"/>
  <c r="B56" i="6" s="1"/>
  <c r="T56" i="6"/>
  <c r="S57" i="6"/>
  <c r="T57" i="6"/>
  <c r="E57" i="6" s="1"/>
  <c r="T51" i="6"/>
  <c r="S51" i="6"/>
  <c r="G49"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3" i="6"/>
  <c r="L47" i="17"/>
  <c r="L40" i="17"/>
  <c r="L37" i="17"/>
  <c r="L36" i="17"/>
  <c r="L25" i="17"/>
  <c r="O22" i="17"/>
  <c r="O23" i="17"/>
  <c r="O24" i="17"/>
  <c r="O25" i="17"/>
  <c r="O26" i="17"/>
  <c r="F22" i="17"/>
  <c r="G22" i="17"/>
  <c r="H22" i="17"/>
  <c r="I22" i="17"/>
  <c r="J22" i="17"/>
  <c r="K22" i="17"/>
  <c r="U22" i="17"/>
  <c r="L22" i="17"/>
  <c r="M22" i="17"/>
  <c r="N22" i="17"/>
  <c r="F23" i="17"/>
  <c r="G23" i="17"/>
  <c r="H23" i="17"/>
  <c r="I23" i="17"/>
  <c r="J23" i="17"/>
  <c r="K23" i="17"/>
  <c r="U23" i="17"/>
  <c r="L23" i="17"/>
  <c r="M23" i="17"/>
  <c r="N23" i="17"/>
  <c r="F24" i="17"/>
  <c r="T24" i="17"/>
  <c r="G24" i="17"/>
  <c r="H24" i="17"/>
  <c r="I24" i="17"/>
  <c r="J24" i="17"/>
  <c r="K24" i="17"/>
  <c r="U24" i="17"/>
  <c r="L24" i="17"/>
  <c r="M24" i="17"/>
  <c r="N24" i="17"/>
  <c r="F25" i="17"/>
  <c r="T25" i="17"/>
  <c r="G25" i="17"/>
  <c r="H25" i="17"/>
  <c r="I25" i="17"/>
  <c r="J25" i="17"/>
  <c r="K25" i="17"/>
  <c r="N25" i="17"/>
  <c r="F26" i="17"/>
  <c r="T26" i="17"/>
  <c r="G26" i="17"/>
  <c r="H26" i="17"/>
  <c r="I26" i="17"/>
  <c r="J26" i="17"/>
  <c r="U26" i="17"/>
  <c r="L26" i="17"/>
  <c r="M26" i="17"/>
  <c r="N26" i="17"/>
  <c r="S23" i="17"/>
  <c r="S24" i="17"/>
  <c r="S25" i="17"/>
  <c r="S26" i="17"/>
  <c r="S22" i="17"/>
  <c r="E22" i="17"/>
  <c r="E23" i="17"/>
  <c r="E24" i="17"/>
  <c r="E25" i="17"/>
  <c r="E26" i="17"/>
  <c r="D23" i="17"/>
  <c r="D24" i="17"/>
  <c r="D25" i="17"/>
  <c r="D26" i="17"/>
  <c r="D22" i="17"/>
  <c r="F32" i="13"/>
  <c r="F40" i="17"/>
  <c r="AV31" i="17" l="1"/>
  <c r="AT28" i="17"/>
  <c r="AV28" i="17"/>
  <c r="AU31" i="17"/>
  <c r="AV27" i="17"/>
  <c r="AU29" i="17"/>
  <c r="AV29" i="17"/>
  <c r="AT29" i="17"/>
  <c r="AT27" i="17"/>
  <c r="AT30" i="17"/>
  <c r="AV30" i="17"/>
  <c r="AU30" i="17"/>
  <c r="AW18" i="17"/>
  <c r="AX18" i="17"/>
  <c r="AU28" i="17"/>
  <c r="AV18" i="17"/>
  <c r="AE22" i="8"/>
  <c r="E22" i="8"/>
  <c r="AH8" i="8"/>
  <c r="AG41" i="8"/>
  <c r="D17" i="8"/>
  <c r="AG33" i="8"/>
  <c r="AH48" i="8"/>
  <c r="AE6" i="8"/>
  <c r="B6" i="8" s="1"/>
  <c r="E6" i="8"/>
  <c r="AG43" i="8"/>
  <c r="AG35" i="8"/>
  <c r="AG27" i="8"/>
  <c r="AG19" i="8"/>
  <c r="AG11" i="8"/>
  <c r="AE45" i="8"/>
  <c r="B45" i="8" s="1"/>
  <c r="AE37" i="8"/>
  <c r="B37" i="8" s="1"/>
  <c r="AE29" i="8"/>
  <c r="AE21" i="8"/>
  <c r="B21" i="8" s="1"/>
  <c r="AE13" i="8"/>
  <c r="AE5" i="8"/>
  <c r="D9" i="8"/>
  <c r="E5" i="8"/>
  <c r="AG45" i="8"/>
  <c r="AG37" i="8"/>
  <c r="AG29" i="8"/>
  <c r="AG21" i="8"/>
  <c r="AG13" i="8"/>
  <c r="AH43" i="8"/>
  <c r="AH35" i="8"/>
  <c r="AH27" i="8"/>
  <c r="AH19" i="8"/>
  <c r="AH11" i="8"/>
  <c r="AE43" i="8"/>
  <c r="B43" i="8" s="1"/>
  <c r="D47" i="8"/>
  <c r="E35" i="8"/>
  <c r="AH12" i="8"/>
  <c r="E12" i="8"/>
  <c r="AE12" i="8"/>
  <c r="B29" i="8"/>
  <c r="AF20" i="8"/>
  <c r="B20" i="8"/>
  <c r="AH34" i="8"/>
  <c r="E34" i="8"/>
  <c r="AE34" i="8"/>
  <c r="AH33" i="8"/>
  <c r="E33" i="8"/>
  <c r="AE33" i="8"/>
  <c r="AF21" i="8"/>
  <c r="B13" i="8"/>
  <c r="B5" i="8"/>
  <c r="AE28" i="8"/>
  <c r="AH28" i="8"/>
  <c r="E28" i="8"/>
  <c r="AE4" i="8"/>
  <c r="B4" i="8" s="1"/>
  <c r="AH5" i="8"/>
  <c r="E4" i="8"/>
  <c r="E42" i="8"/>
  <c r="AE42" i="8"/>
  <c r="AH42" i="8"/>
  <c r="AE26" i="8"/>
  <c r="AH26" i="8"/>
  <c r="E26" i="8"/>
  <c r="AF47" i="8"/>
  <c r="B47" i="8"/>
  <c r="E41" i="8"/>
  <c r="AH41" i="8"/>
  <c r="AE41" i="8"/>
  <c r="E25" i="8"/>
  <c r="AH25" i="8"/>
  <c r="AE25" i="8"/>
  <c r="E17" i="8"/>
  <c r="AE17" i="8"/>
  <c r="AH17" i="8"/>
  <c r="AH9" i="8"/>
  <c r="E9" i="8"/>
  <c r="AE9" i="8"/>
  <c r="B46" i="8"/>
  <c r="AF46" i="8"/>
  <c r="AF27" i="8"/>
  <c r="B40" i="8"/>
  <c r="E44" i="8"/>
  <c r="AE44" i="8"/>
  <c r="AH44" i="8"/>
  <c r="AE18" i="8"/>
  <c r="E18" i="8"/>
  <c r="AH18" i="8"/>
  <c r="AE39" i="8"/>
  <c r="AF40" i="8" s="1"/>
  <c r="E39" i="8"/>
  <c r="AH39" i="8"/>
  <c r="E31" i="8"/>
  <c r="AE31" i="8"/>
  <c r="AH31" i="8"/>
  <c r="E15" i="8"/>
  <c r="AE15" i="8"/>
  <c r="AH15" i="8"/>
  <c r="AE10" i="8"/>
  <c r="E10" i="8"/>
  <c r="AH10" i="8"/>
  <c r="AE38" i="8"/>
  <c r="E38" i="8"/>
  <c r="AH38" i="8"/>
  <c r="E30" i="8"/>
  <c r="AE30" i="8"/>
  <c r="AH30" i="8"/>
  <c r="AE14" i="8"/>
  <c r="AH14" i="8"/>
  <c r="E14" i="8"/>
  <c r="AF6" i="8"/>
  <c r="AF22" i="8"/>
  <c r="B22" i="8"/>
  <c r="AE36" i="8"/>
  <c r="D26" i="8"/>
  <c r="AG34" i="8"/>
  <c r="AF19" i="8"/>
  <c r="AC12" i="8"/>
  <c r="AG24" i="8"/>
  <c r="AH40" i="8"/>
  <c r="AE49" i="8"/>
  <c r="D39" i="8"/>
  <c r="D31" i="8"/>
  <c r="D23" i="8"/>
  <c r="D15" i="8"/>
  <c r="D7" i="8"/>
  <c r="E27" i="8"/>
  <c r="E19" i="8"/>
  <c r="E11" i="8"/>
  <c r="E48" i="8"/>
  <c r="E40" i="8"/>
  <c r="AG47" i="8"/>
  <c r="AG39" i="8"/>
  <c r="AG31" i="8"/>
  <c r="AG15" i="8"/>
  <c r="AG7" i="8"/>
  <c r="AH47" i="8"/>
  <c r="AH23" i="8"/>
  <c r="AH7" i="8"/>
  <c r="D10" i="8"/>
  <c r="AF43" i="8"/>
  <c r="AC36" i="8"/>
  <c r="E49" i="8"/>
  <c r="AH32" i="8"/>
  <c r="AE48" i="8"/>
  <c r="AE32" i="8"/>
  <c r="AE24" i="8"/>
  <c r="AE16" i="8"/>
  <c r="AE8" i="8"/>
  <c r="D46" i="8"/>
  <c r="D38" i="8"/>
  <c r="D30" i="8"/>
  <c r="D22" i="8"/>
  <c r="D14" i="8"/>
  <c r="D6" i="8"/>
  <c r="E47" i="8"/>
  <c r="AH46" i="8"/>
  <c r="AH22" i="8"/>
  <c r="AH6" i="8"/>
  <c r="AG18" i="8"/>
  <c r="AC28" i="8"/>
  <c r="AH24" i="8"/>
  <c r="AE23" i="8"/>
  <c r="AE7" i="8"/>
  <c r="B35" i="8"/>
  <c r="B27" i="8"/>
  <c r="D45" i="8"/>
  <c r="D37" i="8"/>
  <c r="D29" i="8"/>
  <c r="D21" i="8"/>
  <c r="D13" i="8"/>
  <c r="E46" i="8"/>
  <c r="AH45" i="8"/>
  <c r="AH37" i="8"/>
  <c r="AH29" i="8"/>
  <c r="AH21" i="8"/>
  <c r="AH13" i="8"/>
  <c r="AG42" i="8"/>
  <c r="AC44" i="8"/>
  <c r="AH16" i="8"/>
  <c r="D44" i="8"/>
  <c r="D36" i="8"/>
  <c r="D28" i="8"/>
  <c r="D20" i="8"/>
  <c r="D12" i="8"/>
  <c r="E8" i="8"/>
  <c r="E45" i="8"/>
  <c r="E37" i="8"/>
  <c r="AG44" i="8"/>
  <c r="AG36" i="8"/>
  <c r="AG28" i="8"/>
  <c r="AG12" i="8"/>
  <c r="AH36" i="8"/>
  <c r="AH20" i="8"/>
  <c r="AC20" i="8"/>
  <c r="D43" i="8"/>
  <c r="D35" i="8"/>
  <c r="D27" i="8"/>
  <c r="D19" i="8"/>
  <c r="D11" i="8"/>
  <c r="AC49" i="8"/>
  <c r="AC17" i="8"/>
  <c r="AC27" i="8"/>
  <c r="AC41" i="8"/>
  <c r="AC33" i="8"/>
  <c r="AC25" i="8"/>
  <c r="AC9" i="8"/>
  <c r="AC19" i="8"/>
  <c r="AC35" i="8"/>
  <c r="AC11" i="8"/>
  <c r="AC45" i="8"/>
  <c r="AC37" i="8"/>
  <c r="AC29" i="8"/>
  <c r="AC21" i="8"/>
  <c r="AC13" i="8"/>
  <c r="AC5" i="8"/>
  <c r="AC42" i="8"/>
  <c r="AC34" i="8"/>
  <c r="AC26" i="8"/>
  <c r="AC18" i="8"/>
  <c r="AC10" i="8"/>
  <c r="AC47" i="8"/>
  <c r="AC39" i="8"/>
  <c r="AC31" i="8"/>
  <c r="AC23" i="8"/>
  <c r="AC15" i="8"/>
  <c r="AC7" i="8"/>
  <c r="AC6" i="8"/>
  <c r="AC4" i="8"/>
  <c r="AC48" i="8"/>
  <c r="AC40" i="8"/>
  <c r="AC32" i="8"/>
  <c r="AC24" i="8"/>
  <c r="AC16" i="8"/>
  <c r="AC8" i="8"/>
  <c r="AC46" i="8"/>
  <c r="AC38" i="8"/>
  <c r="AC30" i="8"/>
  <c r="AC22" i="8"/>
  <c r="AC14" i="8"/>
  <c r="B4" i="6"/>
  <c r="B35" i="6"/>
  <c r="B43" i="6"/>
  <c r="E43" i="6" s="1"/>
  <c r="B19" i="6"/>
  <c r="B27" i="6"/>
  <c r="B3" i="6"/>
  <c r="B11" i="6"/>
  <c r="B53" i="6"/>
  <c r="E53" i="6"/>
  <c r="U57" i="6"/>
  <c r="W57" i="6" s="1"/>
  <c r="W54" i="6"/>
  <c r="E55" i="6"/>
  <c r="U55" i="6"/>
  <c r="V53" i="6"/>
  <c r="V56" i="6"/>
  <c r="U52" i="6"/>
  <c r="B50" i="6"/>
  <c r="E50" i="6" s="1"/>
  <c r="B42" i="6"/>
  <c r="E42" i="6" s="1"/>
  <c r="B34" i="6"/>
  <c r="B26" i="6"/>
  <c r="B18" i="6"/>
  <c r="B10" i="6"/>
  <c r="B49" i="6"/>
  <c r="E49" i="6" s="1"/>
  <c r="B41" i="6"/>
  <c r="E41" i="6" s="1"/>
  <c r="B33" i="6"/>
  <c r="B25" i="6"/>
  <c r="B17" i="6"/>
  <c r="B9" i="6"/>
  <c r="B24" i="6"/>
  <c r="B32" i="6"/>
  <c r="B47" i="6"/>
  <c r="E47" i="6" s="1"/>
  <c r="B39" i="6"/>
  <c r="B31" i="6"/>
  <c r="B23" i="6"/>
  <c r="B15" i="6"/>
  <c r="B7" i="6"/>
  <c r="B48" i="6"/>
  <c r="E48" i="6" s="1"/>
  <c r="B8" i="6"/>
  <c r="B46" i="6"/>
  <c r="E46" i="6" s="1"/>
  <c r="B38" i="6"/>
  <c r="B30" i="6"/>
  <c r="B22" i="6"/>
  <c r="B14" i="6"/>
  <c r="B6" i="6"/>
  <c r="V54" i="6"/>
  <c r="B45" i="6"/>
  <c r="E45" i="6" s="1"/>
  <c r="B37" i="6"/>
  <c r="B29" i="6"/>
  <c r="B21" i="6"/>
  <c r="B13" i="6"/>
  <c r="B5" i="6"/>
  <c r="B40" i="6"/>
  <c r="E40" i="6" s="1"/>
  <c r="B16" i="6"/>
  <c r="B44" i="6"/>
  <c r="E44" i="6" s="1"/>
  <c r="B36" i="6"/>
  <c r="B28" i="6"/>
  <c r="B20" i="6"/>
  <c r="B12" i="6"/>
  <c r="F23" i="12"/>
  <c r="F22" i="12"/>
  <c r="F21" i="12"/>
  <c r="F20" i="12"/>
  <c r="F14" i="12"/>
  <c r="F13" i="12"/>
  <c r="F12" i="12"/>
  <c r="F9" i="12"/>
  <c r="F5" i="12"/>
  <c r="F4" i="12"/>
  <c r="F6" i="12"/>
  <c r="F7" i="12"/>
  <c r="F8" i="12"/>
  <c r="F10" i="12"/>
  <c r="F11" i="12"/>
  <c r="F15" i="12"/>
  <c r="F16" i="12"/>
  <c r="F17" i="12"/>
  <c r="F18" i="12"/>
  <c r="F19" i="12"/>
  <c r="F3" i="12"/>
  <c r="N30" i="6"/>
  <c r="D30" i="6" s="1"/>
  <c r="N31" i="6"/>
  <c r="D31" i="6" s="1"/>
  <c r="N32" i="6"/>
  <c r="D32" i="6" s="1"/>
  <c r="N33" i="6"/>
  <c r="D33" i="6" s="1"/>
  <c r="N34" i="6"/>
  <c r="D34" i="6" s="1"/>
  <c r="N35" i="6"/>
  <c r="D35" i="6" s="1"/>
  <c r="N36" i="6"/>
  <c r="D36" i="6" s="1"/>
  <c r="N37" i="6"/>
  <c r="D37" i="6" s="1"/>
  <c r="N38" i="6"/>
  <c r="D38" i="6" s="1"/>
  <c r="N39" i="6"/>
  <c r="D39" i="6" s="1"/>
  <c r="N40" i="6"/>
  <c r="D40" i="6" s="1"/>
  <c r="N41" i="6"/>
  <c r="D41" i="6" s="1"/>
  <c r="N42" i="6"/>
  <c r="D42" i="6" s="1"/>
  <c r="N43" i="6"/>
  <c r="D43" i="6" s="1"/>
  <c r="N44" i="6"/>
  <c r="D44" i="6" s="1"/>
  <c r="N45" i="6"/>
  <c r="D45" i="6" s="1"/>
  <c r="N46" i="6"/>
  <c r="D46" i="6" s="1"/>
  <c r="N47" i="6"/>
  <c r="D47" i="6" s="1"/>
  <c r="N48" i="6"/>
  <c r="D48" i="6" s="1"/>
  <c r="N49" i="6"/>
  <c r="D49" i="6" s="1"/>
  <c r="N50" i="6"/>
  <c r="D50" i="6" s="1"/>
  <c r="N51" i="6"/>
  <c r="D51" i="6" s="1"/>
  <c r="N52" i="6"/>
  <c r="D52" i="6" s="1"/>
  <c r="N53" i="6"/>
  <c r="D53" i="6" s="1"/>
  <c r="N54" i="6"/>
  <c r="D54" i="6" s="1"/>
  <c r="N55" i="6"/>
  <c r="D55" i="6" s="1"/>
  <c r="N56" i="6"/>
  <c r="D56" i="6" s="1"/>
  <c r="N57" i="6"/>
  <c r="D57" i="6" s="1"/>
  <c r="N58" i="6"/>
  <c r="D58" i="6" s="1"/>
  <c r="N29" i="6"/>
  <c r="D29" i="6" s="1"/>
  <c r="F4" i="3"/>
  <c r="F5" i="3"/>
  <c r="F6" i="3"/>
  <c r="F7" i="3"/>
  <c r="F8" i="3"/>
  <c r="F9" i="3"/>
  <c r="F10" i="3"/>
  <c r="F11" i="3"/>
  <c r="F12" i="3"/>
  <c r="F13" i="3"/>
  <c r="F14" i="3"/>
  <c r="F15" i="3"/>
  <c r="F16" i="3"/>
  <c r="F17" i="3"/>
  <c r="F18" i="3"/>
  <c r="F19" i="3"/>
  <c r="F20" i="3"/>
  <c r="F3" i="3"/>
  <c r="AT32" i="17" l="1"/>
  <c r="AU32" i="17"/>
  <c r="D50" i="8"/>
  <c r="D51" i="8" s="1"/>
  <c r="D52" i="8" s="1"/>
  <c r="D53" i="8" s="1"/>
  <c r="AF37" i="8"/>
  <c r="AF44" i="8"/>
  <c r="B44" i="8"/>
  <c r="B49" i="8"/>
  <c r="AF49" i="8"/>
  <c r="AF45" i="8"/>
  <c r="B41" i="8"/>
  <c r="AF41" i="8"/>
  <c r="B28" i="8"/>
  <c r="AF28" i="8"/>
  <c r="AF7" i="8"/>
  <c r="B7" i="8"/>
  <c r="AF38" i="8"/>
  <c r="B38" i="8"/>
  <c r="B17" i="8"/>
  <c r="AF17" i="8"/>
  <c r="AF12" i="8"/>
  <c r="B12" i="8"/>
  <c r="B48" i="8"/>
  <c r="AF48" i="8"/>
  <c r="B10" i="8"/>
  <c r="AF10" i="8"/>
  <c r="AF30" i="8"/>
  <c r="B30" i="8"/>
  <c r="B9" i="8"/>
  <c r="AF9" i="8"/>
  <c r="B26" i="8"/>
  <c r="AF26" i="8"/>
  <c r="B33" i="8"/>
  <c r="AF33" i="8"/>
  <c r="B39" i="8"/>
  <c r="AF39" i="8"/>
  <c r="AF42" i="8"/>
  <c r="B42" i="8"/>
  <c r="AF5" i="8"/>
  <c r="AF29" i="8"/>
  <c r="AF36" i="8"/>
  <c r="B36" i="8"/>
  <c r="E50" i="8"/>
  <c r="E51" i="8" s="1"/>
  <c r="E52" i="8" s="1"/>
  <c r="E53" i="8" s="1"/>
  <c r="B8" i="8"/>
  <c r="AF8" i="8"/>
  <c r="AF11" i="8"/>
  <c r="AF15" i="8"/>
  <c r="B15" i="8"/>
  <c r="B34" i="8"/>
  <c r="AF34" i="8"/>
  <c r="AF35" i="8"/>
  <c r="AF16" i="8"/>
  <c r="B16" i="8"/>
  <c r="B23" i="8"/>
  <c r="AF23" i="8"/>
  <c r="B24" i="8"/>
  <c r="AF24" i="8"/>
  <c r="B18" i="8"/>
  <c r="AF18" i="8"/>
  <c r="AF13" i="8"/>
  <c r="AF32" i="8"/>
  <c r="B32" i="8"/>
  <c r="B14" i="8"/>
  <c r="AF14" i="8"/>
  <c r="AF31" i="8"/>
  <c r="B31" i="8"/>
  <c r="B25" i="8"/>
  <c r="AF25" i="8"/>
  <c r="V57" i="6"/>
  <c r="B55" i="6"/>
  <c r="W55" i="6"/>
  <c r="V52" i="6"/>
  <c r="W52" i="6"/>
  <c r="B57" i="6"/>
  <c r="V55" i="6"/>
  <c r="W56" i="6"/>
  <c r="W53" i="6"/>
  <c r="E32" i="7"/>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L44" i="17"/>
  <c r="U44" i="17"/>
  <c r="K44" i="17"/>
  <c r="J44" i="17"/>
  <c r="I44" i="17"/>
  <c r="H44" i="17"/>
  <c r="G44" i="17"/>
  <c r="E44" i="17"/>
  <c r="L46" i="17"/>
  <c r="U46" i="17"/>
  <c r="K46" i="17"/>
  <c r="J46" i="17"/>
  <c r="I46" i="17"/>
  <c r="E37" i="17"/>
  <c r="E36" i="17"/>
  <c r="K10" i="17"/>
  <c r="F11" i="17"/>
  <c r="F10" i="17"/>
  <c r="F9" i="17"/>
  <c r="F8" i="17"/>
  <c r="I7" i="17"/>
  <c r="I11" i="17"/>
  <c r="I37" i="17" s="1"/>
  <c r="I10" i="17"/>
  <c r="I9" i="17"/>
  <c r="I47" i="17"/>
  <c r="I48" i="17" s="1"/>
  <c r="K6" i="17"/>
  <c r="C45" i="17"/>
  <c r="B50" i="8" l="1"/>
  <c r="B51" i="8" s="1"/>
  <c r="B52" i="8" s="1"/>
  <c r="B53" i="8" s="1"/>
  <c r="B58" i="6"/>
  <c r="T58" i="6" s="1"/>
  <c r="E58" i="6" s="1"/>
  <c r="F7" i="17"/>
  <c r="I36" i="17"/>
  <c r="M21" i="5"/>
  <c r="C21" i="5" s="1"/>
  <c r="L48" i="17" l="1"/>
  <c r="K48" i="17"/>
  <c r="J48" i="17"/>
  <c r="E48" i="17"/>
  <c r="C43" i="17"/>
  <c r="N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 r="F21" i="3" s="1"/>
</calcChain>
</file>

<file path=xl/sharedStrings.xml><?xml version="1.0" encoding="utf-8"?>
<sst xmlns="http://schemas.openxmlformats.org/spreadsheetml/2006/main" count="1073" uniqueCount="556">
  <si>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</si>
  <si>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</si>
  <si>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</si>
  <si>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</si>
  <si>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</si>
  <si>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</si>
  <si>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</si>
  <si>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</si>
  <si>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</si>
  <si>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</si>
  <si>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</si>
  <si>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</si>
  <si>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</si>
  <si>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</si>
  <si>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</si>
  <si>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</si>
  <si>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</si>
  <si>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</si>
  <si>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</si>
  <si>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</si>
  <si>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</si>
  <si>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</si>
  <si>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</si>
  <si>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</si>
  <si>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</si>
  <si>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</si>
  <si>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</si>
  <si>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</si>
  <si>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</si>
  <si>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</si>
  <si>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</si>
  <si>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</si>
  <si>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</si>
  <si>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</si>
  <si>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</si>
  <si>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</si>
  <si>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</si>
  <si>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</si>
  <si>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</si>
  <si>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</si>
  <si>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</si>
  <si>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</si>
  <si>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</si>
  <si>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</si>
  <si>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</si>
  <si>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</si>
  <si>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</si>
  <si>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</si>
  <si>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</si>
  <si>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</si>
  <si>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</si>
  <si>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</si>
  <si>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</si>
  <si>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</si>
  <si>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</si>
  <si>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</si>
  <si>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</si>
  <si>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</si>
  <si>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</si>
  <si>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</si>
  <si>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</si>
  <si>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</si>
  <si>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</si>
  <si>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</si>
  <si>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</si>
  <si>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</si>
  <si>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</si>
  <si>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</si>
  <si>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</si>
  <si>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</si>
  <si>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</si>
  <si>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</si>
  <si>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</si>
  <si>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</si>
  <si>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</si>
  <si>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</si>
  <si>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</si>
  <si>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</si>
  <si>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</si>
  <si>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</si>
  <si>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</si>
  <si>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</si>
  <si>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</si>
  <si>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</si>
  <si>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</si>
  <si>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</si>
  <si>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</si>
  <si>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</si>
  <si>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</si>
  <si>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</si>
  <si>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</si>
  <si>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</si>
  <si>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</si>
  <si>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</si>
  <si>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</si>
  <si>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</si>
  <si>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</si>
  <si>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</si>
  <si>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</si>
  <si>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</si>
  <si>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</si>
  <si>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</si>
  <si>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</si>
  <si>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</si>
  <si>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</si>
  <si>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</si>
  <si>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</si>
  <si>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</si>
  <si>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</si>
  <si>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</si>
  <si>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</si>
  <si>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</si>
  <si>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</si>
  <si>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</si>
  <si>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</si>
  <si>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</si>
  <si>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</si>
  <si>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</si>
  <si>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</si>
  <si>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</si>
  <si>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</si>
  <si>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</si>
  <si>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</si>
  <si>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</si>
  <si>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</si>
  <si>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</si>
  <si>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</si>
  <si>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</si>
  <si>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</si>
  <si>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</si>
  <si>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</si>
  <si>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</si>
  <si>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</si>
  <si>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</si>
  <si>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</si>
  <si>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</si>
  <si>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</si>
  <si>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</si>
  <si>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</si>
  <si>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</si>
  <si>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</si>
  <si>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</si>
  <si>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</si>
  <si>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</si>
  <si>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</si>
  <si>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</si>
  <si>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</si>
  <si>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</si>
  <si>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</si>
  <si>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</si>
  <si>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</si>
  <si>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</si>
  <si>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</si>
  <si>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</si>
  <si>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</si>
  <si>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</si>
  <si>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</si>
  <si>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</si>
  <si>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</si>
  <si>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</si>
  <si>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</si>
  <si>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</si>
  <si>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</si>
  <si>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</si>
  <si>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</si>
  <si>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</si>
  <si>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</si>
  <si>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</si>
  <si>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</si>
  <si>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</si>
  <si>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</si>
  <si>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</si>
  <si>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</si>
  <si>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</si>
  <si>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</si>
  <si>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</si>
  <si>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</si>
  <si>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</si>
  <si>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</si>
  <si>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</si>
  <si>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</si>
  <si>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</si>
  <si>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</si>
  <si>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</si>
  <si>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</si>
  <si>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</si>
  <si>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</si>
  <si>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</si>
  <si>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</si>
  <si>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</si>
  <si>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</si>
  <si>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</si>
  <si>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</si>
  <si>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</si>
  <si>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</si>
  <si>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</si>
  <si>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</si>
  <si>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</si>
  <si>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</si>
  <si>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</si>
  <si>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</si>
  <si>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</si>
  <si>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</si>
  <si>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</si>
  <si>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</si>
  <si>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</si>
  <si>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</si>
  <si>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</si>
  <si>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</si>
  <si>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</si>
  <si>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</si>
  <si>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</si>
  <si>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</si>
  <si>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https://www.statista.com/statistics/1131720/china-refined-nickel-consumption-volume/</t>
  </si>
  <si>
    <t>https://www.statista.com/statistics/1131866/china-zinc-slab-consumption-volume/</t>
  </si>
  <si>
    <t>https://www.imoa.info/molybdenum/molybdenum-global-production-use.php</t>
  </si>
  <si>
    <t>tungsten carbide products 2016</t>
  </si>
  <si>
    <t>jewelry</t>
  </si>
  <si>
    <t>solar</t>
  </si>
  <si>
    <t>steels &amp; superalloys 2016</t>
  </si>
  <si>
    <t>foundries</t>
  </si>
  <si>
    <t>tungsten metal products 2016</t>
  </si>
  <si>
    <t>silverware</t>
  </si>
  <si>
    <t>mo-metals</t>
  </si>
  <si>
    <t>chemicals &amp; others 2016</t>
  </si>
  <si>
    <t xml:space="preserve">chemicals </t>
  </si>
  <si>
    <t>https://www.sprott.com/media/2268/world-silver-survey-2019.pdf</t>
  </si>
  <si>
    <t>nickel alloys</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</si>
  <si>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</si>
  <si>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</si>
  <si>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</si>
  <si>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</si>
  <si>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</si>
  <si>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</si>
  <si>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</si>
  <si>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</si>
  <si>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</si>
  <si>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</si>
  <si>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</si>
  <si>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</si>
  <si>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</si>
  <si>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</si>
  <si>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</si>
  <si>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</si>
  <si>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</si>
  <si>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</si>
  <si>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</si>
  <si>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</si>
  <si>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</si>
  <si>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</si>
  <si>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</si>
  <si>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</si>
  <si>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</si>
  <si>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</si>
  <si>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</si>
  <si>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</si>
  <si>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</si>
  <si>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</si>
  <si>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</si>
  <si>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</si>
  <si>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</si>
  <si>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</si>
  <si>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</si>
  <si>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</si>
  <si>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</si>
  <si>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</si>
  <si>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</si>
  <si>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</si>
  <si>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</si>
  <si>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</si>
  <si>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</si>
  <si>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</si>
  <si>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</si>
  <si>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</si>
  <si>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</si>
  <si>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</si>
  <si>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</si>
  <si>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</si>
  <si>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</si>
  <si>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</si>
  <si>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</si>
  <si>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</si>
  <si>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</si>
  <si>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</si>
  <si>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</si>
  <si>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</si>
  <si>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</si>
  <si>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</si>
  <si>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</si>
  <si>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</si>
  <si>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</si>
  <si>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</si>
  <si>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</si>
  <si>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</si>
  <si>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</si>
  <si>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</si>
  <si>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</si>
  <si>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</si>
  <si>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</si>
  <si>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</si>
  <si>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</si>
  <si>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</si>
  <si>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</si>
  <si>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</si>
  <si>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</si>
  <si>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</si>
  <si>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</si>
  <si>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</si>
  <si>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</si>
  <si>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</si>
  <si>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</si>
  <si>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</si>
  <si>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</si>
  <si>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</si>
  <si>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</si>
  <si>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</si>
  <si>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</si>
  <si>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</si>
  <si>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</si>
  <si>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</si>
  <si>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</si>
  <si>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</si>
  <si>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</si>
  <si>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</si>
  <si>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</si>
  <si>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</si>
  <si>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</si>
  <si>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</si>
  <si>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</si>
  <si>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</si>
  <si>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</si>
  <si>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</si>
  <si>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</si>
  <si>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</si>
  <si>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</si>
  <si>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</si>
  <si>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</si>
  <si>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</si>
  <si>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</si>
  <si>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</si>
  <si>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</si>
  <si>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</si>
  <si>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</si>
  <si>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</si>
  <si>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</si>
  <si>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</si>
  <si>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</si>
  <si>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</si>
  <si>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</si>
  <si>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</si>
  <si>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</si>
  <si>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</si>
  <si>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</si>
  <si>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</si>
  <si>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</si>
  <si>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</si>
  <si>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</si>
  <si>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</si>
  <si>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</si>
  <si>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</si>
  <si>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</si>
  <si>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</si>
  <si>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</si>
  <si>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</si>
  <si>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</si>
  <si>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</si>
  <si>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</si>
  <si>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</si>
  <si>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</si>
  <si>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</si>
  <si>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</si>
  <si>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</si>
  <si>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</si>
  <si>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</si>
  <si>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</si>
  <si>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</si>
  <si>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</si>
  <si>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</si>
  <si>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</si>
  <si>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</si>
  <si>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</si>
  <si>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</si>
  <si>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</si>
  <si>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</si>
  <si>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</si>
  <si>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</si>
  <si>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</si>
  <si>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</si>
  <si>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</si>
  <si>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</si>
  <si>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</si>
  <si>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</si>
  <si>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</si>
  <si>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kt W</t>
  </si>
  <si>
    <t>kt WO3</t>
  </si>
  <si>
    <t>t W</t>
  </si>
  <si>
    <t>61% Cu, rem. Self</t>
  </si>
  <si>
    <t>20% Cu, 13% Au, 35% Pb/Zn, 32% Ag</t>
  </si>
  <si>
    <t>2% Pb, 5% Ni, 0.1% Ag, 92.9% Cu</t>
  </si>
  <si>
    <t>35% Cu, 50% Ni, 15% Co</t>
  </si>
  <si>
    <t>12% Cu, 0.5% Ag, 0.1% Ni, 1% Pb/Zn, 0.32% PGM, 86.08% Au</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</si>
  <si>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</si>
  <si>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</si>
  <si>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</si>
  <si>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</si>
  <si>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</si>
  <si>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</si>
  <si>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</si>
  <si>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</si>
  <si>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</si>
  <si>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</si>
  <si>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</si>
  <si>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</si>
  <si>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</si>
  <si>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</si>
  <si>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</si>
  <si>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</si>
  <si>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</si>
  <si>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</si>
  <si>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</si>
  <si>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</si>
  <si>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</si>
  <si>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</si>
  <si>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</si>
  <si>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</si>
  <si>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</si>
  <si>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</si>
  <si>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</si>
  <si>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</si>
  <si>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</si>
  <si>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</si>
  <si>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</si>
  <si>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</si>
  <si>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</si>
  <si>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</si>
  <si>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</si>
  <si>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</si>
  <si>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</si>
  <si>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</si>
  <si>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</si>
  <si>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</si>
  <si>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</si>
  <si>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</si>
  <si>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</si>
  <si>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</si>
  <si>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</si>
  <si>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</si>
  <si>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</si>
  <si>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</si>
  <si>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</si>
  <si>
    <t>Year</t>
  </si>
  <si>
    <t>NaN</t>
  </si>
  <si>
    <t>Mine production - INSG</t>
  </si>
  <si>
    <t>THE WORLD NICKEL FACTBOOK 2021 (insg.org), page 11</t>
  </si>
  <si>
    <t>Mine production - USGS</t>
  </si>
  <si>
    <t>USGS Mineral Yearbooks, 2002-2019 using most recent year</t>
  </si>
  <si>
    <t>Pd</t>
  </si>
  <si>
    <t>(PDF) Global Tungsten Demand and Supply Forecast (researchgate.net), supply</t>
  </si>
  <si>
    <t>(PDF) Global Tungsten Demand and Supply Forecast (researchgate.net), demand</t>
  </si>
  <si>
    <t>Supply</t>
  </si>
  <si>
    <t>(PDF) Global Tungsten Demand and Supply Forecast (researchgate.net), supply (aligns closely with USGS)</t>
  </si>
  <si>
    <t>Conc. Demand unadjusted (W)</t>
  </si>
  <si>
    <t>Conc. Supply unadjusted (W)</t>
  </si>
  <si>
    <t>Primary Uses of Tungsten | International Tungsten Industry Association (ITIA)</t>
  </si>
  <si>
    <t>Scrap consumption</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</si>
  <si>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 Also confimed by https://doi.org/10.1016/j.resconrec.2015.07.003 Figure 1</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</si>
  <si>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 Also, https://www.itia.info/mining-beneficiation.html states that mines rarely produce more than 10 kt WO3 per year (2kt ore/day * 1.5%)</t>
  </si>
  <si>
    <t>Tungsten Mining &amp; Beneficiation | International Tungsten Industry Association (ITIA) state the majority occurs underground, with open pit mining rare</t>
  </si>
  <si>
    <t>https://www.usgs.gov/centers/national-minerals-information-center/historical-statistics-mineral-and-material-commodities#tungsten, using 0.793 W fraction of WO3 to convert from W content to WO3</t>
  </si>
  <si>
    <t>New Look SEI on the Verge of Tungsten Production (nextinvestors.com), appears to be primary consumption/production</t>
  </si>
  <si>
    <t>Primary consumption</t>
  </si>
  <si>
    <t>Recovery and utilization of tungsten (rmd-1994.com), kt W, Roskill report originally</t>
  </si>
  <si>
    <t>Recovery and utilization of tungsten (rmd-1994.com), kt W, Roskill report originally, converted to WO3 using 0.793</t>
  </si>
  <si>
    <t>sum of left 2</t>
  </si>
  <si>
    <t>RIR</t>
  </si>
  <si>
    <t>from left</t>
  </si>
  <si>
    <t>Average demand growth</t>
  </si>
  <si>
    <t>(PDF) Global Tungsten Demand and Supply Forecast (researchgate.net), using 0.793 W fraction of WO3 to convert from W content to WO3, assuming constant RIR at 2012 value pre-2012, 2019 demand estimated using last 3 years' growth rate, 2019 scrap demand estimated using 2018 RIR</t>
  </si>
  <si>
    <t>From and derived from https://www.rmd-1994.com/info/recovery-and-utilization-of-tungsten-30733684.html (appears to originally be a Roskill report), assuming constant RIR at 2012 value pre-2012, 2019 demand estimated using last 3 years' growth rate, 2019 scrap demand estimated using 2018 RIR</t>
  </si>
  <si>
    <t>Primary (kt WO3)</t>
  </si>
  <si>
    <t>Secondary (kt WO3)</t>
  </si>
  <si>
    <t>Primary (kt W)</t>
  </si>
  <si>
    <t>Secondary (kt W)</t>
  </si>
  <si>
    <t>Total (kt WO3)</t>
  </si>
  <si>
    <t>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t>
  </si>
  <si>
    <t>Critical Metals Handbook 2014, p375, in thousand pounds of Ta2O5</t>
  </si>
  <si>
    <t>Critical Metals Handbook 2014, p379, in thousand pounds of Ta2O5. From the secondary production segment, which includes tin slags and stockpile outflows as well.</t>
  </si>
  <si>
    <t>Secondary production</t>
  </si>
  <si>
    <t>Converted to kt</t>
  </si>
  <si>
    <t>Non tin slag production (t Ta)</t>
  </si>
  <si>
    <t>Non tin slag production (kt Ta2O5)</t>
  </si>
  <si>
    <t>Production from tin slag (kt Ta2O5)</t>
  </si>
  <si>
    <t>Old scrap recycled (t Ta)</t>
  </si>
  <si>
    <t>New scrap recycled (t Ta)</t>
  </si>
  <si>
    <t>Total scrap recycled (t Ta)</t>
  </si>
  <si>
    <t>Nassar 2022 Figure 3</t>
  </si>
  <si>
    <t>Nassar 2022 Figure 1</t>
  </si>
  <si>
    <t>Nassar 2022 Figure 1, using 2.442/1000 as the conversion factor from t Ta to kt Ta2O5</t>
  </si>
  <si>
    <t>Total scrap recycled (t Ta2O5)</t>
  </si>
  <si>
    <t>Nassar 2022 Figure 3, using 2.442/1000 as the conversion factor from t Ta to kt Ta2O5</t>
  </si>
  <si>
    <t>Total primary production (t Ta)</t>
  </si>
  <si>
    <t>Primary demand (t Ta)</t>
  </si>
  <si>
    <t>Total primary production (kt Ta2O5)</t>
  </si>
  <si>
    <t>Primary demand (kt Ta2O5)</t>
  </si>
  <si>
    <t>Total demand (kt Ta2O5)</t>
  </si>
  <si>
    <t>Total demand growth rate</t>
  </si>
  <si>
    <t>Primary supply growth rate</t>
  </si>
  <si>
    <t>Scrap demand growth rate</t>
  </si>
  <si>
    <t>Total</t>
  </si>
  <si>
    <t>Total-sputter</t>
  </si>
  <si>
    <t>Capacitors</t>
  </si>
  <si>
    <t>Capacitors+mill prod</t>
  </si>
  <si>
    <t>Capacitors+mill prod+carbides</t>
  </si>
  <si>
    <t>Total-sputter-chemicals</t>
  </si>
  <si>
    <t>Mill products</t>
  </si>
  <si>
    <t>Carbides</t>
  </si>
  <si>
    <t>Chemicals</t>
  </si>
  <si>
    <t>Alloy additives</t>
  </si>
  <si>
    <t>Sputtering</t>
  </si>
  <si>
    <t>construction</t>
  </si>
  <si>
    <t>industrial</t>
  </si>
  <si>
    <t>electrical</t>
  </si>
  <si>
    <t>other</t>
  </si>
  <si>
    <t>transport</t>
  </si>
  <si>
    <t>From Nassar 2017 total demand, extrapolated to 2019. In kt Ta2O5</t>
  </si>
  <si>
    <t>(5.5117/2.26998)^(1/(2000-1970))-1 // Using the years 1970-2000 since we are considering historical growth, and the growth has plateaued in the last two decades. From Nassar 2017</t>
  </si>
  <si>
    <t>Demand fraction</t>
  </si>
  <si>
    <t xml:space="preserve">EoL collection </t>
  </si>
  <si>
    <t>Fabrication efficiency</t>
  </si>
  <si>
    <t>Demand dist</t>
  </si>
  <si>
    <t>EoL collection target</t>
  </si>
  <si>
    <t>Fab eff</t>
  </si>
  <si>
    <t>amount of column in index</t>
  </si>
  <si>
    <t>From Nassar 2017, sector distribution was as follows in 2015: capacitors 33.29%, mill products 9.27%, carbides 7.87%, chemicals 11.38%, alloy additives 21.91%, sputtering 16.29%. According to Mancheri 2018 Figure 2, we reorganize these sectors as follows: construction=50% of carbides; industrial=50% of carbides+30% of capacitors (instruments/controls+telecom)+ 66% of mill products; electrical=64% of capacitors, sputtering; transport=6% of capacitors+alloy additives+26% of mill products; other=chemicals+8% of mill products</t>
  </si>
  <si>
    <t>Checking:</t>
  </si>
  <si>
    <t>Ta demand distribution information:</t>
  </si>
  <si>
    <t>From Nassar 2017 and Mancheri 2018</t>
  </si>
  <si>
    <t>https://doi.org/10.1016/j.resconrec.2017.10.018, Figure 11, using Chinese internal consumption (assuming reported in Ta2O5) and 3500 t Ta total consumption. 2016.</t>
  </si>
  <si>
    <t>https://doi.org/10.1016/j.resconrec.2017.10.018, Figure 11, using Chinese internal consumption and Capacitor exports (assuming reported in Ta2O5) and 3500 t Ta total consumption. 2016.</t>
  </si>
  <si>
    <t>Lifetime</t>
  </si>
  <si>
    <t>Calculated from Nassar 2017, using weighted means as per sector distributions</t>
  </si>
  <si>
    <t>Gunn Critical Metals Handbook claims tantalum and niobium are recovered through industry-standard open pit, underground, and placer mining methods, but does not give distributions. https://www.greatmining.com/tantalum.html says that most are open pit while some are underground, so going with a 60-30-10 split</t>
  </si>
  <si>
    <t>Mibra mine was producing &gt;20% of world demand in 2011. Wodgina is important. Mines producing more than 100,000 lb of Ta2O5/year were Marrapino, Kenticha, Pitinga, Yichun. Lots of artisanal mining. From Gunn Critical Metals Handbook 2014. Geoscience Australia lists Bald hill producing 0.03t Ta in last 9 months of 2018, Pilgangoora produced 0.0257 t in 2018. S&amp;P Global has Bald hill producing 50-90 t, Kenticha producing 37-90 t, Lovorzerskoye producing 30-35 t, Marropine producing 5-52 t, Mibra producing 70-180 t, and Wodgina producing 400-557 t. Used these values to visually estimate corresponding parameters, assuming that most mines not reported are substantially smaller than these.</t>
  </si>
  <si>
    <t>Gunn Critical Metals Handbook2014: Deposit Abu Dabbab (has not produced) has 40Mt @ 243 g/t Ta2O5, Nuweibi (has not produced) has 98MT @ 146 g/t Ta2O5, Mibra (Volta) is concentrating on a reserve of 6.32 Mt @375ppm Ta2O5. Last published reserves for the Wodgina mine was 63.5Mt @370ppm Ta2O5. Greenbushes deposit has resources of 135.1Mt @ 220ppm Ta2O5. Tanco pre-production grades were 2.07Mt at 2160ppm Ta2O5. Motzfeldt Complex has 500Mt @110-130ppm or 50Mt @ 300-1000ppm. Ghurayyah deposit hs inferred resource of 385 Mt @ 245 g/t Ta2O5. Meponde complex (undeveloped) is 50Mt @ 500ppm Ta2O5. Upper Fir deposit at Blue River has indicated resource of 36.4Mt @ 195ppm Ta2O5. Using these grades, estimated a lognormal disribution visually such that the one high grade was a relatively consistent single value that would appear, but concentrated around the other grouping.</t>
  </si>
  <si>
    <t>2019 average from LME. Can also look at: https://www.argusmedia.com/en/news/2222244-eu-tantalum-prices-rebound-on-higher-input-costs, https://www.statista.com/statistics/1009173/tantalum-price/</t>
  </si>
  <si>
    <t>Top, Critical Metals Handbook 2014, p379, in thousand pounds of Ta2O5. From the secondary production segment, which includes tin slags and stockpile outflows as well.</t>
  </si>
  <si>
    <t>Bottom, Critical Metals Handbook 2014, p379, in thousand pounds of Ta2O5. From the secondary production segment, which includes tin slags and stockpile outflows as well.</t>
  </si>
  <si>
    <t>Difference top and bottom, Critical Metals Handbook 2014, p379, in thousand pounds of Ta2O5. From the secondary production segment, which includes tin slags and stockpile outflows as well.</t>
  </si>
  <si>
    <t>Should update to include the tin slags as tailings mines, most likely</t>
  </si>
  <si>
    <t>33% Sn, 27% Nb, 40% Ta (note that we use kt Ta2O5)</t>
  </si>
  <si>
    <t>self, note that we use kt WO3</t>
  </si>
  <si>
    <t>Original primary commodity price</t>
  </si>
  <si>
    <t>Calculated from Smelter production of tin which claims to include both primary and secondary sources, from British Geological Survey, found here: https://www2.bgs.ac.uk/mineralsuk/statistics/worldArchive.html</t>
  </si>
  <si>
    <t>Li, Tracing the global tin flow network: highly concentrated production and consumption (https://www.sciencedirect.com/science/article/abs/pii/S0921344921001026), using 2016 value (most recent available)</t>
  </si>
  <si>
    <t>Li, Tracing the global tin flow network: highly concentrated production and consumption (https://www.sciencedirect.com/science/article/abs/pii/S0921344921001026), using 2017 value (most recent available)</t>
  </si>
  <si>
    <t>From Nassar 2017, sector distribution was as follows in 2015: capacitors 33.29% (EoL collection=0.0075, fab. eff.=0.775, lifetime=10.8, mill products 9.27% (EoL collection=0.6, Fab. eff.=0.98, lifetime=20), carbides 7.87% (EoL collection=0.5225, fab. eff.=0.95, lifetime=1.3), chemicals 11.38% (EoL collection=1e-6, fab. eff.=0.775, lifetime=7), alloy additives 21.91% (EoL collection=0.2933, fab. eff.=0.84, lifetime=11), sputtering 16.29% (EoL collection=1e-6, fab.eff.=0.775, lifetime=7.1). According to Mancheri 2018 Figure 2, we reorganize these sectors as follows: construction=50% of carbides; industrial=50% of carbides+30% of capacitors (instruments/controls+telecom)+ 66% of mill products; electrical=64% of capacitors, sputtering; transport=6% of capacitors+alloy additives+26% of mill products; other=chemicals+8% of mill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</si>
</sst>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Te"/>
    <numFmt numFmtId="165" formatCode="0.0000"/>
    <numFmt numFmtId="166" formatCode="0.00000"/>
    <numFmt numFmtId="167" formatCode="#,##0.000"/>
    <numFmt numFmtId="168" formatCode="0.000"/>
  </numFmts>
  <fonts count="18">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
      <b/>
      <sz val="12"/>
      <color rgb="FF000000"/>
      <name val="Helvetica Neue"/>
      <family val="2"/>
    </font>
    <font>
      <sz val="12"/>
      <color rgb="FF000000"/>
      <name val="Helvetica Neue"/>
      <family val="2"/>
    </font>
    <font>
      <sz val="7"/>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7">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xf numFmtId="0" fontId="15" fillId="0" borderId="0" xfId="0" applyFont="1"/>
    <xf numFmtId="0" fontId="16" fillId="0" borderId="0" xfId="0" applyFont="1"/>
    <xf numFmtId="165" fontId="0" fillId="0" borderId="0" xfId="0" applyNumberFormat="1"/>
    <xf numFmtId="168" fontId="0" fillId="0" borderId="0" xfId="0" applyNumberFormat="1"/>
    <xf numFmtId="165" fontId="0" fillId="3" borderId="0" xfId="0" applyNumberFormat="1" applyFill="1"/>
    <xf numFmtId="168" fontId="0" fillId="3" borderId="0" xfId="0" applyNumberFormat="1" applyFill="1"/>
    <xf numFmtId="0" fontId="17" fillId="0" borderId="0" xfId="0" applyFont="1"/>
    <xf numFmtId="0" fontId="0" fillId="0" borderId="0" xfId="0" applyAlignment="1">
      <alignment horizontal="center" wrapText="1"/>
    </xf>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Ta!$A$4:$A$53</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Ta!$B$4:$B$53</c:f>
              <c:numCache>
                <c:formatCode>General</c:formatCode>
                <c:ptCount val="50"/>
                <c:pt idx="0">
                  <c:v>2.2699788307351114</c:v>
                </c:pt>
                <c:pt idx="1">
                  <c:v>2.2115085383540842</c:v>
                </c:pt>
                <c:pt idx="2">
                  <c:v>2.5635396078361561</c:v>
                </c:pt>
                <c:pt idx="3">
                  <c:v>2.9233448234300417</c:v>
                </c:pt>
                <c:pt idx="4">
                  <c:v>3.2790442776426945</c:v>
                </c:pt>
                <c:pt idx="5">
                  <c:v>1.9651869606709611</c:v>
                </c:pt>
                <c:pt idx="6">
                  <c:v>2.9842695144068454</c:v>
                </c:pt>
                <c:pt idx="7">
                  <c:v>3.2374674581629801</c:v>
                </c:pt>
                <c:pt idx="8">
                  <c:v>3.4326945651294043</c:v>
                </c:pt>
                <c:pt idx="9">
                  <c:v>4.1001435108447701</c:v>
                </c:pt>
                <c:pt idx="10">
                  <c:v>3.8655362888934235</c:v>
                </c:pt>
                <c:pt idx="11">
                  <c:v>2.8390681287178503</c:v>
                </c:pt>
                <c:pt idx="12">
                  <c:v>2.4501209357537084</c:v>
                </c:pt>
                <c:pt idx="13">
                  <c:v>3.039617456755682</c:v>
                </c:pt>
                <c:pt idx="14">
                  <c:v>4.0141367893719879</c:v>
                </c:pt>
                <c:pt idx="15">
                  <c:v>3.5199086759854477</c:v>
                </c:pt>
                <c:pt idx="16">
                  <c:v>3.178253821724895</c:v>
                </c:pt>
                <c:pt idx="17">
                  <c:v>3.1490100991865226</c:v>
                </c:pt>
                <c:pt idx="18">
                  <c:v>3.6697057044250099</c:v>
                </c:pt>
                <c:pt idx="19">
                  <c:v>3.2201493943274198</c:v>
                </c:pt>
                <c:pt idx="20">
                  <c:v>3.2687727771678152</c:v>
                </c:pt>
                <c:pt idx="21">
                  <c:v>3.1212068800968953</c:v>
                </c:pt>
                <c:pt idx="22">
                  <c:v>3.0614183137795483</c:v>
                </c:pt>
                <c:pt idx="23">
                  <c:v>3.4225731445044123</c:v>
                </c:pt>
                <c:pt idx="24">
                  <c:v>3.4105764160838712</c:v>
                </c:pt>
                <c:pt idx="25">
                  <c:v>3.705206318395633</c:v>
                </c:pt>
                <c:pt idx="26">
                  <c:v>3.5780422868277082</c:v>
                </c:pt>
                <c:pt idx="27">
                  <c:v>4.0959785287763788</c:v>
                </c:pt>
                <c:pt idx="28">
                  <c:v>4.1552529878265076</c:v>
                </c:pt>
                <c:pt idx="29">
                  <c:v>4.6703426137549338</c:v>
                </c:pt>
                <c:pt idx="30">
                  <c:v>5.5116812832957081</c:v>
                </c:pt>
                <c:pt idx="31">
                  <c:v>5.3633866091913394</c:v>
                </c:pt>
                <c:pt idx="32">
                  <c:v>4.9916871158322129</c:v>
                </c:pt>
                <c:pt idx="33">
                  <c:v>5.2325200066508497</c:v>
                </c:pt>
                <c:pt idx="34">
                  <c:v>5.5558353128003697</c:v>
                </c:pt>
                <c:pt idx="35">
                  <c:v>5.6807037917615979</c:v>
                </c:pt>
                <c:pt idx="36">
                  <c:v>5.8271958650993287</c:v>
                </c:pt>
                <c:pt idx="37">
                  <c:v>5.7249949555945241</c:v>
                </c:pt>
                <c:pt idx="38">
                  <c:v>6.3320225664018155</c:v>
                </c:pt>
                <c:pt idx="39">
                  <c:v>3.9999137979744903</c:v>
                </c:pt>
                <c:pt idx="40">
                  <c:v>5.9839871782927299</c:v>
                </c:pt>
                <c:pt idx="41">
                  <c:v>5.7578257439144789</c:v>
                </c:pt>
                <c:pt idx="42">
                  <c:v>5.7661581238212554</c:v>
                </c:pt>
                <c:pt idx="43">
                  <c:v>5.7621303453008554</c:v>
                </c:pt>
                <c:pt idx="44">
                  <c:v>5.9935341477818227</c:v>
                </c:pt>
                <c:pt idx="45">
                  <c:v>6.2983784579171047</c:v>
                </c:pt>
                <c:pt idx="46">
                  <c:v>6.3663704558976448</c:v>
                </c:pt>
                <c:pt idx="47">
                  <c:v>6.4350964383188263</c:v>
                </c:pt>
                <c:pt idx="48">
                  <c:v>6.5045643286595167</c:v>
                </c:pt>
                <c:pt idx="49">
                  <c:v>6.5747821359337983</c:v>
                </c:pt>
              </c:numCache>
            </c:numRef>
          </c:val>
          <c:smooth val="0"/>
          <c:extLst>
            <c:ext xmlns:c16="http://schemas.microsoft.com/office/drawing/2014/chart" uri="{C3380CC4-5D6E-409C-BE32-E72D297353CC}">
              <c16:uniqueId val="{00000000-2D53-B04B-825C-02D0F7353B1C}"/>
            </c:ext>
          </c:extLst>
        </c:ser>
        <c:dLbls>
          <c:showLegendKey val="0"/>
          <c:showVal val="0"/>
          <c:showCatName val="0"/>
          <c:showSerName val="0"/>
          <c:showPercent val="0"/>
          <c:showBubbleSize val="0"/>
        </c:dLbls>
        <c:smooth val="0"/>
        <c:axId val="547408175"/>
        <c:axId val="547636607"/>
      </c:lineChart>
      <c:catAx>
        <c:axId val="5474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36607"/>
        <c:crosses val="autoZero"/>
        <c:auto val="1"/>
        <c:lblAlgn val="ctr"/>
        <c:lblOffset val="100"/>
        <c:noMultiLvlLbl val="0"/>
      </c:catAx>
      <c:valAx>
        <c:axId val="5476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654050</xdr:colOff>
      <xdr:row>27</xdr:row>
      <xdr:rowOff>133350</xdr:rowOff>
    </xdr:from>
    <xdr:to>
      <xdr:col>16</xdr:col>
      <xdr:colOff>514350</xdr:colOff>
      <xdr:row>42</xdr:row>
      <xdr:rowOff>19050</xdr:rowOff>
    </xdr:to>
    <xdr:graphicFrame macro="">
      <xdr:nvGraphicFramePr>
        <xdr:cNvPr id="6" name="Chart 5">
          <a:extLst>
            <a:ext uri="{FF2B5EF4-FFF2-40B4-BE49-F238E27FC236}">
              <a16:creationId xmlns:a16="http://schemas.microsoft.com/office/drawing/2014/main" id="{014CF7EE-9B19-8124-4AC0-978446F7A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79" totalsRowShown="0" headerRowDxfId="42" dataDxfId="41" tableBorderDxfId="40">
  <autoFilter ref="A1:AN79"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8" xr3:uid="{2C843D4E-B4BF-1B45-83BE-B63E46646133}" name="Sn" dataDxfId="34"/>
    <tableColumn id="10" xr3:uid="{57F0C03A-F849-764C-9937-672AC7FA7056}" name="Cu" dataDxfId="33"/>
    <tableColumn id="11" xr3:uid="{58BB8033-7C57-D848-942D-0BA35942A4E5}" name="Ni" dataDxfId="32"/>
    <tableColumn id="12" xr3:uid="{7D2E504B-DE0F-5048-8A9E-3349B8C91362}" name="Ag" dataDxfId="31"/>
    <tableColumn id="13" xr3:uid="{20ADECBC-5BD7-1F43-B665-1C03CE65BE68}" name="Zn" dataDxfId="30"/>
    <tableColumn id="14" xr3:uid="{F86548EA-FD6C-A542-8346-EE943D12FCEB}" name="Pb" dataDxfId="29"/>
    <tableColumn id="16" xr3:uid="{393A35BC-6237-DC47-B65B-B89C8241358C}" name="Pt" dataDxfId="28"/>
    <tableColumn id="17" xr3:uid="{05D2296D-799C-314E-8B01-0CF90882530E}" name="Te" dataDxfId="27"/>
    <tableColumn id="18" xr3:uid="{557B8136-A6CC-1240-B516-243DE5E1D903}" name="Li" dataDxfId="26"/>
    <tableColumn id="39" xr3:uid="{523A77EA-FE5C-7D48-A73A-9DFC1D5873F6}" name="Li2" dataDxfId="25"/>
    <tableColumn id="40" xr3:uid="{E8EA4472-4BAF-F842-971D-55B5841B5E06}" name="Si" dataDxfId="24"/>
    <tableColumn id="5" xr3:uid="{A6078A25-9A0C-A64B-9EE1-BA43315A365F}" name="Co" dataDxfId="23"/>
    <tableColumn id="6" xr3:uid="{E0CEDA03-DC55-3B44-A7E5-0053003CDB10}" name="REEs" dataDxfId="22"/>
    <tableColumn id="7" xr3:uid="{5865B79F-C134-2C40-BDEB-BBEAD1CBA704}" name="W" dataDxfId="21"/>
    <tableColumn id="9" xr3:uid="{A5579C27-C0E7-FB46-A381-F1A4B88888E9}" name="Ta" dataDxfId="20"/>
    <tableColumn id="15" xr3:uid="{D9E7B89D-2742-EE4A-A97B-9AA324E90CDA}" name="Mo"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0921344917301817,%20table%202" TargetMode="External"/><Relationship Id="rId21" Type="http://schemas.openxmlformats.org/officeDocument/2006/relationships/hyperlink" Target="https://www.sciencedirect.com/science/article/pii/S0048969718312373" TargetMode="External"/><Relationship Id="rId42" Type="http://schemas.openxmlformats.org/officeDocument/2006/relationships/hyperlink" Target="https://www.sciencedirect.com/science/article/pii/S0921344916300064,%20table%201%20,%20The%20anthropogenic%20cycle%20of%20zinc:%20Status%20quo%20and%20perspectives,%20Meylan%202017" TargetMode="External"/><Relationship Id="rId47" Type="http://schemas.openxmlformats.org/officeDocument/2006/relationships/hyperlink" Target="https://www.sciencedirect.com/science/article/pii/S0921344917301817,%20table%202" TargetMode="External"/><Relationship Id="rId63" Type="http://schemas.openxmlformats.org/officeDocument/2006/relationships/hyperlink" Target="https://www.itia.info/mining-beneficiation.html" TargetMode="External"/><Relationship Id="rId68" Type="http://schemas.openxmlformats.org/officeDocument/2006/relationships/hyperlink" Target="https://www.sciencedirect.com/science/article/pii/S0921344916300064,%20table%201%20,%20The%20anthropogenic%20cycle%20of%20zinc:%20Status%20quo%20and%20perspectives,%20Meylan%202017"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29" Type="http://schemas.openxmlformats.org/officeDocument/2006/relationships/hyperlink" Target="https://www.sciencedirect.com/science/article/pii/S0921344917301817,%20table%202" TargetMode="External"/><Relationship Id="rId11" Type="http://schemas.openxmlformats.org/officeDocument/2006/relationships/hyperlink" Target="https://www.forbes.com/sites/halahtouryalai/2012/04/02/a-rare-metal-youve-never-heard-of-is-on-a-tear/?sh=51bf93b2290d" TargetMode="External"/><Relationship Id="rId24" Type="http://schemas.openxmlformats.org/officeDocument/2006/relationships/hyperlink" Target="https://www.sciencedirect.com/science/article/pii/S0921344916300064,%20table%201%20,%20The%20anthropogenic%20cycle%20of%20zinc:%20Status%20quo%20and%20perspectives,%20Meylan%202017"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0" Type="http://schemas.openxmlformats.org/officeDocument/2006/relationships/hyperlink" Target="https://www.sciencedirect.com/science/article/pii/S0921344916300064,%20table%201%20,%20The%20anthropogenic%20cycle%20of%20zinc:%20Status%20quo%20and%20perspectives,%20Meylan%202017" TargetMode="External"/><Relationship Id="rId45" Type="http://schemas.openxmlformats.org/officeDocument/2006/relationships/hyperlink" Target="https://www.sciencedirect.com/topics/social-sciences/tungsten" TargetMode="External"/><Relationship Id="rId53" Type="http://schemas.openxmlformats.org/officeDocument/2006/relationships/hyperlink" Target="https://insg.org/wp-content/uploads/2022/02/publist_The-World-Nickel-Factbook-2021.pdf" TargetMode="External"/><Relationship Id="rId58" Type="http://schemas.openxmlformats.org/officeDocument/2006/relationships/hyperlink" Target="https://platinuminvestment.com/about/60-seconds-in-platinum/2020/06/24" TargetMode="External"/><Relationship Id="rId66"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5" Type="http://schemas.openxmlformats.org/officeDocument/2006/relationships/hyperlink" Target="https://pubs.usgs.gov/periodicals/mcs2021/mcs2021-tungsten.pdf" TargetMode="External"/><Relationship Id="rId61" Type="http://schemas.openxmlformats.org/officeDocument/2006/relationships/hyperlink" Target="https://www.itia.info/mining-beneficiation.html" TargetMode="External"/><Relationship Id="rId19" Type="http://schemas.openxmlformats.org/officeDocument/2006/relationships/hyperlink" Target="https://www.sciencedirect.com/science/article/pii/S0048969718312373" TargetMode="External"/><Relationship Id="rId14" Type="http://schemas.openxmlformats.org/officeDocument/2006/relationships/hyperlink" Target="https://www.mdpi.com/2079-9276/10/9/93/pdf" TargetMode="External"/><Relationship Id="rId22" Type="http://schemas.openxmlformats.org/officeDocument/2006/relationships/hyperlink" Target="https://www.sciencedirect.com/science/article/pii/S0048969718312373" TargetMode="External"/><Relationship Id="rId27" Type="http://schemas.openxmlformats.org/officeDocument/2006/relationships/hyperlink" Target="https://www.sciencedirect.com/science/article/pii/S0921344917301817,%20table%202" TargetMode="External"/><Relationship Id="rId30" Type="http://schemas.openxmlformats.org/officeDocument/2006/relationships/hyperlink" Target="https://www.sciencedirect.com/science/article/pii/S0921344917301817,%20table%202" TargetMode="External"/><Relationship Id="rId3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3" Type="http://schemas.openxmlformats.org/officeDocument/2006/relationships/hyperlink" Target="https://www.sciencedirect.com/science/article/pii/S0921344916300064,%20table%201%20,%20The%20anthropogenic%20cycle%20of%20zinc:%20Status%20quo%20and%20perspectives,%20Meylan%202017" TargetMode="External"/><Relationship Id="rId48" Type="http://schemas.openxmlformats.org/officeDocument/2006/relationships/hyperlink" Target="https://www.sciencedirect.com/science/article/pii/S0921344917301817,%20table%202" TargetMode="External"/><Relationship Id="rId56" Type="http://schemas.openxmlformats.org/officeDocument/2006/relationships/hyperlink" Target="https://ar2019.nornickel.com/pdf/ar/en/commodity-market-overview_platinum.pdf" TargetMode="External"/><Relationship Id="rId64" Type="http://schemas.openxmlformats.org/officeDocument/2006/relationships/hyperlink" Target="https://doi.org/10.1016/j.resconrec.2017.10.018,%20Figure%2011,%20using%20Chinese%20internal%20consumption%20(assuming%20reported%20in%20Ta2O5)%20and%203500%20t%20Ta%20total%20consumption.%202016." TargetMode="External"/><Relationship Id="rId69" Type="http://schemas.openxmlformats.org/officeDocument/2006/relationships/hyperlink" Target="https://www.sprott.com/media/2268/world-silver-survey-2019.pdf,%20using%20this%20sector%20as%20industrial;%20renamed%20as%20per%20gold" TargetMode="External"/><Relationship Id="rId8" Type="http://schemas.openxmlformats.org/officeDocument/2006/relationships/hyperlink" Target="https://www.argusmedia.com/en/news/2222244-eu-tantalum-prices-rebound-on-higher-input-costs" TargetMode="External"/><Relationship Id="rId51" Type="http://schemas.openxmlformats.org/officeDocument/2006/relationships/hyperlink" Target="https://www.sciencedirect.com/science/article/pii/S0921344917301817,%20table%202" TargetMode="External"/><Relationship Id="rId72" Type="http://schemas.openxmlformats.org/officeDocument/2006/relationships/printerSettings" Target="../printerSettings/printerSettings1.bin"/><Relationship Id="rId3" Type="http://schemas.openxmlformats.org/officeDocument/2006/relationships/hyperlink" Target="https://www.sciencedirect.com/science/article/pii/S0263436821000780" TargetMode="External"/><Relationship Id="rId12" Type="http://schemas.openxmlformats.org/officeDocument/2006/relationships/hyperlink" Target="https://www.scrapmonster.com/scrap-yard/price/lead-scrap/5%20%20%20%20%20%20/0.39%20dollars%20per%20pound" TargetMode="External"/><Relationship Id="rId17" Type="http://schemas.openxmlformats.org/officeDocument/2006/relationships/hyperlink" Target="https://www.statista.com/statistics/1131647/china-refined-lead-consumption-volume/,%205.08/12.162" TargetMode="External"/><Relationship Id="rId25" Type="http://schemas.openxmlformats.org/officeDocument/2006/relationships/hyperlink" Target="https://www.sciencedirect.com/science/article/pii/S0921344917301817,%20table%202"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6" Type="http://schemas.openxmlformats.org/officeDocument/2006/relationships/hyperlink" Target="https://www.mdpi.com/2079-9276/10/9/93/pdf" TargetMode="External"/><Relationship Id="rId59" Type="http://schemas.openxmlformats.org/officeDocument/2006/relationships/hyperlink" Target="https://platinuminvestment.com/supply-and-demand/historic-data" TargetMode="External"/><Relationship Id="rId67" Type="http://schemas.openxmlformats.org/officeDocument/2006/relationships/hyperlink" Target="https://www.sciencedirect.com/science/article/pii/S0921344917301817" TargetMode="External"/><Relationship Id="rId20" Type="http://schemas.openxmlformats.org/officeDocument/2006/relationships/hyperlink" Target="https://www.sciencedirect.com/science/article/pii/S0048969718312373" TargetMode="External"/><Relationship Id="rId41" Type="http://schemas.openxmlformats.org/officeDocument/2006/relationships/hyperlink" Target="https://countertop.mit.edu:3048/notebooks/SQL/Second%20round%20generalization%20mine%20parameters.ipynb,%20section%20Getting%20all%20the%20values%20to%20check%20with" TargetMode="External"/><Relationship Id="rId54" Type="http://schemas.openxmlformats.org/officeDocument/2006/relationships/hyperlink" Target="https://ar2019.nornickel.com/pdf/ar/en/commodity-market-overview_platinum.pdf" TargetMode="External"/><Relationship Id="rId62" Type="http://schemas.openxmlformats.org/officeDocument/2006/relationships/hyperlink" Target="https://www.itia.info/mining-beneficiation.html" TargetMode="External"/><Relationship Id="rId70" Type="http://schemas.openxmlformats.org/officeDocument/2006/relationships/hyperlink" Target="https://doi.org/10.1016/j.resconrec.2017.10.018,%20Figure%2011,%20using%20Chinese%20internal%20consumption%20and%20Capacitor%20exports%20(assuming%20reported%20in%20Ta2O5)%20and%203500%20t%20Ta%20total%20consumption.%202016."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www.statista.com/statistics/1009446/tungsten-price/" TargetMode="External"/><Relationship Id="rId15" Type="http://schemas.openxmlformats.org/officeDocument/2006/relationships/hyperlink" Target="https://www.copper.org/publications/newsletters/innovations/2001/08/hydrometallurgy.html" TargetMode="External"/><Relationship Id="rId23" Type="http://schemas.openxmlformats.org/officeDocument/2006/relationships/hyperlink" Target="https://www.recyclingtoday.com/article/battery-council-international-lead-battery-recycling/" TargetMode="External"/><Relationship Id="rId28" Type="http://schemas.openxmlformats.org/officeDocument/2006/relationships/hyperlink" Target="https://www.sciencedirect.com/science/article/pii/S0921344917301817,%20table%202" TargetMode="External"/><Relationship Id="rId3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9" Type="http://schemas.openxmlformats.org/officeDocument/2006/relationships/hyperlink" Target="https://www.sciencedirect.com/science/article/pii/S0921344917301817,%20table%202" TargetMode="External"/><Relationship Id="rId57" Type="http://schemas.openxmlformats.org/officeDocument/2006/relationships/hyperlink" Target="https://ar2019.nornickel.com/pdf/ar/en/commodity-market-overview_platinum.pdf" TargetMode="External"/><Relationship Id="rId10" Type="http://schemas.openxmlformats.org/officeDocument/2006/relationships/hyperlink" Target="https://www.sciencedirect.com/science/article/pii/S0921344917301556" TargetMode="External"/><Relationship Id="rId31" Type="http://schemas.openxmlformats.org/officeDocument/2006/relationships/hyperlink" Target="https://www.sciencedirect.com/science/article/pii/S0921344917301817,%20table%202" TargetMode="External"/><Relationship Id="rId44" Type="http://schemas.openxmlformats.org/officeDocument/2006/relationships/hyperlink" Target="https://www.sciencedirect.com/science/article/pii/S0921344916300064,%20table%201%20,%20The%20anthropogenic%20cycle%20of%20zinc:%20Status%20quo%20and%20perspectives,%20Meylan%202017" TargetMode="External"/><Relationship Id="rId52" Type="http://schemas.openxmlformats.org/officeDocument/2006/relationships/hyperlink" Target="https://insg.org/wp-content/uploads/2022/02/publist_The-World-Nickel-Factbook-2021.pdf" TargetMode="External"/><Relationship Id="rId60" Type="http://schemas.openxmlformats.org/officeDocument/2006/relationships/hyperlink" Target="https://www.metalary.com/tungsten-price/" TargetMode="External"/><Relationship Id="rId65" Type="http://schemas.openxmlformats.org/officeDocument/2006/relationships/hyperlink" Target="https://ar2019.nornickel.com/pdf/ar/en/commodity-market-overview_platinum.pdf" TargetMode="External"/><Relationship Id="rId73" Type="http://schemas.openxmlformats.org/officeDocument/2006/relationships/table" Target="../tables/table1.xm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www.sciencedirect.com/science/article/pii/S0921344917301556" TargetMode="External"/><Relationship Id="rId13" Type="http://schemas.openxmlformats.org/officeDocument/2006/relationships/hyperlink" Target="https://min-eng.com/pdf/sxew.pdf" TargetMode="External"/><Relationship Id="rId18"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34"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7301817,%20table%202" TargetMode="External"/><Relationship Id="rId55" Type="http://schemas.openxmlformats.org/officeDocument/2006/relationships/hyperlink" Target="https://ar2019.nornickel.com/pdf/ar/en/commodity-market-overview_platinum.pdf" TargetMode="External"/><Relationship Id="rId7" Type="http://schemas.openxmlformats.org/officeDocument/2006/relationships/hyperlink" Target="https://pubs.usgs.gov/periodicals/mcs2020/mcs2020-tin.pdf" TargetMode="External"/><Relationship Id="rId71" Type="http://schemas.openxmlformats.org/officeDocument/2006/relationships/hyperlink" Target="https://www.argusmedia.com/en/news/2222244-eu-tantalum-prices-rebound-on-higher-input-costs,%20reported%20135%20USD/lb.%20Tantalum%20scrap%20appears%20to%20be%20higher%20priced%20than%20primary%20tantalum%20at%20the%20moment%20due%20to%20(particularly%20US%20military)%20requirements%20on%20sourcing.%20Leads%20to%20spread%20of%20-27033.%20We%20will%20instead%20assume%20a%20small%20scrap%20spread%20of%205%25%20the%20primary%20commodity%20price%20since%20there%20are%20likely%20problems%20in%20the%20model%20if%20spread%20is%20negative"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2.bgs.ac.uk/mineralsuk/statistics/wms.cfc?method=searchWM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rmd-1994.com/info/recovery-and-utilization-of-tungsten-30733684.html" TargetMode="External"/><Relationship Id="rId3" Type="http://schemas.openxmlformats.org/officeDocument/2006/relationships/hyperlink" Target="https://www.researchgate.net/publication/315920289_Global_Tungsten_Demand_and_Supply_Forecast" TargetMode="External"/><Relationship Id="rId7" Type="http://schemas.openxmlformats.org/officeDocument/2006/relationships/hyperlink" Target="https://www.rmd-1994.com/info/recovery-and-utilization-of-tungsten-30733684.html" TargetMode="External"/><Relationship Id="rId2" Type="http://schemas.openxmlformats.org/officeDocument/2006/relationships/hyperlink" Target="https://www.researchgate.net/publication/315920289_Global_Tungsten_Demand_and_Supply_Forecast" TargetMode="External"/><Relationship Id="rId1" Type="http://schemas.openxmlformats.org/officeDocument/2006/relationships/hyperlink" Target="https://www.usgs.gov/centers/national-minerals-information-center/historical-statistics-mineral-and-material-commodities" TargetMode="External"/><Relationship Id="rId6" Type="http://schemas.openxmlformats.org/officeDocument/2006/relationships/hyperlink" Target="https://www.itia.info/tungsten-primary-uses.html" TargetMode="External"/><Relationship Id="rId11" Type="http://schemas.openxmlformats.org/officeDocument/2006/relationships/hyperlink" Target="https://www.rmd-1994.com/info/recovery-and-utilization-of-tungsten-30733684.html" TargetMode="External"/><Relationship Id="rId5" Type="http://schemas.openxmlformats.org/officeDocument/2006/relationships/hyperlink" Target="https://www.researchgate.net/publication/315920289_Global_Tungsten_Demand_and_Supply_Forecast" TargetMode="External"/><Relationship Id="rId10" Type="http://schemas.openxmlformats.org/officeDocument/2006/relationships/hyperlink" Target="https://www.rmd-1994.com/info/recovery-and-utilization-of-tungsten-30733684.html" TargetMode="External"/><Relationship Id="rId4" Type="http://schemas.openxmlformats.org/officeDocument/2006/relationships/hyperlink" Target="https://www.researchgate.net/publication/315920289_Global_Tungsten_Demand_and_Supply_Forecast" TargetMode="External"/><Relationship Id="rId9" Type="http://schemas.openxmlformats.org/officeDocument/2006/relationships/hyperlink" Target="https://nextinvestors.com/articles/new-look-sei-verge-tungsten-produ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 Id="rId5" Type="http://schemas.openxmlformats.org/officeDocument/2006/relationships/hyperlink" Target="https://www.usgs.gov/centers/national-minerals-information-center/nickel-statistics-and-information" TargetMode="External"/><Relationship Id="rId4"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BG79"/>
  <sheetViews>
    <sheetView tabSelected="1" workbookViewId="0">
      <pane ySplit="1" topLeftCell="A15" activePane="bottomLeft" state="frozen"/>
      <selection pane="bottomLeft" activeCell="K31" sqref="K31"/>
    </sheetView>
  </sheetViews>
  <sheetFormatPr baseColWidth="10" defaultColWidth="8.83203125" defaultRowHeight="15"/>
  <cols>
    <col min="1" max="1" width="47.1640625" bestFit="1" customWidth="1"/>
    <col min="2" max="2" width="47.1640625" customWidth="1"/>
    <col min="3" max="18" width="8.83203125" customWidth="1"/>
    <col min="19" max="21" width="12.33203125" customWidth="1"/>
    <col min="22" max="22" width="8.83203125" customWidth="1"/>
    <col min="24" max="26" width="8.83203125" customWidth="1"/>
    <col min="27" max="27" width="9.6640625" customWidth="1"/>
    <col min="28" max="28" width="8.83203125" customWidth="1"/>
    <col min="29" max="29" width="9.83203125" customWidth="1"/>
    <col min="30" max="30" width="12.1640625" customWidth="1"/>
    <col min="31" max="31" width="10.33203125" customWidth="1"/>
    <col min="32" max="32" width="10.1640625" customWidth="1"/>
    <col min="33" max="33" width="11.5" customWidth="1"/>
    <col min="34" max="34" width="9.83203125" customWidth="1"/>
    <col min="35" max="35" width="10" customWidth="1"/>
    <col min="36" max="36" width="9.83203125" customWidth="1"/>
    <col min="37" max="37" width="10.1640625" customWidth="1"/>
    <col min="38" max="38" width="9.83203125" customWidth="1"/>
    <col min="39" max="39" width="10.1640625" customWidth="1"/>
    <col min="40" max="40" width="10" customWidth="1"/>
    <col min="41" max="41" width="10.1640625" customWidth="1"/>
    <col min="42" max="42" width="10.83203125" customWidth="1"/>
    <col min="43" max="43" width="9.83203125" customWidth="1"/>
    <col min="44" max="44" width="9.5" customWidth="1"/>
    <col min="45" max="45" width="10" customWidth="1"/>
  </cols>
  <sheetData>
    <row r="1" spans="1:59" s="28" customFormat="1" ht="34" customHeight="1">
      <c r="A1" s="28" t="s">
        <v>391</v>
      </c>
      <c r="B1" s="28" t="s">
        <v>340</v>
      </c>
      <c r="C1" s="28" t="s">
        <v>0</v>
      </c>
      <c r="D1" s="28" t="s">
        <v>1</v>
      </c>
      <c r="E1" s="28" t="s">
        <v>2</v>
      </c>
      <c r="F1" s="28" t="s">
        <v>6</v>
      </c>
      <c r="G1" s="28" t="s">
        <v>8</v>
      </c>
      <c r="H1" s="28" t="s">
        <v>112</v>
      </c>
      <c r="I1" s="28" t="s">
        <v>114</v>
      </c>
      <c r="J1" s="28" t="s">
        <v>115</v>
      </c>
      <c r="K1" s="28" t="s">
        <v>113</v>
      </c>
      <c r="L1" s="28" t="s">
        <v>94</v>
      </c>
      <c r="M1" s="29" t="s">
        <v>284</v>
      </c>
      <c r="N1" s="28" t="s">
        <v>95</v>
      </c>
      <c r="O1" s="28" t="s">
        <v>426</v>
      </c>
      <c r="P1" s="28" t="s">
        <v>436</v>
      </c>
      <c r="Q1" s="28" t="s">
        <v>3</v>
      </c>
      <c r="R1" s="28" t="s">
        <v>4</v>
      </c>
      <c r="S1" s="28" t="s">
        <v>5</v>
      </c>
      <c r="T1" s="28" t="s">
        <v>7</v>
      </c>
      <c r="U1" s="28" t="s">
        <v>121</v>
      </c>
      <c r="V1" s="28" t="s">
        <v>23</v>
      </c>
      <c r="W1" s="30" t="s">
        <v>12</v>
      </c>
      <c r="X1" s="28" t="s">
        <v>79</v>
      </c>
      <c r="Y1" s="28" t="s">
        <v>80</v>
      </c>
      <c r="Z1" s="28" t="s">
        <v>81</v>
      </c>
      <c r="AA1" s="28" t="s">
        <v>82</v>
      </c>
      <c r="AB1" s="28" t="s">
        <v>83</v>
      </c>
      <c r="AC1" s="28" t="s">
        <v>84</v>
      </c>
      <c r="AD1" s="28" t="s">
        <v>85</v>
      </c>
      <c r="AE1" s="28" t="s">
        <v>86</v>
      </c>
      <c r="AF1" s="28" t="s">
        <v>87</v>
      </c>
      <c r="AG1" s="28" t="s">
        <v>116</v>
      </c>
      <c r="AH1" s="28" t="s">
        <v>117</v>
      </c>
      <c r="AI1" s="28" t="s">
        <v>118</v>
      </c>
      <c r="AJ1" s="28" t="s">
        <v>119</v>
      </c>
      <c r="AK1" s="28" t="s">
        <v>120</v>
      </c>
      <c r="AL1" s="28" t="s">
        <v>107</v>
      </c>
      <c r="AM1" s="28" t="s">
        <v>108</v>
      </c>
      <c r="AN1" s="28" t="s">
        <v>285</v>
      </c>
    </row>
    <row r="2" spans="1:59" ht="14.5" customHeight="1">
      <c r="A2" s="5" t="s">
        <v>9</v>
      </c>
      <c r="B2" s="5" t="s">
        <v>367</v>
      </c>
      <c r="C2" s="5" t="s">
        <v>10</v>
      </c>
      <c r="D2" s="5" t="s">
        <v>10</v>
      </c>
      <c r="E2" s="5" t="s">
        <v>400</v>
      </c>
      <c r="F2" s="5" t="s">
        <v>10</v>
      </c>
      <c r="G2" s="5" t="s">
        <v>398</v>
      </c>
      <c r="H2" s="5" t="s">
        <v>10</v>
      </c>
      <c r="I2" s="5" t="s">
        <v>397</v>
      </c>
      <c r="J2" s="5" t="s">
        <v>402</v>
      </c>
      <c r="K2" s="5"/>
      <c r="L2" s="5" t="s">
        <v>438</v>
      </c>
      <c r="M2" s="14" t="s">
        <v>401</v>
      </c>
      <c r="N2" s="5" t="s">
        <v>10</v>
      </c>
      <c r="O2" s="14" t="s">
        <v>10</v>
      </c>
      <c r="P2" s="14"/>
      <c r="Q2" s="5" t="s">
        <v>399</v>
      </c>
      <c r="R2" s="5" t="s">
        <v>11</v>
      </c>
      <c r="S2" s="5" t="s">
        <v>550</v>
      </c>
      <c r="T2" s="5" t="s">
        <v>549</v>
      </c>
      <c r="U2" s="5" t="s">
        <v>396</v>
      </c>
      <c r="V2" s="5"/>
      <c r="W2" s="6" t="s">
        <v>13</v>
      </c>
      <c r="X2" s="6"/>
      <c r="Y2" s="6"/>
      <c r="Z2" s="6" t="s">
        <v>403</v>
      </c>
      <c r="AA2" s="6" t="s">
        <v>403</v>
      </c>
      <c r="AB2" s="6"/>
      <c r="AC2" s="6"/>
      <c r="AD2" s="6"/>
      <c r="AE2" s="6" t="s">
        <v>403</v>
      </c>
      <c r="AF2" s="6" t="s">
        <v>403</v>
      </c>
      <c r="AG2" s="6"/>
      <c r="AH2" s="6" t="s">
        <v>403</v>
      </c>
      <c r="AI2" s="6" t="s">
        <v>403</v>
      </c>
      <c r="AJ2" s="6"/>
      <c r="AK2" s="6" t="s">
        <v>403</v>
      </c>
      <c r="AL2" s="6" t="s">
        <v>437</v>
      </c>
      <c r="AM2" s="14"/>
      <c r="AN2" s="6" t="s">
        <v>403</v>
      </c>
    </row>
    <row r="3" spans="1:59" ht="14.5" customHeight="1">
      <c r="A3" t="s">
        <v>17</v>
      </c>
      <c r="B3" t="s">
        <v>343</v>
      </c>
      <c r="C3">
        <v>85768.388145129153</v>
      </c>
      <c r="D3">
        <v>1767000</v>
      </c>
      <c r="E3">
        <v>4.3593999999999999</v>
      </c>
      <c r="F3">
        <v>371.81700000000001</v>
      </c>
      <c r="G3">
        <v>30046.0829493087</v>
      </c>
      <c r="H3">
        <v>3226.8622280817385</v>
      </c>
      <c r="I3">
        <v>26.704941782475718</v>
      </c>
      <c r="J3">
        <v>17448.642054092597</v>
      </c>
      <c r="K3">
        <v>12244</v>
      </c>
      <c r="L3">
        <v>0.24299999999999999</v>
      </c>
      <c r="M3" s="16">
        <v>0.52</v>
      </c>
      <c r="N3">
        <v>298.08800000000002</v>
      </c>
      <c r="O3" s="43">
        <v>298.08800000000002</v>
      </c>
      <c r="P3" s="43"/>
      <c r="S3">
        <v>97.8</v>
      </c>
      <c r="T3" s="52">
        <v>6.5747821359337983</v>
      </c>
      <c r="U3">
        <v>261.40530000000001</v>
      </c>
      <c r="V3" t="s">
        <v>24</v>
      </c>
      <c r="W3" s="7" t="s">
        <v>18</v>
      </c>
      <c r="X3" s="7" t="s">
        <v>162</v>
      </c>
      <c r="Y3" s="7" t="s">
        <v>133</v>
      </c>
      <c r="Z3" s="6" t="s">
        <v>146</v>
      </c>
      <c r="AA3" s="7"/>
      <c r="AB3" s="7"/>
      <c r="AC3" s="17" t="s">
        <v>196</v>
      </c>
      <c r="AD3" s="7" t="s">
        <v>197</v>
      </c>
      <c r="AE3" t="s">
        <v>524</v>
      </c>
      <c r="AF3" s="7"/>
      <c r="AG3" s="7" t="s">
        <v>198</v>
      </c>
      <c r="AH3" s="17" t="s">
        <v>199</v>
      </c>
      <c r="AI3" s="7" t="s">
        <v>200</v>
      </c>
      <c r="AJ3" s="7" t="s">
        <v>201</v>
      </c>
      <c r="AK3" s="7" t="s">
        <v>202</v>
      </c>
      <c r="AL3" s="17" t="s">
        <v>203</v>
      </c>
      <c r="AM3" s="16"/>
      <c r="AN3" s="7"/>
    </row>
    <row r="4" spans="1:59" ht="14.5" customHeight="1">
      <c r="A4" s="5" t="s">
        <v>19</v>
      </c>
      <c r="B4" s="5" t="s">
        <v>341</v>
      </c>
      <c r="C4" s="5"/>
      <c r="D4" s="5"/>
      <c r="E4" s="5"/>
      <c r="F4" s="5"/>
      <c r="G4" s="5">
        <v>2.5399999999999999E-2</v>
      </c>
      <c r="H4" s="5"/>
      <c r="I4" s="5"/>
      <c r="J4" s="5"/>
      <c r="K4" s="5"/>
      <c r="L4" s="5"/>
      <c r="M4" s="14">
        <v>1</v>
      </c>
      <c r="N4" s="5"/>
      <c r="O4" s="44"/>
      <c r="P4" s="44"/>
      <c r="Q4" s="5"/>
      <c r="R4" s="5"/>
      <c r="S4" s="5"/>
      <c r="T4" s="5"/>
      <c r="U4" s="5"/>
      <c r="V4" s="5" t="s">
        <v>24</v>
      </c>
      <c r="W4" s="6" t="s">
        <v>20</v>
      </c>
      <c r="X4" s="6"/>
      <c r="Y4" s="6"/>
      <c r="Z4" s="6"/>
      <c r="AA4" s="6"/>
      <c r="AB4" s="6"/>
      <c r="AC4" s="6"/>
      <c r="AD4" s="6"/>
      <c r="AE4" s="6"/>
      <c r="AF4" s="6" t="s">
        <v>390</v>
      </c>
      <c r="AG4" s="6"/>
      <c r="AH4" s="6"/>
      <c r="AI4" s="6"/>
      <c r="AJ4" s="6"/>
      <c r="AK4" s="6"/>
      <c r="AL4" s="6"/>
      <c r="AM4" s="14"/>
      <c r="AN4" s="6"/>
    </row>
    <row r="5" spans="1:59" ht="14.5" customHeight="1">
      <c r="A5" t="s">
        <v>22</v>
      </c>
      <c r="B5" t="s">
        <v>342</v>
      </c>
      <c r="C5">
        <v>0.04</v>
      </c>
      <c r="D5">
        <v>3.3765999999999997E-2</v>
      </c>
      <c r="E5">
        <v>1.7332E-2</v>
      </c>
      <c r="F5">
        <v>0.02</v>
      </c>
      <c r="G5">
        <v>0.03</v>
      </c>
      <c r="H5">
        <v>0.06</v>
      </c>
      <c r="I5">
        <v>2.4E-2</v>
      </c>
      <c r="J5">
        <v>2.8000000000000001E-2</v>
      </c>
      <c r="K5">
        <v>2.7300000000000001E-2</v>
      </c>
      <c r="L5">
        <v>1.4999999999999999E-2</v>
      </c>
      <c r="M5" s="16">
        <v>0.08</v>
      </c>
      <c r="O5" s="43">
        <v>0.1</v>
      </c>
      <c r="P5" s="43"/>
      <c r="S5">
        <v>0.08</v>
      </c>
      <c r="T5" s="52">
        <f>(5.5117/2.26998)^(1/(2000-1970))-1</f>
        <v>3.0011605329331781E-2</v>
      </c>
      <c r="U5">
        <v>0.05</v>
      </c>
      <c r="V5" t="s">
        <v>24</v>
      </c>
      <c r="W5" s="7" t="s">
        <v>21</v>
      </c>
      <c r="X5" s="7" t="s">
        <v>204</v>
      </c>
      <c r="Y5" s="7" t="s">
        <v>132</v>
      </c>
      <c r="Z5" s="7" t="s">
        <v>292</v>
      </c>
      <c r="AA5" s="7"/>
      <c r="AB5" s="7"/>
      <c r="AC5" s="7" t="s">
        <v>205</v>
      </c>
      <c r="AD5" s="17" t="s">
        <v>206</v>
      </c>
      <c r="AE5" s="7" t="s">
        <v>525</v>
      </c>
      <c r="AF5" s="7"/>
      <c r="AG5" s="7" t="s">
        <v>207</v>
      </c>
      <c r="AH5" s="7" t="s">
        <v>208</v>
      </c>
      <c r="AI5" s="35" t="s">
        <v>315</v>
      </c>
      <c r="AJ5" s="7" t="s">
        <v>209</v>
      </c>
      <c r="AK5" s="7" t="s">
        <v>210</v>
      </c>
      <c r="AL5" s="7" t="s">
        <v>211</v>
      </c>
      <c r="AM5" s="46" t="s">
        <v>435</v>
      </c>
      <c r="AN5" s="7"/>
    </row>
    <row r="6" spans="1:59" ht="14.5" customHeight="1">
      <c r="A6" s="5" t="s">
        <v>25</v>
      </c>
      <c r="B6" s="5" t="s">
        <v>344</v>
      </c>
      <c r="C6" s="5">
        <v>0.45100000000000001</v>
      </c>
      <c r="D6" s="5">
        <v>0.51300000000000001</v>
      </c>
      <c r="E6" s="5">
        <v>0.41267999999999999</v>
      </c>
      <c r="F6" s="5">
        <v>0.48099999999999998</v>
      </c>
      <c r="G6" s="5">
        <v>0.52644999999999997</v>
      </c>
      <c r="H6" s="5">
        <v>0.53</v>
      </c>
      <c r="I6" s="5">
        <v>0.17499999999999999</v>
      </c>
      <c r="J6" s="5">
        <v>0.48980000000000001</v>
      </c>
      <c r="K6" s="5">
        <f>5.08/12.162</f>
        <v>0.41769445814833084</v>
      </c>
      <c r="L6" s="5">
        <v>0.26</v>
      </c>
      <c r="M6" s="14">
        <v>0.625</v>
      </c>
      <c r="N6" s="5">
        <v>0</v>
      </c>
      <c r="O6" s="44">
        <v>0.4</v>
      </c>
      <c r="P6" s="44"/>
      <c r="Q6" s="5"/>
      <c r="R6" s="5"/>
      <c r="S6" s="5">
        <v>0.6</v>
      </c>
      <c r="T6" s="5">
        <f>(2488)/2.442/3500</f>
        <v>0.29109629109629104</v>
      </c>
      <c r="U6" s="5">
        <v>0.35589999999999999</v>
      </c>
      <c r="V6" s="5" t="s">
        <v>24</v>
      </c>
      <c r="W6" s="6"/>
      <c r="X6" s="6" t="s">
        <v>159</v>
      </c>
      <c r="Y6" s="6" t="s">
        <v>131</v>
      </c>
      <c r="Z6" s="6" t="s">
        <v>149</v>
      </c>
      <c r="AA6" s="6"/>
      <c r="AB6" s="6"/>
      <c r="AC6" s="6" t="s">
        <v>212</v>
      </c>
      <c r="AD6" s="55" t="s">
        <v>554</v>
      </c>
      <c r="AE6" s="19" t="s">
        <v>537</v>
      </c>
      <c r="AF6" s="6" t="s">
        <v>78</v>
      </c>
      <c r="AG6" s="6" t="s">
        <v>213</v>
      </c>
      <c r="AH6" s="6" t="s">
        <v>316</v>
      </c>
      <c r="AI6" s="6" t="s">
        <v>214</v>
      </c>
      <c r="AJ6" s="19" t="s">
        <v>307</v>
      </c>
      <c r="AK6" s="6" t="s">
        <v>215</v>
      </c>
      <c r="AL6" s="1" t="s">
        <v>313</v>
      </c>
      <c r="AM6" s="14"/>
      <c r="AN6" s="35" t="s">
        <v>314</v>
      </c>
    </row>
    <row r="7" spans="1:59" ht="14.5" customHeight="1">
      <c r="A7" t="s">
        <v>26</v>
      </c>
      <c r="B7" t="s">
        <v>368</v>
      </c>
      <c r="C7">
        <v>0.251</v>
      </c>
      <c r="D7">
        <v>0.52</v>
      </c>
      <c r="E7" s="10">
        <v>9.9999999999999995E-7</v>
      </c>
      <c r="F7">
        <f>1-SUM(F8:F11)</f>
        <v>0.19100000000000006</v>
      </c>
      <c r="G7">
        <v>0.3</v>
      </c>
      <c r="H7" s="5">
        <v>0.17605633802816922</v>
      </c>
      <c r="I7">
        <f>(578.6/1033.5)-0.000001</f>
        <v>0.55984418626028054</v>
      </c>
      <c r="J7">
        <v>0.33</v>
      </c>
      <c r="K7">
        <v>0.05</v>
      </c>
      <c r="L7">
        <v>0.06</v>
      </c>
      <c r="M7" s="16">
        <v>0.4</v>
      </c>
      <c r="N7">
        <v>0.14000000000000001</v>
      </c>
      <c r="O7" s="43">
        <v>0.14000000000000001</v>
      </c>
      <c r="P7" s="43"/>
      <c r="S7">
        <v>0.65</v>
      </c>
      <c r="T7" s="52">
        <v>3.9325758436055146E-2</v>
      </c>
      <c r="U7">
        <v>0.71</v>
      </c>
      <c r="V7" t="s">
        <v>24</v>
      </c>
      <c r="W7" s="7" t="s">
        <v>533</v>
      </c>
      <c r="X7" s="7" t="s">
        <v>160</v>
      </c>
      <c r="Y7" s="7" t="s">
        <v>131</v>
      </c>
      <c r="Z7" s="7" t="s">
        <v>141</v>
      </c>
      <c r="AA7" s="7"/>
      <c r="AB7" s="7"/>
      <c r="AC7" s="7" t="s">
        <v>216</v>
      </c>
      <c r="AD7" s="1" t="s">
        <v>321</v>
      </c>
      <c r="AE7" s="7" t="s">
        <v>555</v>
      </c>
      <c r="AF7" s="7" t="s">
        <v>78</v>
      </c>
      <c r="AG7" s="1" t="s">
        <v>320</v>
      </c>
      <c r="AH7" s="17" t="s">
        <v>323</v>
      </c>
      <c r="AI7" s="17" t="s">
        <v>319</v>
      </c>
      <c r="AJ7" s="17" t="s">
        <v>324</v>
      </c>
      <c r="AK7" s="7" t="s">
        <v>215</v>
      </c>
      <c r="AL7" s="17" t="s">
        <v>203</v>
      </c>
      <c r="AM7" s="16"/>
      <c r="AN7" s="7" t="s">
        <v>218</v>
      </c>
    </row>
    <row r="8" spans="1:59" ht="14.5" customHeight="1">
      <c r="A8" s="5" t="s">
        <v>27</v>
      </c>
      <c r="B8" t="s">
        <v>369</v>
      </c>
      <c r="C8" s="5">
        <v>0.11899999999999999</v>
      </c>
      <c r="D8" s="5">
        <v>0.03</v>
      </c>
      <c r="E8" s="5">
        <v>0.09</v>
      </c>
      <c r="F8">
        <f>(48.3/2+1+5.2/2)/100</f>
        <v>0.27750000000000002</v>
      </c>
      <c r="G8" s="5">
        <v>0.24</v>
      </c>
      <c r="H8" s="5">
        <v>0.12103873239436645</v>
      </c>
      <c r="I8" s="11">
        <v>9.9999999999999995E-7</v>
      </c>
      <c r="J8" s="5">
        <v>0.19</v>
      </c>
      <c r="K8" s="11">
        <v>9.9999999999999995E-7</v>
      </c>
      <c r="L8" s="5">
        <v>0.03</v>
      </c>
      <c r="M8" s="14">
        <v>0.15</v>
      </c>
      <c r="N8" s="5">
        <v>0.05</v>
      </c>
      <c r="O8" s="44">
        <v>0.05</v>
      </c>
      <c r="P8" s="44"/>
      <c r="Q8" s="5"/>
      <c r="R8" s="5"/>
      <c r="S8" s="5">
        <v>0.1</v>
      </c>
      <c r="T8" s="54">
        <v>0.37595562192934978</v>
      </c>
      <c r="U8" s="5">
        <v>0.05</v>
      </c>
      <c r="V8" s="5" t="s">
        <v>24</v>
      </c>
      <c r="W8" s="6"/>
      <c r="X8" s="6" t="s">
        <v>160</v>
      </c>
      <c r="Y8" s="6" t="s">
        <v>131</v>
      </c>
      <c r="Z8" s="6" t="s">
        <v>142</v>
      </c>
      <c r="AA8" s="6"/>
      <c r="AB8" s="6"/>
      <c r="AC8" s="6" t="s">
        <v>219</v>
      </c>
      <c r="AD8" s="1" t="s">
        <v>321</v>
      </c>
      <c r="AE8" s="6" t="s">
        <v>555</v>
      </c>
      <c r="AF8" s="6" t="s">
        <v>78</v>
      </c>
      <c r="AG8" s="6"/>
      <c r="AH8" s="6"/>
      <c r="AI8" s="6"/>
      <c r="AJ8" s="6"/>
      <c r="AK8" s="6" t="s">
        <v>220</v>
      </c>
      <c r="AL8" s="6"/>
      <c r="AM8" s="14"/>
      <c r="AN8" s="6"/>
    </row>
    <row r="9" spans="1:59" ht="14.5" customHeight="1">
      <c r="A9" t="s">
        <v>28</v>
      </c>
      <c r="B9" t="s">
        <v>370</v>
      </c>
      <c r="C9">
        <v>0.11899999999999999</v>
      </c>
      <c r="D9">
        <v>0.26</v>
      </c>
      <c r="E9">
        <v>0.27</v>
      </c>
      <c r="F9">
        <f>48.3/2/100</f>
        <v>0.24149999999999999</v>
      </c>
      <c r="G9">
        <v>0.1</v>
      </c>
      <c r="H9" s="5">
        <v>0.30589788732394352</v>
      </c>
      <c r="I9">
        <f>181.2/1033.5</f>
        <v>0.1753265602322206</v>
      </c>
      <c r="J9">
        <v>0.08</v>
      </c>
      <c r="K9" s="18">
        <v>0.09</v>
      </c>
      <c r="L9">
        <v>0.22</v>
      </c>
      <c r="M9" s="16">
        <v>0.2</v>
      </c>
      <c r="N9">
        <v>0</v>
      </c>
      <c r="O9" s="43">
        <v>0</v>
      </c>
      <c r="P9" s="43"/>
      <c r="S9">
        <v>0.08</v>
      </c>
      <c r="T9" s="52">
        <v>0.20036467495291638</v>
      </c>
      <c r="U9">
        <v>0.08</v>
      </c>
      <c r="V9" t="s">
        <v>24</v>
      </c>
      <c r="W9" s="7"/>
      <c r="X9" s="7" t="s">
        <v>160</v>
      </c>
      <c r="Y9" s="7" t="s">
        <v>131</v>
      </c>
      <c r="Z9" s="7" t="s">
        <v>143</v>
      </c>
      <c r="AA9" s="7"/>
      <c r="AB9" s="7"/>
      <c r="AC9" s="7" t="s">
        <v>221</v>
      </c>
      <c r="AD9" s="1" t="s">
        <v>321</v>
      </c>
      <c r="AE9" s="7" t="s">
        <v>555</v>
      </c>
      <c r="AF9" s="7" t="s">
        <v>78</v>
      </c>
      <c r="AG9" s="7"/>
      <c r="AH9" s="7" t="s">
        <v>317</v>
      </c>
      <c r="AI9" s="7"/>
      <c r="AJ9" s="7"/>
      <c r="AK9" s="7" t="s">
        <v>223</v>
      </c>
      <c r="AL9" s="7"/>
      <c r="AM9" s="16"/>
      <c r="AN9" s="7"/>
    </row>
    <row r="10" spans="1:59" ht="14.5" customHeight="1">
      <c r="A10" s="5" t="s">
        <v>29</v>
      </c>
      <c r="B10" t="s">
        <v>371</v>
      </c>
      <c r="C10" s="5">
        <f>1-C11-C7-C9-C8</f>
        <v>0.23799999999999999</v>
      </c>
      <c r="D10" s="5">
        <v>0.02</v>
      </c>
      <c r="E10" s="5">
        <f>1-E11-E9-E8</f>
        <v>0.11999999999999997</v>
      </c>
      <c r="F10">
        <f>(7+14.7)/100</f>
        <v>0.217</v>
      </c>
      <c r="G10" s="5">
        <v>0.25</v>
      </c>
      <c r="H10">
        <v>0.23019366197183075</v>
      </c>
      <c r="I10" s="5">
        <f>61.1/1033.5</f>
        <v>5.9119496855345913E-2</v>
      </c>
      <c r="J10" s="5">
        <v>0.15</v>
      </c>
      <c r="K10" s="36">
        <f>1-K11-K9-K8-K7</f>
        <v>5.9998999999999955E-2</v>
      </c>
      <c r="L10" s="5">
        <v>0.28000000000000003</v>
      </c>
      <c r="M10" s="14">
        <v>0.2</v>
      </c>
      <c r="N10" s="5">
        <f>1-N11-N7-N8</f>
        <v>0.31</v>
      </c>
      <c r="O10" s="44">
        <v>0.31</v>
      </c>
      <c r="P10" s="44"/>
      <c r="Q10" s="5"/>
      <c r="R10" s="5"/>
      <c r="S10" s="5">
        <v>1</v>
      </c>
      <c r="T10" s="54">
        <v>0.12118050124593224</v>
      </c>
      <c r="U10" s="5">
        <v>0.13</v>
      </c>
      <c r="V10" s="5" t="s">
        <v>24</v>
      </c>
      <c r="W10" s="6"/>
      <c r="X10" s="6" t="s">
        <v>160</v>
      </c>
      <c r="Y10" s="6" t="s">
        <v>131</v>
      </c>
      <c r="Z10" s="6" t="s">
        <v>144</v>
      </c>
      <c r="AA10" s="6"/>
      <c r="AB10" s="6"/>
      <c r="AC10" s="6" t="s">
        <v>224</v>
      </c>
      <c r="AD10" s="1" t="s">
        <v>321</v>
      </c>
      <c r="AE10" s="6" t="s">
        <v>555</v>
      </c>
      <c r="AF10" s="6" t="s">
        <v>78</v>
      </c>
      <c r="AG10" s="6"/>
      <c r="AH10" s="7" t="s">
        <v>222</v>
      </c>
      <c r="AI10" s="6"/>
      <c r="AJ10" s="6"/>
      <c r="AK10" s="6" t="s">
        <v>225</v>
      </c>
      <c r="AL10" s="6" t="s">
        <v>217</v>
      </c>
      <c r="AM10" s="14"/>
      <c r="AN10" s="6"/>
      <c r="AR10" t="s">
        <v>535</v>
      </c>
    </row>
    <row r="11" spans="1:59" ht="14.5" customHeight="1">
      <c r="A11" t="s">
        <v>30</v>
      </c>
      <c r="B11" t="s">
        <v>372</v>
      </c>
      <c r="C11">
        <v>0.27300000000000002</v>
      </c>
      <c r="D11">
        <v>0.17</v>
      </c>
      <c r="E11">
        <v>0.52</v>
      </c>
      <c r="F11">
        <f>7.3/100</f>
        <v>7.2999999999999995E-2</v>
      </c>
      <c r="G11">
        <v>0.11</v>
      </c>
      <c r="H11">
        <v>0.16681338028169013</v>
      </c>
      <c r="I11">
        <f>212.5/1033.5</f>
        <v>0.20561199806482824</v>
      </c>
      <c r="J11">
        <v>0.25</v>
      </c>
      <c r="K11">
        <v>0.8</v>
      </c>
      <c r="L11">
        <v>0.41</v>
      </c>
      <c r="M11" s="16">
        <v>0.05</v>
      </c>
      <c r="N11">
        <v>0.5</v>
      </c>
      <c r="O11" s="43">
        <v>0.5</v>
      </c>
      <c r="P11" s="43"/>
      <c r="S11">
        <v>0.17</v>
      </c>
      <c r="T11" s="52">
        <v>0.26317344343574645</v>
      </c>
      <c r="U11">
        <v>0.03</v>
      </c>
      <c r="V11" t="s">
        <v>24</v>
      </c>
      <c r="W11" s="7"/>
      <c r="X11" s="7" t="s">
        <v>160</v>
      </c>
      <c r="Y11" s="7" t="s">
        <v>131</v>
      </c>
      <c r="Z11" s="7" t="s">
        <v>145</v>
      </c>
      <c r="AA11" s="7"/>
      <c r="AB11" s="7"/>
      <c r="AC11" s="7"/>
      <c r="AD11" s="1" t="s">
        <v>321</v>
      </c>
      <c r="AE11" s="7" t="s">
        <v>555</v>
      </c>
      <c r="AF11" s="7" t="s">
        <v>78</v>
      </c>
      <c r="AG11" s="7"/>
      <c r="AH11" s="7" t="s">
        <v>217</v>
      </c>
      <c r="AI11" s="7"/>
      <c r="AJ11" s="7"/>
      <c r="AK11" s="7" t="s">
        <v>227</v>
      </c>
      <c r="AL11" s="7"/>
      <c r="AM11" s="16"/>
      <c r="AN11" s="7"/>
      <c r="AR11" t="s">
        <v>536</v>
      </c>
      <c r="AV11" t="s">
        <v>526</v>
      </c>
      <c r="AW11" t="s">
        <v>527</v>
      </c>
      <c r="AX11" t="s">
        <v>528</v>
      </c>
      <c r="AY11" t="s">
        <v>539</v>
      </c>
      <c r="BA11" t="s">
        <v>532</v>
      </c>
      <c r="BB11" s="28" t="s">
        <v>510</v>
      </c>
      <c r="BC11" s="28" t="s">
        <v>514</v>
      </c>
      <c r="BD11" s="28" t="s">
        <v>515</v>
      </c>
      <c r="BE11" s="28" t="s">
        <v>516</v>
      </c>
      <c r="BF11" s="28" t="s">
        <v>517</v>
      </c>
      <c r="BG11" s="28" t="s">
        <v>518</v>
      </c>
    </row>
    <row r="12" spans="1:59" ht="14.5" customHeight="1">
      <c r="A12" s="5" t="s">
        <v>96</v>
      </c>
      <c r="B12" s="5" t="s">
        <v>381</v>
      </c>
      <c r="C12" s="5">
        <v>0.9</v>
      </c>
      <c r="D12" s="5">
        <v>0.9</v>
      </c>
      <c r="E12" s="5">
        <v>0.95</v>
      </c>
      <c r="F12" s="5">
        <v>0.9</v>
      </c>
      <c r="G12" s="5">
        <v>0.95</v>
      </c>
      <c r="H12" s="5">
        <v>0.996</v>
      </c>
      <c r="I12" s="5">
        <v>0.82399999999999995</v>
      </c>
      <c r="J12" s="5">
        <v>0.98799999999999999</v>
      </c>
      <c r="K12" s="5">
        <v>0.90769999999999995</v>
      </c>
      <c r="L12" s="5">
        <v>0.61</v>
      </c>
      <c r="M12" s="14">
        <v>1</v>
      </c>
      <c r="N12" s="5">
        <v>0.95</v>
      </c>
      <c r="O12" s="44">
        <v>0.95</v>
      </c>
      <c r="P12" s="44"/>
      <c r="Q12" s="5"/>
      <c r="R12" s="5"/>
      <c r="S12" s="5">
        <v>0.90300000000000002</v>
      </c>
      <c r="T12" s="54">
        <v>0.95000000000000007</v>
      </c>
      <c r="U12" s="5">
        <v>0.96</v>
      </c>
      <c r="V12" s="5" t="s">
        <v>24</v>
      </c>
      <c r="W12" s="7" t="s">
        <v>540</v>
      </c>
      <c r="X12" s="6" t="s">
        <v>110</v>
      </c>
      <c r="Y12" s="6" t="s">
        <v>129</v>
      </c>
      <c r="Z12" s="6" t="s">
        <v>170</v>
      </c>
      <c r="AA12" s="6"/>
      <c r="AB12" s="6"/>
      <c r="AC12" s="6"/>
      <c r="AD12" s="6" t="s">
        <v>322</v>
      </c>
      <c r="AE12" s="6" t="s">
        <v>555</v>
      </c>
      <c r="AF12" s="6" t="s">
        <v>106</v>
      </c>
      <c r="AG12" s="6" t="s">
        <v>228</v>
      </c>
      <c r="AH12" s="6" t="s">
        <v>229</v>
      </c>
      <c r="AI12" s="6" t="s">
        <v>230</v>
      </c>
      <c r="AJ12" s="6" t="s">
        <v>231</v>
      </c>
      <c r="AK12" s="6" t="s">
        <v>232</v>
      </c>
      <c r="AL12" s="6" t="s">
        <v>203</v>
      </c>
      <c r="AM12" s="14" t="s">
        <v>427</v>
      </c>
      <c r="AN12" s="6" t="s">
        <v>233</v>
      </c>
      <c r="AR12" t="s">
        <v>510</v>
      </c>
      <c r="AS12">
        <v>603.82436935024202</v>
      </c>
      <c r="AT12" s="28" t="s">
        <v>510</v>
      </c>
      <c r="AU12">
        <f t="shared" ref="AU12:AU16" si="0">AS12-AS11</f>
        <v>603.82436935024202</v>
      </c>
      <c r="AV12">
        <f>AU12/$AS$17</f>
        <v>0.33286659795979268</v>
      </c>
      <c r="AW12">
        <f>3/400</f>
        <v>7.4999999999999997E-3</v>
      </c>
      <c r="AX12">
        <f>1-0.225</f>
        <v>0.77500000000000002</v>
      </c>
      <c r="AY12">
        <v>10.8</v>
      </c>
      <c r="BA12" t="s">
        <v>519</v>
      </c>
      <c r="BD12">
        <v>0.5</v>
      </c>
    </row>
    <row r="13" spans="1:59" ht="14.5" customHeight="1">
      <c r="A13" t="s">
        <v>97</v>
      </c>
      <c r="B13" s="5" t="s">
        <v>378</v>
      </c>
      <c r="C13">
        <v>0.95</v>
      </c>
      <c r="D13">
        <v>0.95</v>
      </c>
      <c r="E13">
        <v>0.95</v>
      </c>
      <c r="F13">
        <v>0.95</v>
      </c>
      <c r="G13">
        <v>0.9</v>
      </c>
      <c r="H13">
        <v>0.996</v>
      </c>
      <c r="I13">
        <v>0.82399999999999995</v>
      </c>
      <c r="J13">
        <v>0.98799999999999999</v>
      </c>
      <c r="K13" s="5">
        <v>0.90769999999999995</v>
      </c>
      <c r="L13">
        <v>0.61</v>
      </c>
      <c r="M13" s="16">
        <v>1</v>
      </c>
      <c r="N13">
        <v>0.95</v>
      </c>
      <c r="O13" s="43">
        <v>0.95</v>
      </c>
      <c r="P13" s="43"/>
      <c r="S13">
        <v>0.90300000000000002</v>
      </c>
      <c r="T13" s="52">
        <v>0.77500000000000002</v>
      </c>
      <c r="U13">
        <v>0.96</v>
      </c>
      <c r="V13" t="s">
        <v>24</v>
      </c>
      <c r="W13" s="7"/>
      <c r="X13" s="7" t="s">
        <v>110</v>
      </c>
      <c r="Y13" s="7" t="s">
        <v>129</v>
      </c>
      <c r="Z13" s="7" t="s">
        <v>170</v>
      </c>
      <c r="AA13" s="7"/>
      <c r="AB13" s="7"/>
      <c r="AC13" s="7"/>
      <c r="AD13" s="7"/>
      <c r="AE13" s="7" t="s">
        <v>555</v>
      </c>
      <c r="AF13" s="7" t="s">
        <v>106</v>
      </c>
      <c r="AG13" s="7" t="s">
        <v>234</v>
      </c>
      <c r="AH13" s="7" t="s">
        <v>226</v>
      </c>
      <c r="AI13" s="7"/>
      <c r="AJ13" s="7"/>
      <c r="AK13" s="7" t="s">
        <v>235</v>
      </c>
      <c r="AL13" s="7"/>
      <c r="AM13" s="16" t="s">
        <v>427</v>
      </c>
      <c r="AN13" s="7" t="s">
        <v>236</v>
      </c>
      <c r="AR13" t="s">
        <v>511</v>
      </c>
      <c r="AS13">
        <v>771.97496543219995</v>
      </c>
      <c r="AT13" s="28" t="s">
        <v>514</v>
      </c>
      <c r="AU13">
        <f t="shared" si="0"/>
        <v>168.15059608195793</v>
      </c>
      <c r="AV13">
        <f t="shared" ref="AV13:AV17" si="1">AU13/$AS$17</f>
        <v>9.2695359286247628E-2</v>
      </c>
      <c r="AW13">
        <v>0.6</v>
      </c>
      <c r="AX13">
        <v>0.98</v>
      </c>
      <c r="AY13">
        <v>20</v>
      </c>
      <c r="BA13" t="s">
        <v>521</v>
      </c>
      <c r="BB13">
        <v>0.64</v>
      </c>
      <c r="BG13">
        <v>1</v>
      </c>
    </row>
    <row r="14" spans="1:59" ht="14.5" customHeight="1">
      <c r="A14" s="5" t="s">
        <v>98</v>
      </c>
      <c r="B14" s="5" t="s">
        <v>375</v>
      </c>
      <c r="C14" s="5">
        <v>0.9</v>
      </c>
      <c r="D14" s="5">
        <v>0.9</v>
      </c>
      <c r="E14" s="5">
        <v>0.95</v>
      </c>
      <c r="F14" s="5">
        <v>0.9</v>
      </c>
      <c r="G14" s="5">
        <v>0.85</v>
      </c>
      <c r="H14" s="5">
        <v>0.996</v>
      </c>
      <c r="I14" s="5">
        <v>0.82399999999999995</v>
      </c>
      <c r="J14" s="5">
        <v>0.98799999999999999</v>
      </c>
      <c r="K14" s="5">
        <v>0.90769999999999995</v>
      </c>
      <c r="L14" s="5">
        <v>0.61</v>
      </c>
      <c r="M14" s="14">
        <v>1</v>
      </c>
      <c r="N14" s="5">
        <v>0.95</v>
      </c>
      <c r="O14" s="44">
        <v>0.95</v>
      </c>
      <c r="P14" s="44"/>
      <c r="Q14" s="5"/>
      <c r="R14" s="5"/>
      <c r="S14" s="5">
        <v>0.90300000000000002</v>
      </c>
      <c r="T14" s="54">
        <v>0.87194168816086637</v>
      </c>
      <c r="U14" s="5">
        <v>0.96</v>
      </c>
      <c r="V14" s="5" t="s">
        <v>24</v>
      </c>
      <c r="W14" s="6"/>
      <c r="X14" s="6" t="s">
        <v>110</v>
      </c>
      <c r="Y14" s="6" t="s">
        <v>129</v>
      </c>
      <c r="Z14" s="6" t="s">
        <v>170</v>
      </c>
      <c r="AA14" s="6"/>
      <c r="AB14" s="6"/>
      <c r="AC14" s="6"/>
      <c r="AD14" s="6"/>
      <c r="AE14" s="6" t="s">
        <v>555</v>
      </c>
      <c r="AF14" s="6" t="s">
        <v>106</v>
      </c>
      <c r="AG14" s="6"/>
      <c r="AH14" s="6"/>
      <c r="AI14" s="6"/>
      <c r="AJ14" s="6"/>
      <c r="AK14" s="6"/>
      <c r="AL14" s="6"/>
      <c r="AM14" s="14" t="s">
        <v>427</v>
      </c>
      <c r="AN14" s="6" t="s">
        <v>237</v>
      </c>
      <c r="AR14" t="s">
        <v>512</v>
      </c>
      <c r="AS14">
        <v>914.64984739641102</v>
      </c>
      <c r="AT14" s="28" t="s">
        <v>515</v>
      </c>
      <c r="AU14">
        <f t="shared" si="0"/>
        <v>142.67488196421107</v>
      </c>
      <c r="AV14">
        <f t="shared" si="1"/>
        <v>7.8651516872110291E-2</v>
      </c>
      <c r="AW14">
        <f>0.905*0.5+0.075*0.8+0.02*0.5</f>
        <v>0.52249999999999996</v>
      </c>
      <c r="AX14">
        <v>0.95</v>
      </c>
      <c r="AY14">
        <v>1.3</v>
      </c>
      <c r="BA14" t="s">
        <v>520</v>
      </c>
      <c r="BB14">
        <v>0.3</v>
      </c>
      <c r="BC14">
        <v>0.66</v>
      </c>
      <c r="BD14">
        <v>0.5</v>
      </c>
    </row>
    <row r="15" spans="1:59" ht="14.5" customHeight="1">
      <c r="A15" t="s">
        <v>99</v>
      </c>
      <c r="B15" s="5" t="s">
        <v>346</v>
      </c>
      <c r="C15">
        <v>0.95</v>
      </c>
      <c r="D15">
        <v>0.95</v>
      </c>
      <c r="E15">
        <v>0.95</v>
      </c>
      <c r="F15">
        <v>0.95</v>
      </c>
      <c r="G15">
        <v>0.75</v>
      </c>
      <c r="H15">
        <v>0.996</v>
      </c>
      <c r="I15">
        <v>0.82399999999999995</v>
      </c>
      <c r="J15">
        <v>0.98799999999999999</v>
      </c>
      <c r="K15" s="5">
        <v>0.90769999999999995</v>
      </c>
      <c r="L15">
        <v>0.61</v>
      </c>
      <c r="M15" s="16">
        <v>1</v>
      </c>
      <c r="N15">
        <v>0.95</v>
      </c>
      <c r="O15" s="43">
        <v>0.95</v>
      </c>
      <c r="P15" s="43"/>
      <c r="R15" s="8"/>
      <c r="S15">
        <v>0.90300000000000002</v>
      </c>
      <c r="T15" s="52">
        <v>0.78754495464752416</v>
      </c>
      <c r="U15">
        <v>0.96</v>
      </c>
      <c r="V15" t="s">
        <v>24</v>
      </c>
      <c r="W15" s="7"/>
      <c r="X15" s="7" t="s">
        <v>110</v>
      </c>
      <c r="Y15" s="7" t="s">
        <v>129</v>
      </c>
      <c r="Z15" s="7"/>
      <c r="AA15" s="7"/>
      <c r="AB15" s="7"/>
      <c r="AC15" s="7"/>
      <c r="AD15" s="7"/>
      <c r="AE15" s="7" t="s">
        <v>555</v>
      </c>
      <c r="AF15" s="7" t="s">
        <v>106</v>
      </c>
      <c r="AG15" s="7"/>
      <c r="AH15" s="7"/>
      <c r="AI15" s="7"/>
      <c r="AJ15" s="7"/>
      <c r="AK15" s="7"/>
      <c r="AL15" s="7"/>
      <c r="AM15" s="16" t="s">
        <v>427</v>
      </c>
      <c r="AN15" s="7"/>
      <c r="AR15" t="s">
        <v>513</v>
      </c>
      <c r="AS15">
        <v>1121.02081647049</v>
      </c>
      <c r="AT15" s="28" t="s">
        <v>516</v>
      </c>
      <c r="AU15">
        <f t="shared" si="0"/>
        <v>206.37096907407897</v>
      </c>
      <c r="AV15">
        <f t="shared" si="1"/>
        <v>0.11376487250303244</v>
      </c>
      <c r="AW15" s="10">
        <v>9.9999999999999995E-7</v>
      </c>
      <c r="AX15">
        <v>0.77500000000000002</v>
      </c>
      <c r="AY15">
        <v>7</v>
      </c>
      <c r="BA15" t="s">
        <v>522</v>
      </c>
      <c r="BC15">
        <v>0.08</v>
      </c>
      <c r="BE15">
        <v>1</v>
      </c>
    </row>
    <row r="16" spans="1:59" ht="14.5" customHeight="1">
      <c r="A16" s="5" t="s">
        <v>100</v>
      </c>
      <c r="B16" s="5" t="s">
        <v>345</v>
      </c>
      <c r="C16" s="5">
        <v>0.9</v>
      </c>
      <c r="D16" s="5">
        <v>0.9</v>
      </c>
      <c r="E16" s="5">
        <v>0.95</v>
      </c>
      <c r="F16" s="5">
        <v>0.9</v>
      </c>
      <c r="G16" s="5">
        <v>0.8</v>
      </c>
      <c r="H16" s="5">
        <v>0.996</v>
      </c>
      <c r="I16" s="5">
        <v>0.82399999999999995</v>
      </c>
      <c r="J16" s="5">
        <v>0.98799999999999999</v>
      </c>
      <c r="K16" s="5">
        <v>0.90769999999999995</v>
      </c>
      <c r="L16" s="5">
        <v>0.61</v>
      </c>
      <c r="M16" s="14">
        <v>1</v>
      </c>
      <c r="N16" s="5">
        <v>0.95</v>
      </c>
      <c r="O16" s="44">
        <v>0.95</v>
      </c>
      <c r="P16" s="44"/>
      <c r="Q16" s="5"/>
      <c r="R16" s="9"/>
      <c r="S16" s="5">
        <v>0.90300000000000002</v>
      </c>
      <c r="T16" s="54">
        <v>0.84788807304747327</v>
      </c>
      <c r="U16" s="5">
        <v>0.96</v>
      </c>
      <c r="V16" s="5" t="s">
        <v>24</v>
      </c>
      <c r="W16" s="6"/>
      <c r="X16" s="6" t="s">
        <v>110</v>
      </c>
      <c r="Y16" s="6" t="s">
        <v>129</v>
      </c>
      <c r="Z16" s="6"/>
      <c r="AA16" s="6"/>
      <c r="AB16" s="6"/>
      <c r="AC16" s="6"/>
      <c r="AD16" s="6"/>
      <c r="AE16" s="6" t="s">
        <v>555</v>
      </c>
      <c r="AF16" s="6" t="s">
        <v>106</v>
      </c>
      <c r="AG16" s="6"/>
      <c r="AH16" s="6"/>
      <c r="AI16" s="6"/>
      <c r="AJ16" s="6"/>
      <c r="AK16" s="6"/>
      <c r="AL16" s="6"/>
      <c r="AM16" s="14" t="s">
        <v>427</v>
      </c>
      <c r="AN16" s="6" t="s">
        <v>238</v>
      </c>
      <c r="AR16" t="s">
        <v>509</v>
      </c>
      <c r="AS16">
        <v>1518.4722733707899</v>
      </c>
      <c r="AT16" s="28" t="s">
        <v>517</v>
      </c>
      <c r="AU16">
        <f t="shared" si="0"/>
        <v>397.45145690029995</v>
      </c>
      <c r="AV16">
        <f t="shared" si="1"/>
        <v>0.21910065414373453</v>
      </c>
      <c r="AW16">
        <f>44/150</f>
        <v>0.29333333333333333</v>
      </c>
      <c r="AX16">
        <v>0.84</v>
      </c>
      <c r="AY16">
        <v>11</v>
      </c>
      <c r="BA16" t="s">
        <v>523</v>
      </c>
      <c r="BB16">
        <v>0.06</v>
      </c>
      <c r="BC16">
        <v>0.26</v>
      </c>
      <c r="BF16">
        <v>1</v>
      </c>
    </row>
    <row r="17" spans="1:56" ht="14.5" customHeight="1">
      <c r="A17" t="s">
        <v>101</v>
      </c>
      <c r="B17" t="s">
        <v>382</v>
      </c>
      <c r="C17">
        <v>50</v>
      </c>
      <c r="D17">
        <v>50</v>
      </c>
      <c r="E17">
        <v>50</v>
      </c>
      <c r="F17">
        <v>50</v>
      </c>
      <c r="G17">
        <v>40</v>
      </c>
      <c r="H17">
        <v>50</v>
      </c>
      <c r="I17">
        <v>50</v>
      </c>
      <c r="J17">
        <v>50</v>
      </c>
      <c r="K17">
        <v>50</v>
      </c>
      <c r="L17">
        <v>50</v>
      </c>
      <c r="M17" s="16">
        <v>5</v>
      </c>
      <c r="N17">
        <v>0</v>
      </c>
      <c r="O17" s="43">
        <v>1</v>
      </c>
      <c r="P17" s="43"/>
      <c r="R17" s="8"/>
      <c r="S17">
        <v>1</v>
      </c>
      <c r="T17" s="41">
        <v>1.3</v>
      </c>
      <c r="U17">
        <v>75</v>
      </c>
      <c r="V17" t="s">
        <v>24</v>
      </c>
      <c r="W17" s="7" t="s">
        <v>540</v>
      </c>
      <c r="X17" s="7" t="s">
        <v>109</v>
      </c>
      <c r="Y17" s="7" t="s">
        <v>129</v>
      </c>
      <c r="Z17" s="7" t="s">
        <v>150</v>
      </c>
      <c r="AA17" s="7"/>
      <c r="AB17" s="7"/>
      <c r="AC17" s="7"/>
      <c r="AD17" s="7" t="s">
        <v>239</v>
      </c>
      <c r="AE17" s="7" t="s">
        <v>555</v>
      </c>
      <c r="AF17" s="7" t="s">
        <v>106</v>
      </c>
      <c r="AG17" s="17" t="s">
        <v>327</v>
      </c>
      <c r="AH17" s="7" t="s">
        <v>332</v>
      </c>
      <c r="AI17" s="7" t="s">
        <v>331</v>
      </c>
      <c r="AJ17" s="7" t="s">
        <v>240</v>
      </c>
      <c r="AK17" s="7" t="s">
        <v>241</v>
      </c>
      <c r="AL17" s="7" t="s">
        <v>444</v>
      </c>
      <c r="AM17" s="16" t="s">
        <v>428</v>
      </c>
      <c r="AN17" s="7"/>
      <c r="AR17" t="s">
        <v>508</v>
      </c>
      <c r="AS17">
        <v>1814.01310029665</v>
      </c>
      <c r="AT17" s="28" t="s">
        <v>518</v>
      </c>
      <c r="AU17">
        <f>AS17-AS16</f>
        <v>295.54082692586007</v>
      </c>
      <c r="AV17">
        <f t="shared" si="1"/>
        <v>0.16292099923508246</v>
      </c>
      <c r="AW17" s="10">
        <v>9.9999999999999995E-7</v>
      </c>
      <c r="AX17">
        <v>0.77500000000000002</v>
      </c>
      <c r="AY17">
        <v>7.1</v>
      </c>
    </row>
    <row r="18" spans="1:56" ht="14.5" customHeight="1">
      <c r="A18" s="5" t="s">
        <v>102</v>
      </c>
      <c r="B18" t="s">
        <v>379</v>
      </c>
      <c r="C18" s="5">
        <v>25</v>
      </c>
      <c r="D18" s="5">
        <v>25</v>
      </c>
      <c r="E18" s="5">
        <v>3</v>
      </c>
      <c r="F18" s="5">
        <v>15</v>
      </c>
      <c r="G18" s="5">
        <v>30</v>
      </c>
      <c r="H18" s="5">
        <v>15</v>
      </c>
      <c r="I18" s="5">
        <v>3</v>
      </c>
      <c r="J18" s="5">
        <v>25</v>
      </c>
      <c r="K18" s="5">
        <v>25</v>
      </c>
      <c r="L18" s="5">
        <v>25</v>
      </c>
      <c r="M18" s="14">
        <v>30</v>
      </c>
      <c r="N18" s="5">
        <v>0</v>
      </c>
      <c r="O18" s="44">
        <v>1</v>
      </c>
      <c r="P18" s="44"/>
      <c r="Q18" s="5"/>
      <c r="R18" s="9"/>
      <c r="S18" s="5">
        <v>3</v>
      </c>
      <c r="T18" s="36">
        <v>9.1965987951549089</v>
      </c>
      <c r="U18" s="5">
        <v>50</v>
      </c>
      <c r="V18" s="5" t="s">
        <v>24</v>
      </c>
      <c r="W18" s="6"/>
      <c r="X18" s="6" t="s">
        <v>109</v>
      </c>
      <c r="Y18" s="6" t="s">
        <v>129</v>
      </c>
      <c r="Z18" s="6" t="s">
        <v>151</v>
      </c>
      <c r="AA18" s="6"/>
      <c r="AB18" s="6"/>
      <c r="AC18" s="19" t="s">
        <v>242</v>
      </c>
      <c r="AD18" s="6" t="s">
        <v>243</v>
      </c>
      <c r="AE18" s="19" t="s">
        <v>555</v>
      </c>
      <c r="AF18" s="6" t="s">
        <v>106</v>
      </c>
      <c r="AG18" s="17" t="s">
        <v>327</v>
      </c>
      <c r="AH18" s="7" t="s">
        <v>332</v>
      </c>
      <c r="AI18" s="6" t="s">
        <v>331</v>
      </c>
      <c r="AJ18" s="6"/>
      <c r="AK18" s="6" t="s">
        <v>245</v>
      </c>
      <c r="AL18" s="6" t="s">
        <v>444</v>
      </c>
      <c r="AM18" s="14" t="s">
        <v>428</v>
      </c>
      <c r="AN18" s="6"/>
      <c r="AU18" s="28" t="s">
        <v>534</v>
      </c>
      <c r="AV18">
        <f>SUM(AV12:AV17)</f>
        <v>1</v>
      </c>
      <c r="AW18">
        <f>SUMPRODUCT(AW12:AW17,AV12:AV17)</f>
        <v>0.16347893452349188</v>
      </c>
      <c r="AX18">
        <f>SUMPRODUCT(AX12:AX17,AV12:AV17)</f>
        <v>0.82200810662564294</v>
      </c>
      <c r="AY18">
        <f>SUMPRODUCT(AY12:AY17,AV12:AV17)</f>
        <v>9.9143138132958484</v>
      </c>
    </row>
    <row r="19" spans="1:56" ht="14.5" customHeight="1">
      <c r="A19" t="s">
        <v>103</v>
      </c>
      <c r="B19" t="s">
        <v>376</v>
      </c>
      <c r="C19">
        <v>20</v>
      </c>
      <c r="D19">
        <v>20</v>
      </c>
      <c r="E19">
        <v>30</v>
      </c>
      <c r="F19">
        <v>50</v>
      </c>
      <c r="G19">
        <v>20</v>
      </c>
      <c r="H19">
        <v>25</v>
      </c>
      <c r="I19">
        <v>30</v>
      </c>
      <c r="J19">
        <v>20</v>
      </c>
      <c r="K19">
        <v>20</v>
      </c>
      <c r="L19">
        <v>20</v>
      </c>
      <c r="M19" s="16">
        <v>10</v>
      </c>
      <c r="N19">
        <v>0</v>
      </c>
      <c r="O19" s="43">
        <v>1</v>
      </c>
      <c r="P19" s="43"/>
      <c r="R19" s="8"/>
      <c r="S19">
        <v>25</v>
      </c>
      <c r="T19" s="41">
        <v>11.744535340314076</v>
      </c>
      <c r="U19">
        <v>25</v>
      </c>
      <c r="V19" t="s">
        <v>24</v>
      </c>
      <c r="W19" s="7"/>
      <c r="X19" s="7" t="s">
        <v>109</v>
      </c>
      <c r="Y19" s="7" t="s">
        <v>129</v>
      </c>
      <c r="Z19" s="7" t="s">
        <v>153</v>
      </c>
      <c r="AA19" s="7"/>
      <c r="AB19" s="7"/>
      <c r="AC19" s="7"/>
      <c r="AD19" s="7"/>
      <c r="AE19" s="7" t="s">
        <v>555</v>
      </c>
      <c r="AF19" s="7" t="s">
        <v>106</v>
      </c>
      <c r="AG19" s="17" t="s">
        <v>327</v>
      </c>
      <c r="AH19" s="7" t="s">
        <v>332</v>
      </c>
      <c r="AI19" s="7" t="s">
        <v>331</v>
      </c>
      <c r="AJ19" s="7" t="s">
        <v>246</v>
      </c>
      <c r="AK19" s="7" t="s">
        <v>247</v>
      </c>
      <c r="AL19" s="1" t="s">
        <v>444</v>
      </c>
      <c r="AM19" s="16" t="s">
        <v>428</v>
      </c>
      <c r="AN19" s="7"/>
      <c r="AT19" s="56" t="s">
        <v>555</v>
      </c>
      <c r="AU19" s="56"/>
      <c r="AV19" s="56"/>
      <c r="AW19" s="56"/>
      <c r="AX19" s="56"/>
      <c r="AY19" s="56"/>
      <c r="AZ19" s="56"/>
      <c r="BA19" s="56"/>
      <c r="BB19" s="56"/>
      <c r="BC19" s="56"/>
      <c r="BD19" s="56"/>
    </row>
    <row r="20" spans="1:56" ht="14.5" customHeight="1">
      <c r="A20" s="5" t="s">
        <v>104</v>
      </c>
      <c r="B20" t="s">
        <v>439</v>
      </c>
      <c r="C20" s="5">
        <v>15</v>
      </c>
      <c r="D20" s="5">
        <v>15</v>
      </c>
      <c r="E20" s="5">
        <v>15</v>
      </c>
      <c r="F20" s="5">
        <v>15</v>
      </c>
      <c r="G20" s="5">
        <v>10</v>
      </c>
      <c r="H20" s="5">
        <v>15</v>
      </c>
      <c r="I20" s="5">
        <v>15</v>
      </c>
      <c r="J20" s="5">
        <v>15</v>
      </c>
      <c r="K20" s="5">
        <v>15</v>
      </c>
      <c r="L20" s="5">
        <v>35</v>
      </c>
      <c r="M20" s="14"/>
      <c r="N20" s="5">
        <v>4</v>
      </c>
      <c r="O20" s="44">
        <v>4</v>
      </c>
      <c r="P20" s="44"/>
      <c r="Q20" s="5"/>
      <c r="R20" s="9"/>
      <c r="S20" s="5">
        <v>1</v>
      </c>
      <c r="T20" s="36">
        <v>7.7955337093551886</v>
      </c>
      <c r="U20" s="5"/>
      <c r="V20" s="5" t="s">
        <v>24</v>
      </c>
      <c r="W20" s="6"/>
      <c r="X20" s="6" t="s">
        <v>109</v>
      </c>
      <c r="Y20" s="6" t="s">
        <v>129</v>
      </c>
      <c r="Z20" s="6" t="s">
        <v>154</v>
      </c>
      <c r="AA20" s="6"/>
      <c r="AB20" s="6"/>
      <c r="AC20" s="6" t="s">
        <v>249</v>
      </c>
      <c r="AD20" s="6"/>
      <c r="AE20" s="6" t="s">
        <v>555</v>
      </c>
      <c r="AF20" s="6" t="s">
        <v>106</v>
      </c>
      <c r="AG20" s="17" t="s">
        <v>327</v>
      </c>
      <c r="AH20" s="7" t="s">
        <v>332</v>
      </c>
      <c r="AI20" s="6" t="s">
        <v>331</v>
      </c>
      <c r="AJ20" s="6" t="s">
        <v>244</v>
      </c>
      <c r="AK20" s="6"/>
      <c r="AL20" s="6" t="s">
        <v>443</v>
      </c>
      <c r="AM20" s="14"/>
      <c r="AN20" s="6"/>
      <c r="AT20" s="56"/>
      <c r="AU20" s="56"/>
      <c r="AV20" s="56"/>
      <c r="AW20" s="56"/>
      <c r="AX20" s="56"/>
      <c r="AY20" s="56"/>
      <c r="AZ20" s="56"/>
      <c r="BA20" s="56"/>
      <c r="BB20" s="56"/>
      <c r="BC20" s="56"/>
      <c r="BD20" s="56"/>
    </row>
    <row r="21" spans="1:56" ht="14.5" customHeight="1">
      <c r="A21" t="s">
        <v>105</v>
      </c>
      <c r="B21" t="s">
        <v>373</v>
      </c>
      <c r="C21">
        <v>15</v>
      </c>
      <c r="D21">
        <v>15</v>
      </c>
      <c r="E21">
        <v>35</v>
      </c>
      <c r="F21">
        <v>15</v>
      </c>
      <c r="G21">
        <v>15</v>
      </c>
      <c r="H21">
        <v>22</v>
      </c>
      <c r="I21">
        <v>35</v>
      </c>
      <c r="J21">
        <v>15</v>
      </c>
      <c r="K21">
        <v>7</v>
      </c>
      <c r="L21">
        <v>15</v>
      </c>
      <c r="M21" s="16">
        <v>20</v>
      </c>
      <c r="N21">
        <v>16</v>
      </c>
      <c r="O21" s="43">
        <v>16</v>
      </c>
      <c r="P21" s="43"/>
      <c r="R21" s="42"/>
      <c r="S21">
        <v>20</v>
      </c>
      <c r="T21" s="41">
        <v>11.809020616878026</v>
      </c>
      <c r="U21">
        <v>5</v>
      </c>
      <c r="V21" t="s">
        <v>24</v>
      </c>
      <c r="W21" s="7"/>
      <c r="X21" s="7" t="s">
        <v>109</v>
      </c>
      <c r="Y21" s="7" t="s">
        <v>129</v>
      </c>
      <c r="Z21" s="7" t="s">
        <v>152</v>
      </c>
      <c r="AA21" s="7"/>
      <c r="AB21" s="7"/>
      <c r="AC21" s="7"/>
      <c r="AD21" s="7" t="s">
        <v>250</v>
      </c>
      <c r="AE21" t="s">
        <v>555</v>
      </c>
      <c r="AF21" s="7" t="s">
        <v>106</v>
      </c>
      <c r="AG21" s="17" t="s">
        <v>327</v>
      </c>
      <c r="AH21" s="7" t="s">
        <v>332</v>
      </c>
      <c r="AI21" s="7" t="s">
        <v>331</v>
      </c>
      <c r="AJ21" s="7" t="s">
        <v>251</v>
      </c>
      <c r="AK21" s="7" t="s">
        <v>252</v>
      </c>
      <c r="AL21" s="7" t="s">
        <v>444</v>
      </c>
      <c r="AM21" s="16" t="s">
        <v>429</v>
      </c>
      <c r="AN21" s="7"/>
      <c r="AT21" s="56"/>
      <c r="AU21" s="56"/>
      <c r="AV21" s="56"/>
      <c r="AW21" s="56"/>
      <c r="AX21" s="56"/>
      <c r="AY21" s="56"/>
      <c r="AZ21" s="56"/>
      <c r="BA21" s="56"/>
      <c r="BB21" s="56"/>
      <c r="BC21" s="56"/>
      <c r="BD21" s="56"/>
    </row>
    <row r="22" spans="1:56" ht="14.5" customHeight="1">
      <c r="A22" t="s">
        <v>414</v>
      </c>
      <c r="B22" t="s">
        <v>419</v>
      </c>
      <c r="C22">
        <v>15</v>
      </c>
      <c r="D22">
        <f>$C22/$C17*D17</f>
        <v>15</v>
      </c>
      <c r="E22">
        <f>$C22/$C17*E17</f>
        <v>15</v>
      </c>
      <c r="F22">
        <f t="shared" ref="F22:N22" si="2">$C22/$C17*F17</f>
        <v>15</v>
      </c>
      <c r="G22">
        <f t="shared" si="2"/>
        <v>12</v>
      </c>
      <c r="H22">
        <f t="shared" si="2"/>
        <v>15</v>
      </c>
      <c r="I22">
        <f t="shared" si="2"/>
        <v>15</v>
      </c>
      <c r="J22">
        <f t="shared" si="2"/>
        <v>15</v>
      </c>
      <c r="K22">
        <f t="shared" si="2"/>
        <v>15</v>
      </c>
      <c r="L22">
        <f t="shared" si="2"/>
        <v>15</v>
      </c>
      <c r="M22">
        <f t="shared" si="2"/>
        <v>1.5</v>
      </c>
      <c r="N22">
        <f t="shared" si="2"/>
        <v>0</v>
      </c>
      <c r="O22">
        <f t="shared" ref="O22" si="3">$C22/$C17*O17</f>
        <v>0.3</v>
      </c>
      <c r="R22" s="8"/>
      <c r="S22">
        <f t="shared" ref="S22:U24" si="4">$C22/$C17*S17</f>
        <v>0.3</v>
      </c>
      <c r="T22" s="41">
        <f t="shared" si="4"/>
        <v>0.39</v>
      </c>
      <c r="U22">
        <f t="shared" si="4"/>
        <v>22.5</v>
      </c>
      <c r="V22" t="s">
        <v>24</v>
      </c>
      <c r="W22" s="7" t="s">
        <v>424</v>
      </c>
      <c r="X22" s="7" t="s">
        <v>109</v>
      </c>
      <c r="Y22" s="7" t="s">
        <v>129</v>
      </c>
      <c r="Z22" s="7" t="s">
        <v>150</v>
      </c>
      <c r="AA22" s="7"/>
      <c r="AB22" s="7"/>
      <c r="AC22" s="7"/>
      <c r="AD22" s="7" t="s">
        <v>239</v>
      </c>
      <c r="AE22" s="7" t="s">
        <v>555</v>
      </c>
      <c r="AF22" s="7" t="s">
        <v>106</v>
      </c>
      <c r="AG22" s="17" t="s">
        <v>327</v>
      </c>
      <c r="AH22" s="7" t="s">
        <v>332</v>
      </c>
      <c r="AI22" s="7" t="s">
        <v>331</v>
      </c>
      <c r="AJ22" s="7" t="s">
        <v>240</v>
      </c>
      <c r="AK22" s="7" t="s">
        <v>241</v>
      </c>
      <c r="AL22" s="7"/>
      <c r="AM22" s="6"/>
      <c r="AN22" s="7"/>
      <c r="AT22" s="56"/>
      <c r="AU22" s="56"/>
      <c r="AV22" s="56"/>
      <c r="AW22" s="56"/>
      <c r="AX22" s="56"/>
      <c r="AY22" s="56"/>
      <c r="AZ22" s="56"/>
      <c r="BA22" s="56"/>
      <c r="BB22" s="56"/>
      <c r="BC22" s="56"/>
      <c r="BD22" s="56"/>
    </row>
    <row r="23" spans="1:56" ht="14.5" customHeight="1">
      <c r="A23" s="5" t="s">
        <v>415</v>
      </c>
      <c r="B23" t="s">
        <v>420</v>
      </c>
      <c r="C23" s="5">
        <v>7.5</v>
      </c>
      <c r="D23">
        <f t="shared" ref="D23:E26" si="5">$C23/$C18*D18</f>
        <v>7.5</v>
      </c>
      <c r="E23">
        <f t="shared" si="5"/>
        <v>0.89999999999999991</v>
      </c>
      <c r="F23">
        <f t="shared" ref="F23:N26" si="6">$C23/$C18*F18</f>
        <v>4.5</v>
      </c>
      <c r="G23">
        <f t="shared" si="6"/>
        <v>9</v>
      </c>
      <c r="H23">
        <f t="shared" si="6"/>
        <v>4.5</v>
      </c>
      <c r="I23">
        <f t="shared" si="6"/>
        <v>0.89999999999999991</v>
      </c>
      <c r="J23">
        <f t="shared" si="6"/>
        <v>7.5</v>
      </c>
      <c r="K23">
        <f t="shared" si="6"/>
        <v>7.5</v>
      </c>
      <c r="L23">
        <f t="shared" si="6"/>
        <v>7.5</v>
      </c>
      <c r="M23">
        <f t="shared" si="6"/>
        <v>9</v>
      </c>
      <c r="N23">
        <f t="shared" si="6"/>
        <v>0</v>
      </c>
      <c r="O23">
        <f t="shared" ref="O23" si="7">$C23/$C18*O18</f>
        <v>0.3</v>
      </c>
      <c r="Q23" s="5"/>
      <c r="R23" s="8"/>
      <c r="S23">
        <f t="shared" si="4"/>
        <v>0.89999999999999991</v>
      </c>
      <c r="T23" s="41">
        <f t="shared" si="4"/>
        <v>2.7589796385464727</v>
      </c>
      <c r="U23">
        <f t="shared" si="4"/>
        <v>15</v>
      </c>
      <c r="V23" s="5" t="s">
        <v>24</v>
      </c>
      <c r="W23" s="7" t="s">
        <v>424</v>
      </c>
      <c r="X23" s="6" t="s">
        <v>109</v>
      </c>
      <c r="Y23" s="6" t="s">
        <v>129</v>
      </c>
      <c r="Z23" s="6" t="s">
        <v>151</v>
      </c>
      <c r="AA23" s="6"/>
      <c r="AB23" s="6"/>
      <c r="AC23" s="19" t="s">
        <v>242</v>
      </c>
      <c r="AD23" s="6" t="s">
        <v>243</v>
      </c>
      <c r="AE23" t="s">
        <v>555</v>
      </c>
      <c r="AF23" s="6" t="s">
        <v>106</v>
      </c>
      <c r="AG23" s="17" t="s">
        <v>327</v>
      </c>
      <c r="AH23" s="7" t="s">
        <v>332</v>
      </c>
      <c r="AI23" s="6" t="s">
        <v>331</v>
      </c>
      <c r="AJ23" s="6"/>
      <c r="AK23" s="6" t="s">
        <v>245</v>
      </c>
      <c r="AL23" s="6"/>
      <c r="AM23" s="6"/>
      <c r="AN23" s="6"/>
      <c r="AT23" s="56"/>
      <c r="AU23" s="56"/>
      <c r="AV23" s="56"/>
      <c r="AW23" s="56"/>
      <c r="AX23" s="56"/>
      <c r="AY23" s="56"/>
      <c r="AZ23" s="56"/>
      <c r="BA23" s="56"/>
      <c r="BB23" s="56"/>
      <c r="BC23" s="56"/>
      <c r="BD23" s="56"/>
    </row>
    <row r="24" spans="1:56" ht="14.5" customHeight="1">
      <c r="A24" t="s">
        <v>416</v>
      </c>
      <c r="B24" t="s">
        <v>421</v>
      </c>
      <c r="C24">
        <v>6</v>
      </c>
      <c r="D24">
        <f t="shared" si="5"/>
        <v>6</v>
      </c>
      <c r="E24">
        <f t="shared" si="5"/>
        <v>9</v>
      </c>
      <c r="F24">
        <f t="shared" si="6"/>
        <v>15</v>
      </c>
      <c r="G24">
        <f t="shared" si="6"/>
        <v>6</v>
      </c>
      <c r="H24">
        <f t="shared" si="6"/>
        <v>7.5</v>
      </c>
      <c r="I24">
        <f t="shared" si="6"/>
        <v>9</v>
      </c>
      <c r="J24">
        <f t="shared" si="6"/>
        <v>6</v>
      </c>
      <c r="K24">
        <f t="shared" si="6"/>
        <v>6</v>
      </c>
      <c r="L24">
        <f t="shared" si="6"/>
        <v>6</v>
      </c>
      <c r="M24">
        <f t="shared" si="6"/>
        <v>3</v>
      </c>
      <c r="N24">
        <f t="shared" si="6"/>
        <v>0</v>
      </c>
      <c r="O24">
        <f t="shared" ref="O24" si="8">$C24/$C19*O19</f>
        <v>0.3</v>
      </c>
      <c r="R24" s="8"/>
      <c r="S24">
        <f t="shared" si="4"/>
        <v>7.5</v>
      </c>
      <c r="T24" s="41">
        <f t="shared" si="4"/>
        <v>3.5233606020942227</v>
      </c>
      <c r="U24">
        <f t="shared" si="4"/>
        <v>7.5</v>
      </c>
      <c r="V24" t="s">
        <v>24</v>
      </c>
      <c r="W24" s="7" t="s">
        <v>424</v>
      </c>
      <c r="X24" s="7" t="s">
        <v>109</v>
      </c>
      <c r="Y24" s="7" t="s">
        <v>129</v>
      </c>
      <c r="Z24" s="7" t="s">
        <v>153</v>
      </c>
      <c r="AA24" s="7"/>
      <c r="AB24" s="7"/>
      <c r="AC24" s="7"/>
      <c r="AD24" s="7"/>
      <c r="AE24" s="7" t="s">
        <v>555</v>
      </c>
      <c r="AF24" s="7" t="s">
        <v>106</v>
      </c>
      <c r="AG24" s="17" t="s">
        <v>327</v>
      </c>
      <c r="AH24" s="7" t="s">
        <v>332</v>
      </c>
      <c r="AI24" s="7" t="s">
        <v>331</v>
      </c>
      <c r="AJ24" s="7" t="s">
        <v>246</v>
      </c>
      <c r="AK24" s="7" t="s">
        <v>247</v>
      </c>
      <c r="AL24" s="1" t="s">
        <v>248</v>
      </c>
      <c r="AM24" s="6"/>
      <c r="AN24" s="7"/>
      <c r="AT24" s="56"/>
      <c r="AU24" s="56"/>
      <c r="AV24" s="56"/>
      <c r="AW24" s="56"/>
      <c r="AX24" s="56"/>
      <c r="AY24" s="56"/>
      <c r="AZ24" s="56"/>
      <c r="BA24" s="56"/>
      <c r="BB24" s="56"/>
      <c r="BC24" s="56"/>
      <c r="BD24" s="56"/>
    </row>
    <row r="25" spans="1:56" ht="14.5" customHeight="1">
      <c r="A25" s="5" t="s">
        <v>417</v>
      </c>
      <c r="B25" t="s">
        <v>422</v>
      </c>
      <c r="C25" s="5">
        <v>3</v>
      </c>
      <c r="D25">
        <f t="shared" si="5"/>
        <v>3</v>
      </c>
      <c r="E25">
        <f t="shared" si="5"/>
        <v>3</v>
      </c>
      <c r="F25">
        <f t="shared" si="6"/>
        <v>3</v>
      </c>
      <c r="G25">
        <f t="shared" si="6"/>
        <v>2</v>
      </c>
      <c r="H25">
        <f t="shared" si="6"/>
        <v>3</v>
      </c>
      <c r="I25">
        <f t="shared" si="6"/>
        <v>3</v>
      </c>
      <c r="J25">
        <f t="shared" si="6"/>
        <v>3</v>
      </c>
      <c r="K25">
        <f t="shared" si="6"/>
        <v>3</v>
      </c>
      <c r="L25">
        <f t="shared" si="6"/>
        <v>7</v>
      </c>
      <c r="N25">
        <f t="shared" si="6"/>
        <v>0.8</v>
      </c>
      <c r="O25">
        <f t="shared" ref="O25" si="9">$C25/$C20*O20</f>
        <v>0.8</v>
      </c>
      <c r="Q25" s="5"/>
      <c r="R25" s="8"/>
      <c r="S25">
        <f>$C25/$C20*S20</f>
        <v>0.2</v>
      </c>
      <c r="T25" s="41">
        <f>$C25/$C20*T20</f>
        <v>1.5591067418710378</v>
      </c>
      <c r="V25" s="5" t="s">
        <v>24</v>
      </c>
      <c r="W25" s="7" t="s">
        <v>424</v>
      </c>
      <c r="X25" s="6" t="s">
        <v>109</v>
      </c>
      <c r="Y25" s="6" t="s">
        <v>129</v>
      </c>
      <c r="Z25" s="6" t="s">
        <v>154</v>
      </c>
      <c r="AA25" s="6"/>
      <c r="AB25" s="6"/>
      <c r="AC25" s="6" t="s">
        <v>249</v>
      </c>
      <c r="AD25" s="6"/>
      <c r="AE25" t="s">
        <v>555</v>
      </c>
      <c r="AF25" s="6" t="s">
        <v>106</v>
      </c>
      <c r="AG25" s="17" t="s">
        <v>327</v>
      </c>
      <c r="AH25" s="7" t="s">
        <v>332</v>
      </c>
      <c r="AI25" s="6" t="s">
        <v>331</v>
      </c>
      <c r="AJ25" s="6" t="s">
        <v>244</v>
      </c>
      <c r="AK25" s="6"/>
      <c r="AL25" s="6"/>
      <c r="AM25" s="6"/>
      <c r="AN25" s="6"/>
      <c r="AT25" s="56"/>
      <c r="AU25" s="56"/>
      <c r="AV25" s="56"/>
      <c r="AW25" s="56"/>
      <c r="AX25" s="56"/>
      <c r="AY25" s="56"/>
      <c r="AZ25" s="56"/>
      <c r="BA25" s="56"/>
      <c r="BB25" s="56"/>
      <c r="BC25" s="56"/>
      <c r="BD25" s="56"/>
    </row>
    <row r="26" spans="1:56" ht="14.5" customHeight="1">
      <c r="A26" t="s">
        <v>418</v>
      </c>
      <c r="B26" t="s">
        <v>423</v>
      </c>
      <c r="C26">
        <v>4.5</v>
      </c>
      <c r="D26">
        <f t="shared" si="5"/>
        <v>4.5</v>
      </c>
      <c r="E26">
        <f t="shared" si="5"/>
        <v>10.5</v>
      </c>
      <c r="F26">
        <f t="shared" si="6"/>
        <v>4.5</v>
      </c>
      <c r="G26">
        <f t="shared" si="6"/>
        <v>4.5</v>
      </c>
      <c r="H26">
        <f t="shared" si="6"/>
        <v>6.6</v>
      </c>
      <c r="I26">
        <f t="shared" si="6"/>
        <v>10.5</v>
      </c>
      <c r="J26">
        <f t="shared" si="6"/>
        <v>4.5</v>
      </c>
      <c r="K26">
        <v>2</v>
      </c>
      <c r="L26">
        <f t="shared" si="6"/>
        <v>4.5</v>
      </c>
      <c r="M26">
        <f t="shared" si="6"/>
        <v>6</v>
      </c>
      <c r="N26">
        <f t="shared" si="6"/>
        <v>4.8</v>
      </c>
      <c r="O26">
        <f t="shared" ref="O26" si="10">$C26/$C21*O21</f>
        <v>4.8</v>
      </c>
      <c r="R26" s="8"/>
      <c r="S26">
        <f>$C26/$C21*S21</f>
        <v>6</v>
      </c>
      <c r="T26" s="41">
        <f>$C26/$C21*T21</f>
        <v>3.5427061850634076</v>
      </c>
      <c r="U26">
        <f>$C26/$C21*U21</f>
        <v>1.5</v>
      </c>
      <c r="V26" t="s">
        <v>24</v>
      </c>
      <c r="W26" s="7" t="s">
        <v>424</v>
      </c>
      <c r="X26" s="7" t="s">
        <v>109</v>
      </c>
      <c r="Y26" s="7" t="s">
        <v>129</v>
      </c>
      <c r="Z26" s="7" t="s">
        <v>152</v>
      </c>
      <c r="AA26" s="7"/>
      <c r="AB26" s="7"/>
      <c r="AC26" s="7"/>
      <c r="AD26" s="7" t="s">
        <v>250</v>
      </c>
      <c r="AE26" s="7" t="s">
        <v>555</v>
      </c>
      <c r="AF26" s="7" t="s">
        <v>106</v>
      </c>
      <c r="AG26" s="17" t="s">
        <v>327</v>
      </c>
      <c r="AH26" s="7" t="s">
        <v>332</v>
      </c>
      <c r="AI26" s="7" t="s">
        <v>331</v>
      </c>
      <c r="AJ26" s="7" t="s">
        <v>251</v>
      </c>
      <c r="AK26" s="7" t="s">
        <v>252</v>
      </c>
      <c r="AL26" s="7" t="s">
        <v>253</v>
      </c>
      <c r="AM26" s="6"/>
      <c r="AN26" s="7"/>
      <c r="AT26" t="s">
        <v>529</v>
      </c>
      <c r="AU26" t="s">
        <v>530</v>
      </c>
      <c r="AV26" t="s">
        <v>531</v>
      </c>
      <c r="AW26" t="s">
        <v>539</v>
      </c>
    </row>
    <row r="27" spans="1:56" ht="14.5" customHeight="1">
      <c r="A27" s="5" t="s">
        <v>134</v>
      </c>
      <c r="B27" s="5" t="s">
        <v>383</v>
      </c>
      <c r="C27" s="5">
        <v>0.64749999999999996</v>
      </c>
      <c r="D27" s="5">
        <v>0.64749999999999996</v>
      </c>
      <c r="E27" s="5">
        <v>0.8</v>
      </c>
      <c r="F27" s="5">
        <v>0.25</v>
      </c>
      <c r="G27" s="5">
        <v>0.64800000000000002</v>
      </c>
      <c r="H27" s="5">
        <v>0.87</v>
      </c>
      <c r="I27" s="5">
        <v>0.5</v>
      </c>
      <c r="J27" s="5">
        <v>0.23</v>
      </c>
      <c r="K27" s="5">
        <v>0.1</v>
      </c>
      <c r="L27" s="11">
        <v>9.9999999999999995E-7</v>
      </c>
      <c r="M27" s="20"/>
      <c r="N27" s="5">
        <v>0</v>
      </c>
      <c r="O27" s="11">
        <v>9.9999999999999995E-7</v>
      </c>
      <c r="P27" s="11"/>
      <c r="Q27" s="5"/>
      <c r="R27" s="5"/>
      <c r="S27" s="5">
        <v>0.46</v>
      </c>
      <c r="T27" s="53">
        <v>0.52249999999999996</v>
      </c>
      <c r="U27" s="5"/>
      <c r="V27" s="5" t="s">
        <v>24</v>
      </c>
      <c r="W27" s="6"/>
      <c r="X27" s="6" t="s">
        <v>174</v>
      </c>
      <c r="Y27" s="6"/>
      <c r="Z27" s="6" t="s">
        <v>388</v>
      </c>
      <c r="AA27" s="6"/>
      <c r="AC27" s="7"/>
      <c r="AD27" s="17" t="s">
        <v>328</v>
      </c>
      <c r="AE27" t="s">
        <v>555</v>
      </c>
      <c r="AF27" s="6" t="s">
        <v>175</v>
      </c>
      <c r="AG27" s="17" t="s">
        <v>327</v>
      </c>
      <c r="AH27" s="6" t="s">
        <v>389</v>
      </c>
      <c r="AI27" s="19" t="s">
        <v>319</v>
      </c>
      <c r="AJ27" s="6" t="s">
        <v>325</v>
      </c>
      <c r="AK27" s="6"/>
      <c r="AL27" s="6" t="s">
        <v>446</v>
      </c>
      <c r="AM27" s="6"/>
      <c r="AN27" s="5"/>
      <c r="AS27" t="s">
        <v>519</v>
      </c>
      <c r="AT27">
        <f>BD12*AV14</f>
        <v>3.9325758436055146E-2</v>
      </c>
      <c r="AU27">
        <f>$BD$12*AW14*$AV$14/($BD$12*$AV$14)</f>
        <v>0.52249999999999996</v>
      </c>
      <c r="AV27">
        <f>$BD$12*AX14*$AV$14/($BD$12*$AV$14)</f>
        <v>0.95000000000000007</v>
      </c>
      <c r="AW27">
        <f>$BD$12*AY14*$AV$14/($BD$12*$AV$14)</f>
        <v>1.3</v>
      </c>
    </row>
    <row r="28" spans="1:56" ht="14.5" customHeight="1">
      <c r="A28" t="s">
        <v>135</v>
      </c>
      <c r="B28" s="5" t="s">
        <v>380</v>
      </c>
      <c r="C28">
        <v>0.72899999999999998</v>
      </c>
      <c r="D28">
        <v>0.72899999999999998</v>
      </c>
      <c r="E28">
        <v>0.125</v>
      </c>
      <c r="F28">
        <v>0.75</v>
      </c>
      <c r="G28">
        <v>0.495</v>
      </c>
      <c r="H28">
        <v>0.87</v>
      </c>
      <c r="I28">
        <v>0.125</v>
      </c>
      <c r="J28">
        <v>0.22</v>
      </c>
      <c r="K28">
        <v>0.1</v>
      </c>
      <c r="L28">
        <v>0.125</v>
      </c>
      <c r="M28" s="21"/>
      <c r="N28">
        <v>0</v>
      </c>
      <c r="O28" s="11">
        <v>9.9999999999999995E-7</v>
      </c>
      <c r="P28" s="11"/>
      <c r="S28">
        <v>0.22</v>
      </c>
      <c r="T28" s="51">
        <v>4.2502957742882857E-3</v>
      </c>
      <c r="V28" t="s">
        <v>24</v>
      </c>
      <c r="W28" s="7"/>
      <c r="X28" s="7" t="s">
        <v>174</v>
      </c>
      <c r="Y28" s="7"/>
      <c r="Z28" s="7" t="s">
        <v>387</v>
      </c>
      <c r="AA28" s="7"/>
      <c r="AC28" s="6"/>
      <c r="AD28" s="17" t="s">
        <v>328</v>
      </c>
      <c r="AE28" s="7" t="s">
        <v>555</v>
      </c>
      <c r="AF28" s="7" t="s">
        <v>175</v>
      </c>
      <c r="AG28" s="17" t="s">
        <v>327</v>
      </c>
      <c r="AH28" s="6" t="s">
        <v>389</v>
      </c>
      <c r="AI28" s="19" t="s">
        <v>319</v>
      </c>
      <c r="AJ28" s="6" t="s">
        <v>325</v>
      </c>
      <c r="AK28" s="7"/>
      <c r="AL28" s="7" t="s">
        <v>445</v>
      </c>
      <c r="AM28" s="47"/>
      <c r="AS28" t="s">
        <v>521</v>
      </c>
      <c r="AT28">
        <f>BB13*AV12+AV17*BG13</f>
        <v>0.37595562192934978</v>
      </c>
      <c r="AU28" s="51">
        <f>($BB$13*AW12*$AV$12+AW17*$AV$17*$BG$13)/($AV$17*$BG$13+$BB$13*$AV$12)</f>
        <v>4.2502957742882857E-3</v>
      </c>
      <c r="AV28" s="51">
        <f>($BB$13*AX12*$AV$12+AX17*$AV$17*$BG$13)/($AV$17*$BG$13+$BB$13*$AV$12)</f>
        <v>0.77500000000000002</v>
      </c>
      <c r="AW28" s="51">
        <f>($BB$13*AY12*$AV$12+AY17*$AV$17*$BG$13)/($AV$17*$BG$13+$BB$13*$AV$12)</f>
        <v>9.1965987951549089</v>
      </c>
    </row>
    <row r="29" spans="1:56" ht="14.5" customHeight="1">
      <c r="A29" s="5" t="s">
        <v>136</v>
      </c>
      <c r="B29" s="5" t="s">
        <v>377</v>
      </c>
      <c r="C29" s="5">
        <v>0.76690000000000003</v>
      </c>
      <c r="D29" s="5">
        <v>0.76690000000000003</v>
      </c>
      <c r="E29" s="5">
        <v>0.95</v>
      </c>
      <c r="F29" s="5">
        <v>0.05</v>
      </c>
      <c r="G29" s="5">
        <v>0.13600000000000001</v>
      </c>
      <c r="H29" s="5">
        <v>0.87</v>
      </c>
      <c r="I29" s="5">
        <v>0.95</v>
      </c>
      <c r="J29" s="5">
        <v>0.19</v>
      </c>
      <c r="K29" s="5">
        <v>0.1</v>
      </c>
      <c r="L29" s="11">
        <v>9.9999999999999995E-7</v>
      </c>
      <c r="M29" s="20"/>
      <c r="N29" s="5">
        <v>0</v>
      </c>
      <c r="O29" s="11">
        <v>9.9999999999999995E-7</v>
      </c>
      <c r="P29" s="11"/>
      <c r="Q29" s="5"/>
      <c r="R29" s="5"/>
      <c r="S29" s="5">
        <v>0.05</v>
      </c>
      <c r="T29" s="53">
        <v>0.28949225166178993</v>
      </c>
      <c r="U29" s="5"/>
      <c r="V29" s="5" t="s">
        <v>24</v>
      </c>
      <c r="W29" s="6"/>
      <c r="X29" s="6" t="s">
        <v>174</v>
      </c>
      <c r="Y29" s="6"/>
      <c r="Z29" s="6" t="s">
        <v>386</v>
      </c>
      <c r="AA29" s="6"/>
      <c r="AC29" s="7"/>
      <c r="AD29" s="17" t="s">
        <v>328</v>
      </c>
      <c r="AE29" t="s">
        <v>555</v>
      </c>
      <c r="AF29" s="6" t="s">
        <v>175</v>
      </c>
      <c r="AG29" s="17" t="s">
        <v>327</v>
      </c>
      <c r="AH29" s="6" t="s">
        <v>389</v>
      </c>
      <c r="AI29" s="19" t="s">
        <v>319</v>
      </c>
      <c r="AJ29" s="6" t="s">
        <v>325</v>
      </c>
      <c r="AK29" s="6"/>
      <c r="AL29" s="6" t="s">
        <v>446</v>
      </c>
      <c r="AM29" s="47"/>
      <c r="AN29" s="5"/>
      <c r="AS29" t="s">
        <v>520</v>
      </c>
      <c r="AT29">
        <f>BD14*AV14+BB14*AV12+BC14*AV13</f>
        <v>0.20036467495291638</v>
      </c>
      <c r="AU29">
        <f>($BD$14*AW14*$AV$14+$BB$14*AW12*$AV$12+$BC$14*AW13*$AV$13)/($BD$14*$AV$14+$BB$14*$AV$12+$BC$14*$AV$13)</f>
        <v>0.28949225166178993</v>
      </c>
      <c r="AV29">
        <f>($BD$14*AX14*$AV$14+$BB$14*AX12*$AV$12+$BC$14*AX13*$AV$13)/($BD$14*$AV$14+$BB$14*$AV$12+$BC$14*$AV$13)</f>
        <v>0.87194168816086637</v>
      </c>
      <c r="AW29">
        <f>($BD$14*AY14*$AV$14+$BB$14*AY12*$AV$12+$BC$14*AY13*$AV$13)/($BD$14*$AV$14+$BB$14*$AV$12+$BC$14*$AV$13)</f>
        <v>11.744535340314076</v>
      </c>
    </row>
    <row r="30" spans="1:56" ht="14.5" customHeight="1">
      <c r="A30" t="s">
        <v>137</v>
      </c>
      <c r="B30" s="5" t="s">
        <v>347</v>
      </c>
      <c r="C30">
        <v>0.46850000000000003</v>
      </c>
      <c r="D30">
        <v>0.46850000000000003</v>
      </c>
      <c r="E30">
        <v>0.2</v>
      </c>
      <c r="F30">
        <v>0.75</v>
      </c>
      <c r="G30">
        <v>0.34649999999999997</v>
      </c>
      <c r="H30">
        <v>0.48</v>
      </c>
      <c r="I30">
        <v>0.2</v>
      </c>
      <c r="J30">
        <v>0.11</v>
      </c>
      <c r="K30">
        <v>0.1</v>
      </c>
      <c r="L30">
        <v>0.95</v>
      </c>
      <c r="M30" s="21"/>
      <c r="N30">
        <v>0</v>
      </c>
      <c r="O30" s="11">
        <v>9.9999999999999995E-7</v>
      </c>
      <c r="P30" s="11"/>
      <c r="S30" s="10">
        <v>9.9999999999999995E-7</v>
      </c>
      <c r="T30" s="51">
        <v>3.6717879236877221E-2</v>
      </c>
      <c r="V30" t="s">
        <v>24</v>
      </c>
      <c r="W30" s="7"/>
      <c r="X30" s="7" t="s">
        <v>174</v>
      </c>
      <c r="Y30" s="7"/>
      <c r="Z30" s="7" t="s">
        <v>385</v>
      </c>
      <c r="AA30" s="7"/>
      <c r="AC30" s="6"/>
      <c r="AD30" s="17" t="s">
        <v>328</v>
      </c>
      <c r="AE30" s="7" t="s">
        <v>555</v>
      </c>
      <c r="AF30" s="7" t="s">
        <v>175</v>
      </c>
      <c r="AG30" s="17" t="s">
        <v>327</v>
      </c>
      <c r="AH30" s="6" t="s">
        <v>389</v>
      </c>
      <c r="AI30" s="19" t="s">
        <v>319</v>
      </c>
      <c r="AJ30" s="6" t="s">
        <v>325</v>
      </c>
      <c r="AK30" s="7"/>
      <c r="AL30" s="7" t="s">
        <v>443</v>
      </c>
      <c r="AM30" s="47"/>
      <c r="AS30" t="s">
        <v>522</v>
      </c>
      <c r="AT30">
        <f>AV15*BE15+AV13*BC15</f>
        <v>0.12118050124593224</v>
      </c>
      <c r="AU30" s="10">
        <f>($BE$15*AW15*$AV$15+AW13*$BC$15*$AV$13)/($AV$13*$BC$15+$AV$15*$BE$15)</f>
        <v>3.6717879236877221E-2</v>
      </c>
      <c r="AV30" s="41">
        <f>($BE$15*AX15*$AV$15+AX13*$BC$15*$AV$13)/($AV$13*$BC$15+$AV$15*$BE$15)</f>
        <v>0.78754495464752416</v>
      </c>
      <c r="AW30" s="41">
        <f>($BE$15*AY15*$AV$15+AY13*$BC$15*$AV$13)/($AV$13*$BC$15+$AV$15*$BE$15)</f>
        <v>7.7955337093551886</v>
      </c>
    </row>
    <row r="31" spans="1:56" ht="14.5" customHeight="1">
      <c r="A31" s="5" t="s">
        <v>138</v>
      </c>
      <c r="B31" s="5" t="s">
        <v>374</v>
      </c>
      <c r="C31" s="5">
        <v>0.75</v>
      </c>
      <c r="D31" s="5">
        <v>0.75</v>
      </c>
      <c r="E31" s="5">
        <v>0.95</v>
      </c>
      <c r="F31" s="5">
        <v>0.5</v>
      </c>
      <c r="G31" s="5">
        <v>0.63700000000000001</v>
      </c>
      <c r="H31" s="5">
        <v>0.74</v>
      </c>
      <c r="I31" s="5">
        <v>0.95</v>
      </c>
      <c r="J31" s="5">
        <v>0.26</v>
      </c>
      <c r="K31" s="5">
        <v>0.95</v>
      </c>
      <c r="L31" s="5">
        <v>0.8</v>
      </c>
      <c r="M31" s="20"/>
      <c r="N31" s="5">
        <v>0.45</v>
      </c>
      <c r="O31" s="5">
        <v>0.4</v>
      </c>
      <c r="P31" s="5"/>
      <c r="Q31" s="5"/>
      <c r="R31" s="5"/>
      <c r="S31" s="5">
        <v>0.17</v>
      </c>
      <c r="T31" s="53">
        <v>0.29972549738853282</v>
      </c>
      <c r="U31" s="5"/>
      <c r="V31" s="5" t="s">
        <v>24</v>
      </c>
      <c r="W31" s="6"/>
      <c r="X31" s="6" t="s">
        <v>174</v>
      </c>
      <c r="Y31" s="6"/>
      <c r="Z31" s="6" t="s">
        <v>384</v>
      </c>
      <c r="AA31" s="6"/>
      <c r="AC31" s="7"/>
      <c r="AD31" s="17" t="s">
        <v>328</v>
      </c>
      <c r="AE31" t="s">
        <v>555</v>
      </c>
      <c r="AF31" s="6" t="s">
        <v>175</v>
      </c>
      <c r="AG31" s="17" t="s">
        <v>327</v>
      </c>
      <c r="AH31" s="6" t="s">
        <v>389</v>
      </c>
      <c r="AI31" s="19" t="s">
        <v>319</v>
      </c>
      <c r="AJ31" s="1" t="s">
        <v>326</v>
      </c>
      <c r="AK31" s="6"/>
      <c r="AL31" s="6" t="s">
        <v>440</v>
      </c>
      <c r="AM31" s="47"/>
      <c r="AN31" s="5"/>
      <c r="AS31" t="s">
        <v>523</v>
      </c>
      <c r="AT31">
        <f>BB16*AV12+AV16+BC16*AV13</f>
        <v>0.26317344343574645</v>
      </c>
      <c r="AU31">
        <f>($BB$16*AW12*$AV$12+AW16*$BF$16*$AV$16+$BC$16*AW13*$AV$13)/($AV$12*$BB$16+$AV$13*$BC$16+$AV$16*$BF$16)</f>
        <v>0.29972549738853282</v>
      </c>
      <c r="AV31">
        <f>($BB$16*AX12*$AV$12+AX16*$BF$16*$AV$16+$BC$16*AX13*$AV$13)/($AV$12*$BB$16+$AV$13*$BC$16+$AV$16*$BF$16)</f>
        <v>0.84788807304747327</v>
      </c>
      <c r="AW31">
        <f>($BB$16*AY12*$AV$12+AY16*$BF$16*$AV$16+$BC$16*AY13*$AV$13)/($AV$12*$BB$16+$AV$13*$BC$16+$AV$16*$BF$16)</f>
        <v>11.809020616878026</v>
      </c>
    </row>
    <row r="32" spans="1:56" ht="14.5" customHeight="1">
      <c r="A32" t="s">
        <v>70</v>
      </c>
      <c r="B32" t="s">
        <v>348</v>
      </c>
      <c r="C32">
        <v>0.34250000000000003</v>
      </c>
      <c r="D32">
        <v>0.33800000000000002</v>
      </c>
      <c r="E32">
        <v>0.26156000000000001</v>
      </c>
      <c r="F32">
        <f>Sn!E32/Sn!B32</f>
        <v>0.16447876240193429</v>
      </c>
      <c r="G32">
        <v>0.3624</v>
      </c>
      <c r="H32">
        <v>0.24438253362692441</v>
      </c>
      <c r="I32">
        <v>0.17</v>
      </c>
      <c r="J32">
        <v>0.39</v>
      </c>
      <c r="K32">
        <v>0.73</v>
      </c>
      <c r="L32">
        <v>0.27307599999999999</v>
      </c>
      <c r="M32" s="16">
        <v>2.7500000000000002E-4</v>
      </c>
      <c r="O32" s="11">
        <v>0.2</v>
      </c>
      <c r="P32" s="11"/>
      <c r="R32" s="8"/>
      <c r="S32">
        <v>0.38300000000000001</v>
      </c>
      <c r="T32">
        <v>0.31080000000000002</v>
      </c>
      <c r="U32">
        <v>0.21</v>
      </c>
      <c r="V32" t="s">
        <v>31</v>
      </c>
      <c r="W32" s="7" t="s">
        <v>71</v>
      </c>
      <c r="X32" s="7" t="s">
        <v>156</v>
      </c>
      <c r="Y32" s="7" t="s">
        <v>128</v>
      </c>
      <c r="Z32" s="7" t="s">
        <v>139</v>
      </c>
      <c r="AA32" s="7"/>
      <c r="AB32" s="7"/>
      <c r="AC32" s="17" t="s">
        <v>254</v>
      </c>
      <c r="AD32" s="55" t="s">
        <v>553</v>
      </c>
      <c r="AE32" s="17" t="s">
        <v>255</v>
      </c>
      <c r="AF32" s="7" t="s">
        <v>77</v>
      </c>
      <c r="AG32" s="1" t="s">
        <v>297</v>
      </c>
      <c r="AH32" s="7" t="s">
        <v>318</v>
      </c>
      <c r="AI32" s="7"/>
      <c r="AJ32" s="7"/>
      <c r="AK32" s="7" t="s">
        <v>256</v>
      </c>
      <c r="AL32" s="1" t="s">
        <v>442</v>
      </c>
      <c r="AM32" s="47" t="s">
        <v>430</v>
      </c>
      <c r="AN32" s="7"/>
      <c r="AS32" s="28" t="s">
        <v>534</v>
      </c>
      <c r="AT32">
        <f>SUM(AT27:AT31)</f>
        <v>1</v>
      </c>
      <c r="AU32">
        <f>SUMPRODUCT(AT27:AT31,AU27:AU31)</f>
        <v>0.16347893452349185</v>
      </c>
      <c r="AV32">
        <f>SUMPRODUCT(AT27:AT31,AV27:AV31)</f>
        <v>0.82200810662564283</v>
      </c>
      <c r="AW32">
        <f>SUMPRODUCT(AT27:AT31,AW27:AW31)</f>
        <v>9.9143138132958484</v>
      </c>
    </row>
    <row r="33" spans="1:40" ht="14.5" customHeight="1">
      <c r="A33" s="5" t="s">
        <v>69</v>
      </c>
      <c r="B33" t="s">
        <v>349</v>
      </c>
      <c r="C33" s="5">
        <v>0.24399999999999999</v>
      </c>
      <c r="D33" s="5">
        <v>0.33800000000000002</v>
      </c>
      <c r="E33" s="5">
        <v>0.26156000000000001</v>
      </c>
      <c r="F33" s="5">
        <f>Sn!E32/Sn!B32</f>
        <v>0.16447876240193429</v>
      </c>
      <c r="G33" s="5">
        <v>0.38300000000000001</v>
      </c>
      <c r="H33">
        <v>0.24438253362692441</v>
      </c>
      <c r="I33" s="5">
        <v>0.17</v>
      </c>
      <c r="J33" s="5">
        <v>0.39</v>
      </c>
      <c r="K33" s="5">
        <v>0.73</v>
      </c>
      <c r="L33">
        <v>0.27307599999999999</v>
      </c>
      <c r="M33" s="14">
        <v>2.7500000000000002E-4</v>
      </c>
      <c r="N33" s="5"/>
      <c r="O33" s="11">
        <v>0.2</v>
      </c>
      <c r="P33" s="11"/>
      <c r="Q33" s="5"/>
      <c r="R33" s="9"/>
      <c r="S33" s="5">
        <v>0.46</v>
      </c>
      <c r="T33">
        <v>0.31080000000000002</v>
      </c>
      <c r="U33" s="5">
        <v>0.21</v>
      </c>
      <c r="V33" s="5" t="s">
        <v>31</v>
      </c>
      <c r="W33" s="6"/>
      <c r="X33" s="6" t="s">
        <v>157</v>
      </c>
      <c r="Y33" s="6" t="s">
        <v>127</v>
      </c>
      <c r="Z33" s="6" t="s">
        <v>140</v>
      </c>
      <c r="AA33" s="6"/>
      <c r="AB33" s="6"/>
      <c r="AC33" s="6" t="s">
        <v>257</v>
      </c>
      <c r="AD33" s="55" t="s">
        <v>553</v>
      </c>
      <c r="AE33" s="19" t="s">
        <v>255</v>
      </c>
      <c r="AF33" s="6" t="s">
        <v>77</v>
      </c>
      <c r="AG33" s="1" t="s">
        <v>297</v>
      </c>
      <c r="AH33" s="6" t="s">
        <v>318</v>
      </c>
      <c r="AI33" s="6" t="s">
        <v>258</v>
      </c>
      <c r="AJ33" s="6"/>
      <c r="AK33" s="6" t="s">
        <v>259</v>
      </c>
      <c r="AL33" s="1" t="s">
        <v>442</v>
      </c>
      <c r="AM33" s="48"/>
      <c r="AN33" s="6"/>
    </row>
    <row r="34" spans="1:40" ht="14.5" customHeight="1">
      <c r="A34" t="s">
        <v>75</v>
      </c>
      <c r="B34" t="s">
        <v>350</v>
      </c>
      <c r="C34">
        <v>1</v>
      </c>
      <c r="D34">
        <v>1</v>
      </c>
      <c r="E34">
        <v>1</v>
      </c>
      <c r="F34">
        <v>1</v>
      </c>
      <c r="G34">
        <v>1</v>
      </c>
      <c r="H34">
        <v>1</v>
      </c>
      <c r="I34">
        <v>1</v>
      </c>
      <c r="J34">
        <v>1</v>
      </c>
      <c r="K34">
        <v>1</v>
      </c>
      <c r="L34">
        <v>1</v>
      </c>
      <c r="M34" s="16">
        <v>1</v>
      </c>
      <c r="N34">
        <v>1</v>
      </c>
      <c r="O34" s="5">
        <v>1</v>
      </c>
      <c r="P34" s="5"/>
      <c r="Q34">
        <v>1</v>
      </c>
      <c r="R34" s="8">
        <v>1</v>
      </c>
      <c r="S34">
        <v>1</v>
      </c>
      <c r="T34">
        <v>1</v>
      </c>
      <c r="U34">
        <v>1</v>
      </c>
      <c r="V34" t="s">
        <v>31</v>
      </c>
      <c r="W34" s="7"/>
      <c r="X34" s="7"/>
      <c r="Y34" s="7"/>
      <c r="Z34" s="6" t="s">
        <v>140</v>
      </c>
      <c r="AA34" s="7"/>
      <c r="AB34" s="7"/>
      <c r="AC34" s="7"/>
      <c r="AD34" s="7"/>
      <c r="AE34" s="7"/>
      <c r="AF34" s="7" t="s">
        <v>77</v>
      </c>
      <c r="AG34" s="7"/>
      <c r="AH34" s="7"/>
      <c r="AI34" s="7"/>
      <c r="AJ34" s="7"/>
      <c r="AK34" s="7"/>
      <c r="AL34" s="7"/>
      <c r="AM34" s="48"/>
      <c r="AN34" s="7"/>
    </row>
    <row r="35" spans="1:40" ht="14.5" customHeight="1">
      <c r="A35" s="5" t="s">
        <v>74</v>
      </c>
      <c r="B35" t="s">
        <v>351</v>
      </c>
      <c r="C35" s="5">
        <v>0.57769999999999999</v>
      </c>
      <c r="D35" s="5">
        <v>0.53300000000000003</v>
      </c>
      <c r="E35" s="5">
        <v>0.1065</v>
      </c>
      <c r="F35" s="5">
        <v>0.48499999999999999</v>
      </c>
      <c r="G35" s="5">
        <v>0.43180000000000002</v>
      </c>
      <c r="H35" s="5">
        <v>0.3</v>
      </c>
      <c r="I35" s="5">
        <v>0.13</v>
      </c>
      <c r="J35" s="5">
        <v>0.33</v>
      </c>
      <c r="K35" s="5">
        <v>0.42</v>
      </c>
      <c r="L35" s="5">
        <v>0.11700000000000001</v>
      </c>
      <c r="M35" s="14">
        <v>0.625</v>
      </c>
      <c r="N35" s="5"/>
      <c r="O35" s="5">
        <v>0.5</v>
      </c>
      <c r="P35" s="5"/>
      <c r="Q35" s="5"/>
      <c r="R35" s="9"/>
      <c r="S35" s="5">
        <v>0.64</v>
      </c>
      <c r="T35" s="5">
        <f>(2488+1409)/2.442/3500</f>
        <v>0.45594945594945591</v>
      </c>
      <c r="U35" s="5">
        <v>0.498</v>
      </c>
      <c r="V35" s="5" t="s">
        <v>31</v>
      </c>
      <c r="W35" s="6"/>
      <c r="X35" s="6" t="s">
        <v>158</v>
      </c>
      <c r="Y35" s="6" t="s">
        <v>131</v>
      </c>
      <c r="Z35" s="6" t="s">
        <v>147</v>
      </c>
      <c r="AA35" s="6"/>
      <c r="AB35" s="6"/>
      <c r="AC35" s="19" t="s">
        <v>260</v>
      </c>
      <c r="AD35" s="6"/>
      <c r="AE35" s="19" t="s">
        <v>538</v>
      </c>
      <c r="AF35" s="6" t="s">
        <v>77</v>
      </c>
      <c r="AG35" s="6" t="s">
        <v>425</v>
      </c>
      <c r="AH35" s="6"/>
      <c r="AI35" s="6"/>
      <c r="AJ35" s="6"/>
      <c r="AK35" s="22" t="s">
        <v>261</v>
      </c>
      <c r="AL35" s="1" t="s">
        <v>447</v>
      </c>
      <c r="AM35" s="48"/>
      <c r="AN35" s="6"/>
    </row>
    <row r="36" spans="1:40" ht="14.5" customHeight="1">
      <c r="A36" t="s">
        <v>72</v>
      </c>
      <c r="B36" t="s">
        <v>353</v>
      </c>
      <c r="C36">
        <v>0</v>
      </c>
      <c r="D36">
        <v>1</v>
      </c>
      <c r="E36">
        <f>1-0.52/2</f>
        <v>0.74</v>
      </c>
      <c r="F36">
        <v>1</v>
      </c>
      <c r="G36">
        <v>0.38869999999999999</v>
      </c>
      <c r="H36">
        <v>1</v>
      </c>
      <c r="I36">
        <f>1-$I$11/2</f>
        <v>0.89719400096758584</v>
      </c>
      <c r="J36">
        <v>0.19869999999999999</v>
      </c>
      <c r="K36">
        <v>1</v>
      </c>
      <c r="L36">
        <f>1-L10</f>
        <v>0.72</v>
      </c>
      <c r="M36" s="16">
        <v>1</v>
      </c>
      <c r="O36" s="5">
        <v>1</v>
      </c>
      <c r="P36" s="5"/>
      <c r="R36" s="8"/>
      <c r="S36">
        <v>1</v>
      </c>
      <c r="T36">
        <v>1</v>
      </c>
      <c r="U36">
        <v>1</v>
      </c>
      <c r="V36" t="s">
        <v>31</v>
      </c>
      <c r="W36" s="7"/>
      <c r="X36" s="7"/>
      <c r="Y36" s="7" t="s">
        <v>130</v>
      </c>
      <c r="Z36" s="7" t="s">
        <v>329</v>
      </c>
      <c r="AA36" s="7"/>
      <c r="AB36" s="7"/>
      <c r="AC36" s="7"/>
      <c r="AD36" s="7"/>
      <c r="AE36" s="7"/>
      <c r="AF36" s="7" t="s">
        <v>77</v>
      </c>
      <c r="AG36" s="7"/>
      <c r="AH36" s="7" t="s">
        <v>330</v>
      </c>
      <c r="AI36" s="7"/>
      <c r="AJ36" s="7"/>
      <c r="AK36" s="7"/>
      <c r="AL36" s="7" t="s">
        <v>441</v>
      </c>
      <c r="AM36" s="48" t="s">
        <v>431</v>
      </c>
      <c r="AN36" s="7"/>
    </row>
    <row r="37" spans="1:40" ht="14.5" customHeight="1">
      <c r="A37" s="5" t="s">
        <v>32</v>
      </c>
      <c r="B37" t="s">
        <v>352</v>
      </c>
      <c r="C37" s="5">
        <v>0</v>
      </c>
      <c r="D37" s="5">
        <v>1</v>
      </c>
      <c r="E37">
        <f>1-0.52/2</f>
        <v>0.74</v>
      </c>
      <c r="F37" s="5">
        <v>1</v>
      </c>
      <c r="G37" s="5">
        <v>0.312</v>
      </c>
      <c r="H37" s="5">
        <v>1</v>
      </c>
      <c r="I37">
        <f>1-$I$11/2</f>
        <v>0.89719400096758584</v>
      </c>
      <c r="J37" s="5">
        <v>0.19869999999999999</v>
      </c>
      <c r="K37" s="5">
        <v>1</v>
      </c>
      <c r="L37" s="5">
        <f>1-L10</f>
        <v>0.72</v>
      </c>
      <c r="M37" s="14">
        <v>1</v>
      </c>
      <c r="N37" s="5"/>
      <c r="O37" s="5">
        <v>0</v>
      </c>
      <c r="P37" s="5"/>
      <c r="Q37" s="5"/>
      <c r="R37" s="9"/>
      <c r="S37" s="5">
        <v>1</v>
      </c>
      <c r="T37" s="5">
        <v>1</v>
      </c>
      <c r="U37" s="5">
        <v>1</v>
      </c>
      <c r="V37" s="5" t="s">
        <v>31</v>
      </c>
      <c r="W37" s="6"/>
      <c r="X37" s="6"/>
      <c r="Y37" s="6" t="s">
        <v>130</v>
      </c>
      <c r="Z37" s="7" t="s">
        <v>329</v>
      </c>
      <c r="AA37" s="6"/>
      <c r="AB37" s="6"/>
      <c r="AC37" s="6"/>
      <c r="AD37" s="6"/>
      <c r="AE37" s="6"/>
      <c r="AF37" s="6" t="s">
        <v>77</v>
      </c>
      <c r="AG37" s="6"/>
      <c r="AH37" s="7" t="s">
        <v>330</v>
      </c>
      <c r="AI37" s="6"/>
      <c r="AJ37" s="6"/>
      <c r="AK37" s="6" t="s">
        <v>202</v>
      </c>
      <c r="AL37" s="7" t="s">
        <v>441</v>
      </c>
      <c r="AM37" s="48"/>
      <c r="AN37" s="6"/>
    </row>
    <row r="38" spans="1:40" ht="14.5" customHeight="1">
      <c r="A38" t="s">
        <v>73</v>
      </c>
      <c r="B38" t="s">
        <v>410</v>
      </c>
      <c r="C38">
        <v>0</v>
      </c>
      <c r="D38">
        <v>0</v>
      </c>
      <c r="E38">
        <v>0.14099999999999999</v>
      </c>
      <c r="F38">
        <v>0</v>
      </c>
      <c r="G38">
        <v>0.13800000000000001</v>
      </c>
      <c r="H38">
        <v>0.34300000000000003</v>
      </c>
      <c r="I38">
        <v>8.0999999999999996E-4</v>
      </c>
      <c r="J38">
        <v>7.7000000000000002E-3</v>
      </c>
      <c r="K38">
        <v>0</v>
      </c>
      <c r="L38">
        <v>0.55900000000000005</v>
      </c>
      <c r="M38" s="16">
        <v>1</v>
      </c>
      <c r="O38" s="45">
        <v>0.278057</v>
      </c>
      <c r="P38" s="45"/>
      <c r="Q38">
        <v>0.69099999999999995</v>
      </c>
      <c r="R38" s="8"/>
      <c r="S38">
        <v>0</v>
      </c>
      <c r="T38">
        <v>0</v>
      </c>
      <c r="U38">
        <v>8.0999999999999996E-3</v>
      </c>
      <c r="V38" t="s">
        <v>31</v>
      </c>
      <c r="W38" s="7"/>
      <c r="X38" s="7"/>
      <c r="Y38" s="7"/>
      <c r="Z38" s="7"/>
      <c r="AA38" s="7"/>
      <c r="AB38" s="7"/>
      <c r="AC38" s="7"/>
      <c r="AD38" s="7"/>
      <c r="AE38" s="7" t="s">
        <v>262</v>
      </c>
      <c r="AF38" s="7" t="s">
        <v>77</v>
      </c>
      <c r="AG38" s="7" t="s">
        <v>308</v>
      </c>
      <c r="AH38" s="7"/>
      <c r="AI38" s="7"/>
      <c r="AJ38" s="7"/>
      <c r="AK38" s="17" t="s">
        <v>264</v>
      </c>
      <c r="AL38" s="7"/>
      <c r="AM38" s="48"/>
      <c r="AN38" s="7" t="s">
        <v>265</v>
      </c>
    </row>
    <row r="39" spans="1:40" ht="14.5" customHeight="1">
      <c r="A39" s="5" t="s">
        <v>33</v>
      </c>
      <c r="B39" t="s">
        <v>354</v>
      </c>
      <c r="C39" s="5">
        <v>0</v>
      </c>
      <c r="D39" s="5">
        <v>0</v>
      </c>
      <c r="E39" s="5">
        <v>0.14099999999999999</v>
      </c>
      <c r="F39" s="5">
        <v>0</v>
      </c>
      <c r="G39" s="5">
        <v>1.2E-2</v>
      </c>
      <c r="H39" s="5">
        <v>0.34300000000000003</v>
      </c>
      <c r="I39" s="5">
        <v>8.0999999999999996E-4</v>
      </c>
      <c r="J39" s="5">
        <v>7.7000000000000002E-3</v>
      </c>
      <c r="K39" s="5">
        <v>0</v>
      </c>
      <c r="L39" s="5">
        <v>0.55900000000000005</v>
      </c>
      <c r="M39" s="14">
        <v>1</v>
      </c>
      <c r="N39" s="5"/>
      <c r="O39" s="45">
        <v>0.278057</v>
      </c>
      <c r="P39" s="45"/>
      <c r="Q39" s="5">
        <v>0.69099999999999995</v>
      </c>
      <c r="R39" s="9"/>
      <c r="S39" s="5">
        <v>0</v>
      </c>
      <c r="T39" s="5">
        <v>0</v>
      </c>
      <c r="U39" s="5">
        <v>8.0999999999999996E-3</v>
      </c>
      <c r="V39" s="5" t="s">
        <v>31</v>
      </c>
      <c r="W39" s="6"/>
      <c r="X39" s="6"/>
      <c r="Y39" s="6"/>
      <c r="Z39" s="6"/>
      <c r="AA39" s="6"/>
      <c r="AB39" s="6"/>
      <c r="AC39" s="6"/>
      <c r="AD39" s="6"/>
      <c r="AE39" s="6"/>
      <c r="AF39" s="6" t="s">
        <v>77</v>
      </c>
      <c r="AG39" s="19" t="s">
        <v>309</v>
      </c>
      <c r="AH39" s="6"/>
      <c r="AI39" s="6" t="s">
        <v>263</v>
      </c>
      <c r="AJ39" s="6"/>
      <c r="AK39" s="6"/>
      <c r="AL39" s="6"/>
      <c r="AM39" s="48"/>
      <c r="AN39" s="6"/>
    </row>
    <row r="40" spans="1:40" ht="14.5" customHeight="1">
      <c r="A40" t="s">
        <v>76</v>
      </c>
      <c r="B40" t="s">
        <v>355</v>
      </c>
      <c r="C40">
        <v>88603.1</v>
      </c>
      <c r="D40">
        <v>1869000</v>
      </c>
      <c r="E40">
        <v>4.87</v>
      </c>
      <c r="F40">
        <f>F42/(1-F32)</f>
        <v>371.81700000000001</v>
      </c>
      <c r="G40">
        <v>30158.48</v>
      </c>
      <c r="H40">
        <v>3461.4</v>
      </c>
      <c r="I40">
        <v>28.271999999999998</v>
      </c>
      <c r="J40">
        <v>17267.080000000002</v>
      </c>
      <c r="K40">
        <v>12417.745999999999</v>
      </c>
      <c r="L40">
        <f>L42/(1-L32)</f>
        <v>0.25587269095531306</v>
      </c>
      <c r="M40" s="16">
        <v>260</v>
      </c>
      <c r="O40" s="5">
        <v>439</v>
      </c>
      <c r="P40" s="5"/>
      <c r="R40" s="8"/>
      <c r="S40">
        <v>108.5</v>
      </c>
      <c r="T40">
        <f>Ta!D53+Ta!E53</f>
        <v>5.9431205262759192</v>
      </c>
      <c r="U40">
        <v>260997</v>
      </c>
      <c r="V40" t="s">
        <v>31</v>
      </c>
      <c r="W40" s="7"/>
      <c r="X40" s="7" t="s">
        <v>155</v>
      </c>
      <c r="Y40" s="7" t="s">
        <v>131</v>
      </c>
      <c r="Z40" s="7" t="s">
        <v>148</v>
      </c>
      <c r="AA40" s="7"/>
      <c r="AB40" s="7"/>
      <c r="AC40" s="7" t="s">
        <v>266</v>
      </c>
      <c r="AD40" s="7" t="s">
        <v>267</v>
      </c>
      <c r="AE40" s="7" t="s">
        <v>268</v>
      </c>
      <c r="AF40" s="7" t="s">
        <v>91</v>
      </c>
      <c r="AG40" s="7"/>
      <c r="AH40" s="7"/>
      <c r="AI40" s="7" t="s">
        <v>269</v>
      </c>
      <c r="AJ40" s="7"/>
      <c r="AK40" s="7" t="s">
        <v>202</v>
      </c>
      <c r="AL40" s="7"/>
      <c r="AM40" s="48"/>
      <c r="AN40" s="7"/>
    </row>
    <row r="41" spans="1:40" ht="14.5" customHeight="1">
      <c r="A41" s="5" t="s">
        <v>270</v>
      </c>
      <c r="B41" s="5" t="s">
        <v>356</v>
      </c>
      <c r="C41" s="5">
        <v>0.5</v>
      </c>
      <c r="D41" s="5">
        <v>0.5</v>
      </c>
      <c r="E41" s="5">
        <v>0.5</v>
      </c>
      <c r="F41" s="5">
        <v>0.5</v>
      </c>
      <c r="G41" s="5">
        <v>0.5</v>
      </c>
      <c r="H41" s="5">
        <v>0.5</v>
      </c>
      <c r="I41" s="5">
        <v>0.5</v>
      </c>
      <c r="J41" s="5">
        <v>0.5</v>
      </c>
      <c r="K41" s="5">
        <v>0.5</v>
      </c>
      <c r="L41" s="5">
        <v>0.5</v>
      </c>
      <c r="M41" s="5">
        <v>0.5</v>
      </c>
      <c r="N41" s="5">
        <v>0.5</v>
      </c>
      <c r="O41" s="5">
        <v>0.5</v>
      </c>
      <c r="P41" s="5"/>
      <c r="Q41" s="5">
        <v>0.5</v>
      </c>
      <c r="R41" s="5">
        <v>0.5</v>
      </c>
      <c r="S41" s="5">
        <v>0.5</v>
      </c>
      <c r="T41" s="5">
        <v>0.5</v>
      </c>
      <c r="U41" s="5">
        <v>0.23</v>
      </c>
      <c r="V41" s="5"/>
      <c r="W41" s="5"/>
      <c r="X41" s="5"/>
      <c r="Y41" s="5"/>
      <c r="Z41" s="5"/>
      <c r="AA41" s="5"/>
      <c r="AB41" s="5"/>
      <c r="AC41" s="5"/>
      <c r="AD41" s="5"/>
      <c r="AE41" s="5"/>
      <c r="AF41" s="5"/>
      <c r="AG41" s="5"/>
      <c r="AH41" s="5"/>
      <c r="AI41" s="5"/>
      <c r="AJ41" s="5"/>
      <c r="AK41" s="5" t="s">
        <v>271</v>
      </c>
      <c r="AL41" s="5"/>
      <c r="AM41" s="48"/>
      <c r="AN41" s="5"/>
    </row>
    <row r="42" spans="1:40" ht="14.5" customHeight="1">
      <c r="A42" t="s">
        <v>14</v>
      </c>
      <c r="B42" t="s">
        <v>305</v>
      </c>
      <c r="C42">
        <v>67223.3764402956</v>
      </c>
      <c r="D42">
        <v>1159359.712230216</v>
      </c>
      <c r="E42">
        <v>3.5962000000000001</v>
      </c>
      <c r="F42">
        <v>310.661</v>
      </c>
      <c r="G42">
        <v>20539</v>
      </c>
      <c r="H42">
        <v>2673.57</v>
      </c>
      <c r="I42">
        <v>23.697381126123137</v>
      </c>
      <c r="J42">
        <v>14240.812392276797</v>
      </c>
      <c r="K42">
        <v>4818.7460000000001</v>
      </c>
      <c r="L42">
        <v>0.186</v>
      </c>
      <c r="M42" s="16">
        <v>0.52</v>
      </c>
      <c r="O42" s="5">
        <v>186</v>
      </c>
      <c r="P42" s="5"/>
      <c r="R42" s="8"/>
      <c r="S42" s="15">
        <v>83.8</v>
      </c>
      <c r="T42">
        <f>Ta!D53</f>
        <v>3.8993846198901974</v>
      </c>
      <c r="U42">
        <v>294</v>
      </c>
      <c r="V42" t="s">
        <v>34</v>
      </c>
      <c r="W42" s="7"/>
      <c r="X42" s="7"/>
      <c r="Y42" s="7" t="s">
        <v>92</v>
      </c>
      <c r="Z42" s="7" t="s">
        <v>147</v>
      </c>
      <c r="AA42" s="7" t="s">
        <v>93</v>
      </c>
      <c r="AB42" s="7"/>
      <c r="AC42" s="7" t="s">
        <v>272</v>
      </c>
      <c r="AD42" s="17" t="s">
        <v>273</v>
      </c>
      <c r="AE42" t="s">
        <v>524</v>
      </c>
      <c r="AF42" s="7"/>
      <c r="AG42" s="7"/>
      <c r="AH42" s="7"/>
      <c r="AI42" s="7"/>
      <c r="AJ42" s="7"/>
      <c r="AK42" s="7"/>
      <c r="AL42" s="7" t="s">
        <v>274</v>
      </c>
      <c r="AM42" s="6"/>
      <c r="AN42" s="7"/>
    </row>
    <row r="43" spans="1:40" ht="14.5" customHeight="1">
      <c r="A43" s="23" t="s">
        <v>15</v>
      </c>
      <c r="B43" s="23" t="s">
        <v>357</v>
      </c>
      <c r="C43" s="5">
        <f>2353/5.1</f>
        <v>461.3725490196079</v>
      </c>
      <c r="D43" s="5">
        <v>745.14</v>
      </c>
      <c r="E43" s="5">
        <v>3.5370000000000002E-3</v>
      </c>
      <c r="F43" s="5">
        <v>4.5032618547779402</v>
      </c>
      <c r="G43" s="5">
        <v>12.449078</v>
      </c>
      <c r="H43" s="5">
        <v>24.843557000000001</v>
      </c>
      <c r="I43" s="5">
        <v>8.0507999999999996E-2</v>
      </c>
      <c r="J43" s="5">
        <v>16.420480999999999</v>
      </c>
      <c r="K43" s="5">
        <v>4.8053819999999998</v>
      </c>
      <c r="L43" s="5">
        <v>5.6010000000000001E-3</v>
      </c>
      <c r="M43" s="14"/>
      <c r="N43" s="5"/>
      <c r="O43" s="5">
        <v>6.6796755950833404</v>
      </c>
      <c r="P43" s="5"/>
      <c r="Q43" s="5"/>
      <c r="R43" s="9"/>
      <c r="S43" s="5">
        <v>1</v>
      </c>
      <c r="T43" s="5">
        <v>1.4999999999999999E-2</v>
      </c>
      <c r="U43" s="5">
        <v>8.8008670000000002</v>
      </c>
      <c r="V43" s="5" t="s">
        <v>34</v>
      </c>
      <c r="W43" s="6"/>
      <c r="X43" s="6" t="s">
        <v>172</v>
      </c>
      <c r="Y43" s="6" t="s">
        <v>90</v>
      </c>
      <c r="Z43" s="19" t="s">
        <v>111</v>
      </c>
      <c r="AA43" s="6"/>
      <c r="AB43" s="6"/>
      <c r="AC43" s="6" t="s">
        <v>466</v>
      </c>
      <c r="AD43" s="6" t="s">
        <v>339</v>
      </c>
      <c r="AE43" s="6" t="s">
        <v>542</v>
      </c>
      <c r="AF43" s="6" t="s">
        <v>111</v>
      </c>
      <c r="AG43" s="6" t="s">
        <v>111</v>
      </c>
      <c r="AH43" s="6" t="s">
        <v>111</v>
      </c>
      <c r="AI43" s="6" t="s">
        <v>111</v>
      </c>
      <c r="AJ43" s="6" t="s">
        <v>111</v>
      </c>
      <c r="AK43" s="6" t="s">
        <v>111</v>
      </c>
      <c r="AL43" s="6" t="s">
        <v>111</v>
      </c>
      <c r="AM43" s="48" t="s">
        <v>432</v>
      </c>
      <c r="AN43" s="6"/>
    </row>
    <row r="44" spans="1:40" ht="14.5" customHeight="1">
      <c r="A44" s="24" t="s">
        <v>16</v>
      </c>
      <c r="B44" s="23" t="s">
        <v>358</v>
      </c>
      <c r="C44">
        <f>0.995^0.5</f>
        <v>0.99749686716300012</v>
      </c>
      <c r="D44">
        <f>1.75414^0.5</f>
        <v>1.3244395040922028</v>
      </c>
      <c r="E44">
        <f>1.119928^0.5</f>
        <v>1.0582665070765493</v>
      </c>
      <c r="F44" s="37">
        <v>0.74194119079264453</v>
      </c>
      <c r="G44">
        <f>4.506331^0.5</f>
        <v>2.1228120500882786</v>
      </c>
      <c r="H44">
        <f>0.730054^0.5</f>
        <v>0.85443197505711355</v>
      </c>
      <c r="I44">
        <f>1.164431^0.5</f>
        <v>1.0790880408937911</v>
      </c>
      <c r="J44">
        <f>2.619654^0.5</f>
        <v>1.6185345223380316</v>
      </c>
      <c r="K44">
        <f>2.612836^0.5</f>
        <v>1.6164269238044757</v>
      </c>
      <c r="L44">
        <f>0.603488^0.5</f>
        <v>0.77684490086503111</v>
      </c>
      <c r="M44" s="16"/>
      <c r="O44" s="5">
        <v>1.5063615691591801</v>
      </c>
      <c r="P44" s="5"/>
      <c r="R44" s="8"/>
      <c r="S44">
        <v>0.7</v>
      </c>
      <c r="T44">
        <v>1.25</v>
      </c>
      <c r="U44">
        <f>0.082201^0.5</f>
        <v>0.2867071676815911</v>
      </c>
      <c r="V44" t="s">
        <v>34</v>
      </c>
      <c r="W44" s="7"/>
      <c r="X44" s="7" t="s">
        <v>161</v>
      </c>
      <c r="Y44" s="7" t="s">
        <v>89</v>
      </c>
      <c r="Z44" s="7" t="s">
        <v>111</v>
      </c>
      <c r="AA44" s="7"/>
      <c r="AB44" s="7"/>
      <c r="AC44" s="6" t="s">
        <v>466</v>
      </c>
      <c r="AD44" s="7" t="s">
        <v>335</v>
      </c>
      <c r="AE44" s="7"/>
      <c r="AF44" s="7" t="s">
        <v>111</v>
      </c>
      <c r="AG44" s="7" t="s">
        <v>111</v>
      </c>
      <c r="AH44" s="7" t="s">
        <v>111</v>
      </c>
      <c r="AI44" s="7" t="s">
        <v>111</v>
      </c>
      <c r="AJ44" s="7" t="s">
        <v>111</v>
      </c>
      <c r="AK44" s="7" t="s">
        <v>111</v>
      </c>
      <c r="AL44" s="7" t="s">
        <v>111</v>
      </c>
      <c r="AM44" s="48" t="s">
        <v>433</v>
      </c>
      <c r="AN44" s="7"/>
    </row>
    <row r="45" spans="1:40" ht="14.5" customHeight="1">
      <c r="A45" s="23" t="s">
        <v>35</v>
      </c>
      <c r="B45" s="23" t="s">
        <v>359</v>
      </c>
      <c r="C45" s="5">
        <f>39.886/1.93</f>
        <v>20.666321243523317</v>
      </c>
      <c r="D45" s="5">
        <v>63.37</v>
      </c>
      <c r="E45" s="5">
        <v>2.2100000000000001E-4</v>
      </c>
      <c r="F45" s="38">
        <v>1.0968131213886334</v>
      </c>
      <c r="G45" s="5">
        <v>0.64898900000000004</v>
      </c>
      <c r="H45" s="5">
        <v>1.2763679999999999</v>
      </c>
      <c r="I45" s="5">
        <v>1.6863E-2</v>
      </c>
      <c r="J45" s="5">
        <v>3.8657819999999998</v>
      </c>
      <c r="K45" s="5">
        <v>2.2956560000000001</v>
      </c>
      <c r="L45" s="5">
        <v>1.7799999999999999E-4</v>
      </c>
      <c r="M45" s="14"/>
      <c r="N45" s="5"/>
      <c r="O45" s="5">
        <v>0.98090753516626605</v>
      </c>
      <c r="P45" s="5"/>
      <c r="Q45" s="5"/>
      <c r="S45" s="5">
        <v>0.7</v>
      </c>
      <c r="T45" s="5">
        <v>0.03</v>
      </c>
      <c r="U45" s="5">
        <v>0.19573199999999999</v>
      </c>
      <c r="V45" s="5" t="s">
        <v>34</v>
      </c>
      <c r="W45" s="6"/>
      <c r="X45" s="6" t="s">
        <v>171</v>
      </c>
      <c r="Y45" s="6" t="s">
        <v>89</v>
      </c>
      <c r="Z45" s="6" t="s">
        <v>111</v>
      </c>
      <c r="AA45" s="6"/>
      <c r="AB45" s="6"/>
      <c r="AC45" s="6" t="s">
        <v>465</v>
      </c>
      <c r="AD45" s="6" t="s">
        <v>336</v>
      </c>
      <c r="AE45" s="6" t="s">
        <v>543</v>
      </c>
      <c r="AF45" s="6" t="s">
        <v>111</v>
      </c>
      <c r="AG45" s="6" t="s">
        <v>111</v>
      </c>
      <c r="AH45" s="6" t="s">
        <v>111</v>
      </c>
      <c r="AI45" s="6" t="s">
        <v>111</v>
      </c>
      <c r="AJ45" s="6" t="s">
        <v>111</v>
      </c>
      <c r="AK45" s="6" t="s">
        <v>111</v>
      </c>
      <c r="AL45" s="6" t="s">
        <v>111</v>
      </c>
      <c r="AM45" s="48" t="s">
        <v>433</v>
      </c>
      <c r="AN45" s="6"/>
    </row>
    <row r="46" spans="1:40" ht="14.5" customHeight="1">
      <c r="A46" s="24" t="s">
        <v>36</v>
      </c>
      <c r="B46" s="23" t="s">
        <v>358</v>
      </c>
      <c r="C46">
        <f>0.1332^0.5</f>
        <v>0.3649657518178932</v>
      </c>
      <c r="D46">
        <f>0.0601^0.5</f>
        <v>0.24515301344262524</v>
      </c>
      <c r="E46">
        <v>0.95105399999999995</v>
      </c>
      <c r="F46" s="37">
        <v>0.57791694994750731</v>
      </c>
      <c r="G46">
        <v>0.72167400000000004</v>
      </c>
      <c r="H46">
        <v>0.627772</v>
      </c>
      <c r="I46">
        <f>0.592826^0.5</f>
        <v>0.76995194655251054</v>
      </c>
      <c r="J46">
        <f>0.385681^0.5</f>
        <v>0.62103220528407377</v>
      </c>
      <c r="K46">
        <f>0.551519^0.5</f>
        <v>0.74264325217428584</v>
      </c>
      <c r="L46">
        <f>0.119309^0.5</f>
        <v>0.34541134897394438</v>
      </c>
      <c r="M46" s="16"/>
      <c r="O46" s="5">
        <v>0.34055052130256103</v>
      </c>
      <c r="P46" s="5"/>
      <c r="R46" s="8"/>
      <c r="S46">
        <v>0.35</v>
      </c>
      <c r="T46">
        <v>0.7</v>
      </c>
      <c r="U46">
        <f>0.001142^0.5</f>
        <v>3.3793490497431605E-2</v>
      </c>
      <c r="V46" t="s">
        <v>34</v>
      </c>
      <c r="W46" s="7" t="s">
        <v>294</v>
      </c>
      <c r="X46" s="7" t="s">
        <v>293</v>
      </c>
      <c r="Y46" s="7" t="s">
        <v>89</v>
      </c>
      <c r="Z46" s="7" t="s">
        <v>111</v>
      </c>
      <c r="AA46" s="7"/>
      <c r="AB46" s="7"/>
      <c r="AC46" s="6" t="s">
        <v>465</v>
      </c>
      <c r="AD46" s="6" t="s">
        <v>337</v>
      </c>
      <c r="AE46" s="7"/>
      <c r="AF46" s="7" t="s">
        <v>111</v>
      </c>
      <c r="AG46" s="7" t="s">
        <v>111</v>
      </c>
      <c r="AH46" s="7" t="s">
        <v>111</v>
      </c>
      <c r="AI46" s="7" t="s">
        <v>111</v>
      </c>
      <c r="AJ46" s="7" t="s">
        <v>111</v>
      </c>
      <c r="AK46" s="7" t="s">
        <v>111</v>
      </c>
      <c r="AL46" s="7" t="s">
        <v>111</v>
      </c>
      <c r="AM46" s="48" t="s">
        <v>433</v>
      </c>
      <c r="AN46" s="7"/>
    </row>
    <row r="47" spans="1:40" ht="14.5" customHeight="1">
      <c r="A47" s="5" t="s">
        <v>37</v>
      </c>
      <c r="B47" s="5" t="s">
        <v>361</v>
      </c>
      <c r="C47" s="5">
        <v>1807.7719999999999</v>
      </c>
      <c r="D47" s="5">
        <v>670</v>
      </c>
      <c r="E47" s="11">
        <v>44806598</v>
      </c>
      <c r="F47" s="11">
        <v>19444</v>
      </c>
      <c r="G47" s="5">
        <v>6018.558</v>
      </c>
      <c r="H47" s="5">
        <v>14285.808000000001</v>
      </c>
      <c r="I47" s="9">
        <f>16.22*35274</f>
        <v>572144.27999999991</v>
      </c>
      <c r="J47" s="5">
        <v>2535.29</v>
      </c>
      <c r="K47" s="5">
        <v>2006.1859999999999</v>
      </c>
      <c r="L47" s="11">
        <f>863*35273.96</f>
        <v>30441427.48</v>
      </c>
      <c r="M47" s="14">
        <v>58419.6</v>
      </c>
      <c r="N47" s="25">
        <v>11120.835754394531</v>
      </c>
      <c r="O47" s="11">
        <v>11120</v>
      </c>
      <c r="P47" s="11"/>
      <c r="Q47" s="11">
        <v>35736</v>
      </c>
      <c r="R47" s="9"/>
      <c r="S47" s="5">
        <v>30800</v>
      </c>
      <c r="T47" s="5">
        <v>24489</v>
      </c>
      <c r="U47" s="11">
        <v>24647.428</v>
      </c>
      <c r="V47" s="5" t="s">
        <v>34</v>
      </c>
      <c r="W47" s="6" t="s">
        <v>125</v>
      </c>
      <c r="X47" s="6"/>
      <c r="Y47" s="6"/>
      <c r="Z47" s="6"/>
      <c r="AA47" s="6"/>
      <c r="AB47" s="6"/>
      <c r="AC47" s="19" t="s">
        <v>310</v>
      </c>
      <c r="AD47" s="6"/>
      <c r="AE47" s="19" t="s">
        <v>544</v>
      </c>
      <c r="AF47" s="6" t="s">
        <v>275</v>
      </c>
      <c r="AG47" s="6"/>
      <c r="AH47" s="35" t="s">
        <v>311</v>
      </c>
      <c r="AI47" s="6"/>
      <c r="AJ47" s="19" t="s">
        <v>276</v>
      </c>
      <c r="AK47" s="6"/>
      <c r="AL47" s="1" t="s">
        <v>442</v>
      </c>
      <c r="AM47" s="48" t="s">
        <v>433</v>
      </c>
      <c r="AN47" s="6" t="s">
        <v>277</v>
      </c>
    </row>
    <row r="48" spans="1:40" ht="14.5" customHeight="1">
      <c r="A48" t="s">
        <v>124</v>
      </c>
      <c r="B48" t="s">
        <v>360</v>
      </c>
      <c r="C48">
        <v>706</v>
      </c>
      <c r="D48">
        <v>25</v>
      </c>
      <c r="E48" s="10">
        <f>E47-1000*35274</f>
        <v>9532598</v>
      </c>
      <c r="F48">
        <v>4661</v>
      </c>
      <c r="G48">
        <v>211</v>
      </c>
      <c r="H48">
        <v>1394</v>
      </c>
      <c r="I48" s="10">
        <f>I47-14.86*35274</f>
        <v>47972.639999999956</v>
      </c>
      <c r="J48">
        <f>J47-0.88*2204.6</f>
        <v>595.24199999999996</v>
      </c>
      <c r="K48">
        <f>K47-0.77*2204.6</f>
        <v>308.64400000000001</v>
      </c>
      <c r="L48" s="10">
        <f>L47-696.31*35274</f>
        <v>5879788.5400000028</v>
      </c>
      <c r="M48" s="16"/>
      <c r="O48" s="11">
        <v>200</v>
      </c>
      <c r="P48" s="11"/>
      <c r="R48" s="8"/>
      <c r="S48">
        <v>15.968999999999999</v>
      </c>
      <c r="T48">
        <f>T47*0.05</f>
        <v>1224.45</v>
      </c>
      <c r="U48">
        <v>23820</v>
      </c>
      <c r="X48" t="s">
        <v>164</v>
      </c>
      <c r="Y48" t="s">
        <v>166</v>
      </c>
      <c r="Z48" t="s">
        <v>165</v>
      </c>
      <c r="AA48" t="s">
        <v>126</v>
      </c>
      <c r="AC48" s="1" t="s">
        <v>278</v>
      </c>
      <c r="AD48" t="s">
        <v>279</v>
      </c>
      <c r="AE48" s="1" t="s">
        <v>484</v>
      </c>
      <c r="AF48" t="s">
        <v>280</v>
      </c>
      <c r="AG48" t="s">
        <v>281</v>
      </c>
      <c r="AH48" t="s">
        <v>312</v>
      </c>
      <c r="AI48" t="s">
        <v>169</v>
      </c>
      <c r="AJ48" t="s">
        <v>168</v>
      </c>
      <c r="AK48" t="s">
        <v>126</v>
      </c>
      <c r="AL48" t="s">
        <v>167</v>
      </c>
      <c r="AM48" s="14"/>
      <c r="AN48" s="7"/>
    </row>
    <row r="49" spans="1:40" ht="14.5" customHeight="1">
      <c r="A49" s="23" t="s">
        <v>38</v>
      </c>
      <c r="B49" s="23" t="s">
        <v>364</v>
      </c>
      <c r="C49" s="5">
        <v>0</v>
      </c>
      <c r="D49" s="5">
        <v>3.5595105672969966E-2</v>
      </c>
      <c r="E49" s="5">
        <v>0.41146924083769632</v>
      </c>
      <c r="F49" s="5">
        <v>0.43914889552565523</v>
      </c>
      <c r="G49" s="5">
        <v>0.33660000000000001</v>
      </c>
      <c r="H49" s="5">
        <v>0.29027355623100304</v>
      </c>
      <c r="I49" s="5">
        <v>0.56660119287056465</v>
      </c>
      <c r="J49" s="5">
        <v>0.60416666666666663</v>
      </c>
      <c r="K49" s="5">
        <v>0.68702522029778179</v>
      </c>
      <c r="L49" s="5">
        <v>0.54192825112107623</v>
      </c>
      <c r="M49" s="14"/>
      <c r="N49" s="5">
        <v>0.22445561139028475</v>
      </c>
      <c r="O49" s="45">
        <v>0.22445599999999999</v>
      </c>
      <c r="P49" s="45"/>
      <c r="Q49" s="5">
        <v>0.23853211009174313</v>
      </c>
      <c r="R49" s="9"/>
      <c r="S49" s="5">
        <v>0.95</v>
      </c>
      <c r="T49" s="5">
        <v>0.3</v>
      </c>
      <c r="U49" s="5">
        <v>0.26022304832713755</v>
      </c>
      <c r="V49" s="5" t="s">
        <v>34</v>
      </c>
      <c r="W49" s="5"/>
      <c r="X49" s="5" t="s">
        <v>163</v>
      </c>
      <c r="Y49" s="6" t="s">
        <v>88</v>
      </c>
      <c r="Z49" s="6" t="s">
        <v>88</v>
      </c>
      <c r="AA49" s="6"/>
      <c r="AB49" s="6"/>
      <c r="AC49" s="6" t="s">
        <v>282</v>
      </c>
      <c r="AD49" s="6" t="s">
        <v>338</v>
      </c>
      <c r="AE49" s="6" t="s">
        <v>541</v>
      </c>
      <c r="AF49" s="6" t="s">
        <v>123</v>
      </c>
      <c r="AG49" s="6" t="s">
        <v>123</v>
      </c>
      <c r="AH49" s="6" t="s">
        <v>123</v>
      </c>
      <c r="AI49" s="6" t="s">
        <v>123</v>
      </c>
      <c r="AJ49" s="6" t="s">
        <v>123</v>
      </c>
      <c r="AK49" s="6" t="s">
        <v>123</v>
      </c>
      <c r="AL49" s="6" t="s">
        <v>123</v>
      </c>
      <c r="AM49" s="16" t="s">
        <v>122</v>
      </c>
      <c r="AN49" s="6"/>
    </row>
    <row r="50" spans="1:40" ht="14.5" customHeight="1">
      <c r="A50" s="24" t="s">
        <v>39</v>
      </c>
      <c r="B50" s="23" t="s">
        <v>365</v>
      </c>
      <c r="C50">
        <v>1</v>
      </c>
      <c r="D50">
        <v>0.46329254727474972</v>
      </c>
      <c r="E50">
        <v>0.49825752617801045</v>
      </c>
      <c r="F50">
        <v>0.51673572270432799</v>
      </c>
      <c r="G50">
        <v>0.61550000000000005</v>
      </c>
      <c r="H50">
        <v>0.68844984802431608</v>
      </c>
      <c r="I50">
        <v>0.37476819923156995</v>
      </c>
      <c r="J50">
        <v>0.35165550595238093</v>
      </c>
      <c r="K50">
        <v>0.2707383773928897</v>
      </c>
      <c r="L50">
        <v>0.33004484304932735</v>
      </c>
      <c r="M50" s="21"/>
      <c r="N50">
        <v>0.45561139028475711</v>
      </c>
      <c r="O50" s="45">
        <v>0.45561099999999999</v>
      </c>
      <c r="P50" s="45"/>
      <c r="Q50">
        <v>0.67889908256880738</v>
      </c>
      <c r="R50" s="8"/>
      <c r="S50">
        <v>0.5</v>
      </c>
      <c r="T50">
        <v>0.6</v>
      </c>
      <c r="U50">
        <v>0.64312267657992561</v>
      </c>
      <c r="V50" t="s">
        <v>34</v>
      </c>
      <c r="X50" t="s">
        <v>163</v>
      </c>
      <c r="Y50" s="7" t="s">
        <v>88</v>
      </c>
      <c r="Z50" s="7" t="s">
        <v>88</v>
      </c>
      <c r="AA50" s="7"/>
      <c r="AB50" s="7"/>
      <c r="AC50" s="17" t="s">
        <v>283</v>
      </c>
      <c r="AD50" s="6"/>
      <c r="AE50" s="7"/>
      <c r="AF50" s="7" t="s">
        <v>123</v>
      </c>
      <c r="AG50" s="7" t="s">
        <v>123</v>
      </c>
      <c r="AH50" s="7" t="s">
        <v>123</v>
      </c>
      <c r="AI50" s="7" t="s">
        <v>123</v>
      </c>
      <c r="AJ50" s="7" t="s">
        <v>123</v>
      </c>
      <c r="AK50" s="7" t="s">
        <v>123</v>
      </c>
      <c r="AL50" s="7" t="s">
        <v>123</v>
      </c>
      <c r="AM50" s="14" t="s">
        <v>434</v>
      </c>
      <c r="AN50" s="7"/>
    </row>
    <row r="51" spans="1:40" ht="14.5" customHeight="1">
      <c r="A51" s="23" t="s">
        <v>40</v>
      </c>
      <c r="B51" s="23" t="s">
        <v>366</v>
      </c>
      <c r="C51" s="5">
        <v>0</v>
      </c>
      <c r="D51" s="5">
        <v>1.1123470522803114E-3</v>
      </c>
      <c r="E51" s="5">
        <v>2.6333442408376963E-2</v>
      </c>
      <c r="F51" s="5">
        <v>0</v>
      </c>
      <c r="G51" s="5">
        <v>2.8199999999999999E-2</v>
      </c>
      <c r="H51" s="5">
        <v>2.1276595744680851E-2</v>
      </c>
      <c r="I51" s="5">
        <v>3.2714861804723751E-2</v>
      </c>
      <c r="J51" s="5">
        <v>2.7994791666666668E-2</v>
      </c>
      <c r="K51" s="5">
        <v>2.3701002734731084E-2</v>
      </c>
      <c r="L51" s="5">
        <v>0.12645739910313902</v>
      </c>
      <c r="M51" s="20"/>
      <c r="N51" s="5">
        <v>8.3752093802345051E-3</v>
      </c>
      <c r="O51" s="45">
        <v>8.3750000000000005E-3</v>
      </c>
      <c r="P51" s="45"/>
      <c r="Q51" s="5">
        <v>4.5871559633027525E-2</v>
      </c>
      <c r="R51" s="9"/>
      <c r="S51" s="5">
        <v>0</v>
      </c>
      <c r="T51" s="5">
        <v>0</v>
      </c>
      <c r="U51" s="5">
        <v>9.6654275092936809E-2</v>
      </c>
      <c r="V51" s="5" t="s">
        <v>34</v>
      </c>
      <c r="W51" s="5"/>
      <c r="X51" s="5" t="s">
        <v>163</v>
      </c>
      <c r="Y51" s="6" t="s">
        <v>88</v>
      </c>
      <c r="Z51" s="6" t="s">
        <v>88</v>
      </c>
      <c r="AA51" s="6"/>
      <c r="AB51" s="6"/>
      <c r="AC51" s="1" t="s">
        <v>467</v>
      </c>
      <c r="AD51" s="6"/>
      <c r="AE51" s="6" t="s">
        <v>548</v>
      </c>
      <c r="AF51" s="6" t="s">
        <v>123</v>
      </c>
      <c r="AG51" s="6" t="s">
        <v>123</v>
      </c>
      <c r="AH51" s="6" t="s">
        <v>123</v>
      </c>
      <c r="AI51" s="6" t="s">
        <v>123</v>
      </c>
      <c r="AJ51" s="6" t="s">
        <v>123</v>
      </c>
      <c r="AK51" s="6" t="s">
        <v>123</v>
      </c>
      <c r="AL51" s="6" t="s">
        <v>123</v>
      </c>
      <c r="AM51" s="21" t="s">
        <v>122</v>
      </c>
      <c r="AN51" s="6"/>
    </row>
    <row r="52" spans="1:40" ht="14.5" customHeight="1">
      <c r="A52" s="24" t="s">
        <v>41</v>
      </c>
      <c r="B52" s="23" t="s">
        <v>362</v>
      </c>
      <c r="C52">
        <v>0</v>
      </c>
      <c r="D52">
        <v>0.5</v>
      </c>
      <c r="E52">
        <v>6.1420157068062829E-2</v>
      </c>
      <c r="F52" s="4">
        <v>4.4115380000000003E-2</v>
      </c>
      <c r="G52">
        <v>1.9699999999999999E-2</v>
      </c>
      <c r="H52">
        <v>0</v>
      </c>
      <c r="I52">
        <v>2.5156055840595024E-2</v>
      </c>
      <c r="J52">
        <v>1.6183035714285716E-2</v>
      </c>
      <c r="K52">
        <v>1.8535399574597388E-2</v>
      </c>
      <c r="L52">
        <v>1.569506726457399E-3</v>
      </c>
      <c r="M52" s="21"/>
      <c r="N52">
        <v>3.350083752093802E-2</v>
      </c>
      <c r="O52" s="45">
        <v>3.3501000000000003E-2</v>
      </c>
      <c r="P52" s="45"/>
      <c r="Q52">
        <v>3.669724770642202E-2</v>
      </c>
      <c r="S52">
        <v>0</v>
      </c>
      <c r="T52">
        <v>0</v>
      </c>
      <c r="U52">
        <v>0</v>
      </c>
      <c r="V52" t="s">
        <v>34</v>
      </c>
      <c r="X52" t="s">
        <v>163</v>
      </c>
      <c r="Y52" s="7" t="s">
        <v>88</v>
      </c>
      <c r="Z52" s="7" t="s">
        <v>88</v>
      </c>
      <c r="AA52" s="7"/>
      <c r="AB52" s="7"/>
      <c r="AC52" s="1" t="s">
        <v>467</v>
      </c>
      <c r="AD52" s="6"/>
      <c r="AE52" s="7"/>
      <c r="AF52" s="7" t="s">
        <v>123</v>
      </c>
      <c r="AG52" s="7" t="s">
        <v>123</v>
      </c>
      <c r="AH52" s="7" t="s">
        <v>123</v>
      </c>
      <c r="AI52" s="7" t="s">
        <v>123</v>
      </c>
      <c r="AJ52" s="7" t="s">
        <v>123</v>
      </c>
      <c r="AK52" s="7" t="s">
        <v>123</v>
      </c>
      <c r="AL52" s="7" t="s">
        <v>123</v>
      </c>
      <c r="AM52" s="20" t="s">
        <v>122</v>
      </c>
      <c r="AN52" s="7"/>
    </row>
    <row r="53" spans="1:40" ht="14.5" customHeight="1">
      <c r="A53" s="23" t="s">
        <v>42</v>
      </c>
      <c r="B53" s="23" t="s">
        <v>363</v>
      </c>
      <c r="C53" s="5">
        <v>0</v>
      </c>
      <c r="D53" s="5">
        <v>0</v>
      </c>
      <c r="E53" s="5">
        <v>2.5196335078534033E-3</v>
      </c>
      <c r="F53" s="5">
        <v>0</v>
      </c>
      <c r="G53" s="5">
        <v>0</v>
      </c>
      <c r="H53" s="5">
        <v>0</v>
      </c>
      <c r="I53" s="5">
        <v>7.5969025254658709E-4</v>
      </c>
      <c r="J53" s="5">
        <v>0</v>
      </c>
      <c r="K53" s="5">
        <v>0</v>
      </c>
      <c r="L53" s="5">
        <v>0</v>
      </c>
      <c r="M53" s="20"/>
      <c r="N53" s="5">
        <v>0.27805695142378561</v>
      </c>
      <c r="O53" s="45">
        <v>0.278057</v>
      </c>
      <c r="P53" s="45"/>
      <c r="Q53" s="5">
        <v>0</v>
      </c>
      <c r="R53" s="5"/>
      <c r="S53" s="5">
        <v>0</v>
      </c>
      <c r="T53" s="5">
        <v>0.1</v>
      </c>
      <c r="U53" s="5">
        <v>0</v>
      </c>
      <c r="V53" s="5" t="s">
        <v>34</v>
      </c>
      <c r="W53" s="5"/>
      <c r="X53" s="5" t="s">
        <v>163</v>
      </c>
      <c r="Y53" s="6" t="s">
        <v>88</v>
      </c>
      <c r="Z53" s="6" t="s">
        <v>88</v>
      </c>
      <c r="AA53" s="6"/>
      <c r="AB53" s="6"/>
      <c r="AC53" s="1" t="s">
        <v>467</v>
      </c>
      <c r="AD53" s="6"/>
      <c r="AE53" s="6"/>
      <c r="AF53" s="6" t="s">
        <v>123</v>
      </c>
      <c r="AG53" s="6" t="s">
        <v>123</v>
      </c>
      <c r="AH53" s="6" t="s">
        <v>123</v>
      </c>
      <c r="AI53" s="6" t="s">
        <v>123</v>
      </c>
      <c r="AJ53" s="6" t="s">
        <v>123</v>
      </c>
      <c r="AK53" s="6" t="s">
        <v>123</v>
      </c>
      <c r="AL53" s="6" t="s">
        <v>123</v>
      </c>
      <c r="AM53" s="21" t="s">
        <v>122</v>
      </c>
      <c r="AN53" s="6"/>
    </row>
    <row r="54" spans="1:40" ht="14.5" customHeight="1">
      <c r="A54" s="26" t="s">
        <v>43</v>
      </c>
      <c r="B54" s="26"/>
      <c r="C54" s="12"/>
      <c r="D54" s="12"/>
      <c r="E54" s="12"/>
      <c r="F54" s="12"/>
      <c r="G54" s="12"/>
      <c r="H54" s="12"/>
      <c r="I54" s="12"/>
      <c r="J54" s="12"/>
      <c r="K54" s="12"/>
      <c r="L54" s="12"/>
      <c r="M54" s="27"/>
      <c r="N54" s="12"/>
      <c r="O54" s="12"/>
      <c r="P54" s="12"/>
      <c r="Q54" s="12"/>
      <c r="R54" s="12"/>
      <c r="S54" s="12"/>
      <c r="T54" s="12"/>
      <c r="U54" s="12"/>
      <c r="V54" s="12" t="s">
        <v>34</v>
      </c>
      <c r="W54" s="12"/>
      <c r="X54" s="12"/>
      <c r="Y54" s="13"/>
      <c r="Z54" s="13"/>
      <c r="AA54" s="13"/>
      <c r="AB54" s="13"/>
      <c r="AC54" s="13"/>
      <c r="AD54" s="13"/>
      <c r="AE54" s="13"/>
      <c r="AF54" s="13"/>
      <c r="AG54" s="13"/>
      <c r="AH54" s="13"/>
      <c r="AI54" s="13"/>
      <c r="AJ54" s="13"/>
      <c r="AK54" s="13"/>
      <c r="AL54" s="13"/>
      <c r="AM54" s="13"/>
      <c r="AN54" s="7"/>
    </row>
    <row r="55" spans="1:40" ht="14.5" customHeight="1">
      <c r="A55" s="5" t="s">
        <v>44</v>
      </c>
      <c r="B55" s="5"/>
      <c r="C55" s="5"/>
      <c r="D55" s="5"/>
      <c r="E55" s="5"/>
      <c r="F55" s="5"/>
      <c r="G55" s="5"/>
      <c r="H55" s="5"/>
      <c r="I55" s="5"/>
      <c r="J55" s="5"/>
      <c r="K55" s="5"/>
      <c r="L55" s="5"/>
      <c r="M55" s="20"/>
      <c r="N55" s="5"/>
      <c r="O55" s="5"/>
      <c r="P55" s="5"/>
      <c r="Q55" s="5"/>
      <c r="R55" s="5"/>
      <c r="S55" s="5"/>
      <c r="T55" s="5"/>
      <c r="U55" s="5"/>
      <c r="V55" s="5" t="s">
        <v>34</v>
      </c>
      <c r="W55" s="6"/>
      <c r="X55" s="6"/>
      <c r="Y55" s="6"/>
      <c r="Z55" s="6"/>
      <c r="AA55" s="6"/>
      <c r="AB55" s="6"/>
      <c r="AC55" s="6"/>
      <c r="AD55" s="6"/>
      <c r="AE55" s="6"/>
      <c r="AF55" s="6"/>
      <c r="AG55" s="6"/>
      <c r="AH55" s="6"/>
      <c r="AI55" s="6"/>
      <c r="AJ55" s="6"/>
      <c r="AK55" s="6"/>
      <c r="AL55" s="6"/>
      <c r="AM55" s="6"/>
      <c r="AN55" s="6"/>
    </row>
    <row r="56" spans="1:40" ht="14.5" customHeight="1">
      <c r="A56" t="s">
        <v>45</v>
      </c>
      <c r="M56" s="21"/>
      <c r="V56" t="s">
        <v>34</v>
      </c>
      <c r="W56" s="7"/>
      <c r="X56" s="7"/>
      <c r="Y56" s="7"/>
      <c r="Z56" s="7"/>
      <c r="AA56" s="7"/>
      <c r="AB56" s="7"/>
      <c r="AC56" s="7"/>
      <c r="AD56" s="7"/>
      <c r="AE56" s="7"/>
      <c r="AF56" s="7"/>
      <c r="AG56" s="7"/>
      <c r="AH56" s="7"/>
      <c r="AI56" s="7"/>
      <c r="AJ56" s="7"/>
      <c r="AK56" s="7"/>
      <c r="AL56" s="7"/>
      <c r="AM56" s="7"/>
      <c r="AN56" s="7"/>
    </row>
    <row r="57" spans="1:40" ht="14.5" customHeight="1">
      <c r="A57" s="5" t="s">
        <v>46</v>
      </c>
      <c r="B57" s="5"/>
      <c r="C57" s="5"/>
      <c r="D57" s="5"/>
      <c r="E57" s="5"/>
      <c r="F57" s="5"/>
      <c r="G57" s="5"/>
      <c r="H57" s="5"/>
      <c r="I57" s="5"/>
      <c r="J57" s="5"/>
      <c r="K57" s="5"/>
      <c r="L57" s="5"/>
      <c r="M57" s="20"/>
      <c r="N57" s="5"/>
      <c r="O57" s="5"/>
      <c r="P57" s="5"/>
      <c r="Q57" s="5"/>
      <c r="R57" s="5"/>
      <c r="S57" s="5"/>
      <c r="T57" s="5"/>
      <c r="U57" s="5"/>
      <c r="V57" s="5" t="s">
        <v>34</v>
      </c>
      <c r="W57" s="6"/>
      <c r="X57" s="6"/>
      <c r="Y57" s="6"/>
      <c r="Z57" s="6"/>
      <c r="AA57" s="6"/>
      <c r="AB57" s="6"/>
      <c r="AC57" s="6"/>
      <c r="AD57" s="6"/>
      <c r="AE57" s="6"/>
      <c r="AF57" s="6"/>
      <c r="AG57" s="6"/>
      <c r="AH57" s="6"/>
      <c r="AI57" s="6"/>
      <c r="AJ57" s="6"/>
      <c r="AK57" s="6"/>
      <c r="AL57" s="6"/>
      <c r="AM57" s="6"/>
      <c r="AN57" s="6"/>
    </row>
    <row r="58" spans="1:40" ht="14.5" customHeight="1">
      <c r="A58" t="s">
        <v>47</v>
      </c>
      <c r="M58" s="21"/>
      <c r="V58" t="s">
        <v>34</v>
      </c>
      <c r="W58" s="7"/>
      <c r="X58" s="7"/>
      <c r="Y58" s="7"/>
      <c r="Z58" s="7"/>
      <c r="AA58" s="7"/>
      <c r="AB58" s="7"/>
      <c r="AC58" s="7"/>
      <c r="AD58" s="7"/>
      <c r="AE58" s="7"/>
      <c r="AF58" s="7"/>
      <c r="AG58" s="7"/>
      <c r="AH58" s="7"/>
      <c r="AI58" s="7"/>
      <c r="AJ58" s="7"/>
      <c r="AK58" s="7"/>
      <c r="AL58" s="7"/>
      <c r="AM58" s="7"/>
      <c r="AN58" s="7"/>
    </row>
    <row r="59" spans="1:40" ht="14.5" customHeight="1">
      <c r="A59" s="5" t="s">
        <v>48</v>
      </c>
      <c r="B59" s="5"/>
      <c r="C59" s="5"/>
      <c r="D59" s="5"/>
      <c r="E59" s="5"/>
      <c r="F59" s="5"/>
      <c r="G59" s="5"/>
      <c r="H59" s="5"/>
      <c r="I59" s="5"/>
      <c r="J59" s="5"/>
      <c r="K59" s="5"/>
      <c r="L59" s="5"/>
      <c r="M59" s="20"/>
      <c r="N59" s="5"/>
      <c r="O59" s="5"/>
      <c r="P59" s="5"/>
      <c r="Q59" s="5"/>
      <c r="R59" s="5"/>
      <c r="S59" s="5"/>
      <c r="T59" s="5"/>
      <c r="U59" s="5"/>
      <c r="V59" s="5" t="s">
        <v>34</v>
      </c>
      <c r="W59" s="6"/>
      <c r="X59" s="6"/>
      <c r="Y59" s="6"/>
      <c r="Z59" s="6"/>
      <c r="AA59" s="6"/>
      <c r="AB59" s="6"/>
      <c r="AC59" s="6"/>
      <c r="AD59" s="6"/>
      <c r="AE59" s="6"/>
      <c r="AF59" s="6"/>
      <c r="AG59" s="6"/>
      <c r="AH59" s="6"/>
      <c r="AI59" s="6"/>
      <c r="AJ59" s="6"/>
      <c r="AK59" s="6"/>
      <c r="AL59" s="6"/>
      <c r="AM59" s="6"/>
      <c r="AN59" s="6"/>
    </row>
    <row r="60" spans="1:40" ht="14.5" customHeight="1">
      <c r="A60" t="s">
        <v>49</v>
      </c>
      <c r="M60" s="21"/>
      <c r="V60" t="s">
        <v>34</v>
      </c>
      <c r="W60" s="7"/>
      <c r="X60" s="7"/>
      <c r="Y60" s="7"/>
      <c r="Z60" s="7"/>
      <c r="AA60" s="7"/>
      <c r="AB60" s="7"/>
      <c r="AC60" s="7"/>
      <c r="AD60" s="7"/>
      <c r="AE60" s="7"/>
      <c r="AF60" s="7"/>
      <c r="AG60" s="7"/>
      <c r="AH60" s="7"/>
      <c r="AI60" s="7"/>
      <c r="AJ60" s="7"/>
      <c r="AK60" s="7"/>
      <c r="AL60" s="7"/>
      <c r="AM60" s="7"/>
      <c r="AN60" s="7"/>
    </row>
    <row r="61" spans="1:40" ht="14.5" customHeight="1">
      <c r="A61" s="5" t="s">
        <v>50</v>
      </c>
      <c r="B61" s="5"/>
      <c r="C61" s="5"/>
      <c r="D61" s="5"/>
      <c r="E61" s="5"/>
      <c r="F61" s="5"/>
      <c r="G61" s="5"/>
      <c r="H61" s="5"/>
      <c r="I61" s="5"/>
      <c r="J61" s="5"/>
      <c r="K61" s="5"/>
      <c r="L61" s="5"/>
      <c r="M61" s="20"/>
      <c r="N61" s="5"/>
      <c r="O61" s="5"/>
      <c r="P61" s="5"/>
      <c r="Q61" s="5"/>
      <c r="R61" s="5"/>
      <c r="S61" s="5"/>
      <c r="T61" s="5"/>
      <c r="U61" s="5"/>
      <c r="V61" s="5" t="s">
        <v>34</v>
      </c>
      <c r="W61" s="6"/>
      <c r="X61" s="6"/>
      <c r="Y61" s="6"/>
      <c r="Z61" s="6"/>
      <c r="AA61" s="6"/>
      <c r="AB61" s="6"/>
      <c r="AC61" s="6"/>
      <c r="AD61" s="6"/>
      <c r="AE61" s="6"/>
      <c r="AF61" s="6"/>
      <c r="AG61" s="6"/>
      <c r="AH61" s="6"/>
      <c r="AI61" s="6"/>
      <c r="AJ61" s="6"/>
      <c r="AK61" s="6"/>
      <c r="AL61" s="6"/>
      <c r="AM61" s="6"/>
      <c r="AN61" s="6"/>
    </row>
    <row r="62" spans="1:40" ht="14.5" customHeight="1">
      <c r="A62" t="s">
        <v>51</v>
      </c>
      <c r="M62" s="21"/>
      <c r="V62" t="s">
        <v>34</v>
      </c>
      <c r="W62" s="7"/>
      <c r="X62" s="7"/>
      <c r="Y62" s="7"/>
      <c r="Z62" s="7"/>
      <c r="AA62" s="7"/>
      <c r="AB62" s="7"/>
      <c r="AC62" s="7"/>
      <c r="AD62" s="7"/>
      <c r="AE62" s="7"/>
      <c r="AF62" s="7"/>
      <c r="AG62" s="7"/>
      <c r="AH62" s="7"/>
      <c r="AI62" s="7"/>
      <c r="AJ62" s="7"/>
      <c r="AK62" s="7"/>
      <c r="AL62" s="7"/>
      <c r="AM62" s="7"/>
      <c r="AN62" s="7"/>
    </row>
    <row r="63" spans="1:40" ht="14.5" customHeight="1">
      <c r="A63" s="5" t="s">
        <v>52</v>
      </c>
      <c r="B63" s="5"/>
      <c r="C63" s="5"/>
      <c r="D63" s="5"/>
      <c r="E63" s="5"/>
      <c r="F63" s="5"/>
      <c r="G63" s="5"/>
      <c r="H63" s="5"/>
      <c r="I63" s="5"/>
      <c r="J63" s="5"/>
      <c r="K63" s="5"/>
      <c r="L63" s="5"/>
      <c r="M63" s="20"/>
      <c r="N63" s="5"/>
      <c r="O63" s="5"/>
      <c r="P63" s="5"/>
      <c r="Q63" s="5"/>
      <c r="R63" s="5"/>
      <c r="S63" s="5"/>
      <c r="T63" s="5"/>
      <c r="U63" s="5"/>
      <c r="V63" s="5" t="s">
        <v>34</v>
      </c>
      <c r="W63" s="6"/>
      <c r="X63" s="6"/>
      <c r="Y63" s="6"/>
      <c r="Z63" s="6"/>
      <c r="AA63" s="6"/>
      <c r="AB63" s="6"/>
      <c r="AC63" s="6"/>
      <c r="AD63" s="6"/>
      <c r="AE63" s="6"/>
      <c r="AF63" s="6"/>
      <c r="AG63" s="6"/>
      <c r="AH63" s="6"/>
      <c r="AI63" s="6"/>
      <c r="AJ63" s="6"/>
      <c r="AK63" s="6"/>
      <c r="AL63" s="6"/>
      <c r="AM63" s="6"/>
      <c r="AN63" s="6"/>
    </row>
    <row r="64" spans="1:40" ht="14.5" customHeight="1">
      <c r="A64" t="s">
        <v>53</v>
      </c>
      <c r="M64" s="21"/>
      <c r="V64" t="s">
        <v>34</v>
      </c>
      <c r="W64" s="7"/>
      <c r="X64" s="7"/>
      <c r="Y64" s="7"/>
      <c r="Z64" s="7"/>
      <c r="AA64" s="7"/>
      <c r="AB64" s="7"/>
      <c r="AC64" s="7"/>
      <c r="AD64" s="7"/>
      <c r="AE64" s="7"/>
      <c r="AF64" s="7"/>
      <c r="AG64" s="7"/>
      <c r="AH64" s="7"/>
      <c r="AI64" s="7"/>
      <c r="AJ64" s="7"/>
      <c r="AK64" s="7"/>
      <c r="AL64" s="7"/>
      <c r="AM64" s="7"/>
      <c r="AN64" s="7"/>
    </row>
    <row r="65" spans="1:40" ht="14.5" customHeight="1">
      <c r="A65" s="5" t="s">
        <v>54</v>
      </c>
      <c r="B65" s="5"/>
      <c r="C65" s="5"/>
      <c r="D65" s="5"/>
      <c r="E65" s="5"/>
      <c r="F65" s="5"/>
      <c r="G65" s="5"/>
      <c r="H65" s="5"/>
      <c r="I65" s="5"/>
      <c r="J65" s="5"/>
      <c r="K65" s="5"/>
      <c r="L65" s="5"/>
      <c r="M65" s="20"/>
      <c r="N65" s="5"/>
      <c r="O65" s="5"/>
      <c r="P65" s="5"/>
      <c r="Q65" s="5"/>
      <c r="R65" s="5"/>
      <c r="S65" s="5"/>
      <c r="T65" s="5"/>
      <c r="U65" s="5"/>
      <c r="V65" s="5" t="s">
        <v>34</v>
      </c>
      <c r="W65" s="6"/>
      <c r="X65" s="6"/>
      <c r="Y65" s="6"/>
      <c r="Z65" s="6"/>
      <c r="AA65" s="6"/>
      <c r="AB65" s="6"/>
      <c r="AC65" s="6"/>
      <c r="AD65" s="6"/>
      <c r="AE65" s="6"/>
      <c r="AF65" s="6"/>
      <c r="AG65" s="6"/>
      <c r="AH65" s="6"/>
      <c r="AI65" s="6"/>
      <c r="AJ65" s="6"/>
      <c r="AK65" s="6"/>
      <c r="AL65" s="6"/>
      <c r="AM65" s="6"/>
      <c r="AN65" s="6"/>
    </row>
    <row r="66" spans="1:40" ht="14.5" customHeight="1">
      <c r="A66" t="s">
        <v>55</v>
      </c>
      <c r="M66" s="21"/>
      <c r="V66" t="s">
        <v>34</v>
      </c>
      <c r="W66" s="7"/>
      <c r="X66" s="7"/>
      <c r="Y66" s="7"/>
      <c r="Z66" s="7"/>
      <c r="AA66" s="7"/>
      <c r="AB66" s="7"/>
      <c r="AC66" s="7"/>
      <c r="AD66" s="7"/>
      <c r="AE66" s="7"/>
      <c r="AF66" s="7"/>
      <c r="AG66" s="7"/>
      <c r="AH66" s="7"/>
      <c r="AI66" s="7"/>
      <c r="AJ66" s="7"/>
      <c r="AK66" s="7"/>
      <c r="AL66" s="7"/>
      <c r="AM66" s="7"/>
      <c r="AN66" s="7"/>
    </row>
    <row r="67" spans="1:40" ht="14.5" customHeight="1">
      <c r="A67" s="5" t="s">
        <v>56</v>
      </c>
      <c r="B67" s="5"/>
      <c r="C67" s="5"/>
      <c r="D67" s="5"/>
      <c r="E67" s="5"/>
      <c r="F67" s="5"/>
      <c r="G67" s="5"/>
      <c r="H67" s="5"/>
      <c r="I67" s="5"/>
      <c r="J67" s="5"/>
      <c r="K67" s="5"/>
      <c r="L67" s="5"/>
      <c r="M67" s="20"/>
      <c r="N67" s="5"/>
      <c r="O67" s="5"/>
      <c r="P67" s="5"/>
      <c r="Q67" s="5"/>
      <c r="R67" s="5"/>
      <c r="S67" s="5"/>
      <c r="T67" s="5"/>
      <c r="U67" s="5"/>
      <c r="V67" s="5" t="s">
        <v>34</v>
      </c>
      <c r="W67" s="6"/>
      <c r="X67" s="6"/>
      <c r="Y67" s="6"/>
      <c r="Z67" s="6"/>
      <c r="AA67" s="6"/>
      <c r="AB67" s="6"/>
      <c r="AC67" s="6"/>
      <c r="AD67" s="6"/>
      <c r="AE67" s="6"/>
      <c r="AF67" s="6"/>
      <c r="AG67" s="6"/>
      <c r="AH67" s="6"/>
      <c r="AI67" s="6"/>
      <c r="AJ67" s="6"/>
      <c r="AK67" s="6"/>
      <c r="AL67" s="6"/>
      <c r="AM67" s="6"/>
      <c r="AN67" s="6"/>
    </row>
    <row r="68" spans="1:40" ht="14.5" customHeight="1">
      <c r="A68" t="s">
        <v>57</v>
      </c>
      <c r="M68" s="21"/>
      <c r="V68" t="s">
        <v>34</v>
      </c>
      <c r="W68" s="7"/>
      <c r="X68" s="7"/>
      <c r="Y68" s="7"/>
      <c r="Z68" s="7"/>
      <c r="AA68" s="7"/>
      <c r="AB68" s="7"/>
      <c r="AC68" s="7"/>
      <c r="AD68" s="7"/>
      <c r="AE68" s="7"/>
      <c r="AF68" s="7"/>
      <c r="AG68" s="7"/>
      <c r="AH68" s="7"/>
      <c r="AI68" s="7"/>
      <c r="AJ68" s="7"/>
      <c r="AK68" s="7"/>
      <c r="AL68" s="7"/>
      <c r="AM68" s="7"/>
      <c r="AN68" s="7"/>
    </row>
    <row r="69" spans="1:40">
      <c r="A69" s="5" t="s">
        <v>58</v>
      </c>
      <c r="B69" s="5"/>
      <c r="C69" s="5"/>
      <c r="D69" s="5"/>
      <c r="E69" s="5"/>
      <c r="F69" s="5"/>
      <c r="G69" s="5"/>
      <c r="H69" s="5"/>
      <c r="I69" s="5"/>
      <c r="J69" s="5"/>
      <c r="K69" s="5"/>
      <c r="L69" s="5"/>
      <c r="M69" s="20"/>
      <c r="N69" s="5"/>
      <c r="O69" s="5"/>
      <c r="P69" s="5"/>
      <c r="Q69" s="5"/>
      <c r="R69" s="5"/>
      <c r="S69" s="5"/>
      <c r="T69" s="5"/>
      <c r="U69" s="5"/>
      <c r="V69" s="5" t="s">
        <v>34</v>
      </c>
      <c r="W69" s="6"/>
      <c r="X69" s="6"/>
      <c r="Y69" s="6"/>
      <c r="Z69" s="6"/>
      <c r="AA69" s="6"/>
      <c r="AB69" s="6"/>
      <c r="AC69" s="6"/>
      <c r="AD69" s="6"/>
      <c r="AE69" s="6"/>
      <c r="AF69" s="6"/>
      <c r="AG69" s="6"/>
      <c r="AH69" s="6"/>
      <c r="AI69" s="6"/>
      <c r="AJ69" s="6"/>
      <c r="AK69" s="6"/>
      <c r="AL69" s="6"/>
      <c r="AM69" s="6"/>
      <c r="AN69" s="6"/>
    </row>
    <row r="70" spans="1:40">
      <c r="A70" t="s">
        <v>59</v>
      </c>
      <c r="M70" s="21"/>
      <c r="V70" t="s">
        <v>34</v>
      </c>
      <c r="W70" s="7"/>
      <c r="X70" s="7"/>
      <c r="Y70" s="7"/>
      <c r="Z70" s="7"/>
      <c r="AA70" s="7"/>
      <c r="AB70" s="7"/>
      <c r="AC70" s="7"/>
      <c r="AD70" s="7"/>
      <c r="AE70" s="7"/>
      <c r="AF70" s="7"/>
      <c r="AG70" s="7"/>
      <c r="AH70" s="7"/>
      <c r="AI70" s="7"/>
      <c r="AJ70" s="7"/>
      <c r="AK70" s="7"/>
      <c r="AL70" s="7"/>
      <c r="AM70" s="7"/>
      <c r="AN70" s="7"/>
    </row>
    <row r="71" spans="1:40">
      <c r="A71" s="5" t="s">
        <v>60</v>
      </c>
      <c r="B71" s="5"/>
      <c r="C71" s="5"/>
      <c r="D71" s="5"/>
      <c r="E71" s="5"/>
      <c r="F71" s="5"/>
      <c r="G71" s="5"/>
      <c r="H71" s="5"/>
      <c r="I71" s="5"/>
      <c r="J71" s="5"/>
      <c r="K71" s="5"/>
      <c r="L71" s="5"/>
      <c r="M71" s="20"/>
      <c r="N71" s="5"/>
      <c r="O71" s="5"/>
      <c r="P71" s="5"/>
      <c r="Q71" s="5"/>
      <c r="R71" s="5"/>
      <c r="S71" s="5"/>
      <c r="T71" s="5"/>
      <c r="U71" s="5"/>
      <c r="V71" s="5" t="s">
        <v>34</v>
      </c>
      <c r="W71" s="6"/>
      <c r="X71" s="6"/>
      <c r="Y71" s="6"/>
      <c r="Z71" s="6"/>
      <c r="AA71" s="6"/>
      <c r="AB71" s="6"/>
      <c r="AC71" s="6"/>
      <c r="AD71" s="6"/>
      <c r="AE71" s="6"/>
      <c r="AF71" s="6"/>
      <c r="AG71" s="6"/>
      <c r="AH71" s="6"/>
      <c r="AI71" s="6"/>
      <c r="AJ71" s="6"/>
      <c r="AK71" s="6"/>
      <c r="AL71" s="6"/>
      <c r="AM71" s="6"/>
      <c r="AN71" s="6"/>
    </row>
    <row r="72" spans="1:40">
      <c r="A72" t="s">
        <v>61</v>
      </c>
      <c r="M72" s="21"/>
      <c r="V72" t="s">
        <v>34</v>
      </c>
      <c r="W72" s="7"/>
      <c r="X72" s="7"/>
      <c r="Y72" s="7"/>
      <c r="Z72" s="7"/>
      <c r="AA72" s="7"/>
      <c r="AB72" s="7"/>
      <c r="AC72" s="7"/>
      <c r="AD72" s="7"/>
      <c r="AE72" s="7"/>
      <c r="AF72" s="7"/>
      <c r="AG72" s="7"/>
      <c r="AH72" s="7"/>
      <c r="AI72" s="7"/>
      <c r="AJ72" s="7"/>
      <c r="AK72" s="7"/>
      <c r="AL72" s="7"/>
      <c r="AM72" s="7"/>
      <c r="AN72" s="7"/>
    </row>
    <row r="73" spans="1:40">
      <c r="A73" s="5" t="s">
        <v>62</v>
      </c>
      <c r="B73" s="5"/>
      <c r="C73" s="5"/>
      <c r="D73" s="5"/>
      <c r="E73" s="5"/>
      <c r="F73" s="5"/>
      <c r="G73" s="5"/>
      <c r="H73" s="5"/>
      <c r="I73" s="5"/>
      <c r="J73" s="5"/>
      <c r="K73" s="5"/>
      <c r="L73" s="5"/>
      <c r="M73" s="20"/>
      <c r="N73" s="5"/>
      <c r="O73" s="5"/>
      <c r="P73" s="5"/>
      <c r="Q73" s="5"/>
      <c r="R73" s="5"/>
      <c r="S73" s="5"/>
      <c r="T73" s="5"/>
      <c r="U73" s="5"/>
      <c r="V73" s="5" t="s">
        <v>34</v>
      </c>
      <c r="W73" s="6"/>
      <c r="X73" s="6"/>
      <c r="Y73" s="6"/>
      <c r="Z73" s="6"/>
      <c r="AA73" s="6"/>
      <c r="AB73" s="6"/>
      <c r="AC73" s="6"/>
      <c r="AD73" s="6"/>
      <c r="AE73" s="6"/>
      <c r="AF73" s="6"/>
      <c r="AG73" s="6"/>
      <c r="AH73" s="6"/>
      <c r="AI73" s="6"/>
      <c r="AJ73" s="6"/>
      <c r="AK73" s="6"/>
      <c r="AL73" s="6"/>
      <c r="AM73" s="6"/>
      <c r="AN73" s="6"/>
    </row>
    <row r="74" spans="1:40">
      <c r="A74" t="s">
        <v>63</v>
      </c>
      <c r="M74" s="21"/>
      <c r="V74" t="s">
        <v>34</v>
      </c>
      <c r="W74" s="7"/>
      <c r="X74" s="7"/>
      <c r="Y74" s="7"/>
      <c r="Z74" s="7"/>
      <c r="AA74" s="7"/>
      <c r="AB74" s="7"/>
      <c r="AC74" s="7"/>
      <c r="AD74" s="7"/>
      <c r="AE74" s="7"/>
      <c r="AF74" s="7"/>
      <c r="AG74" s="7"/>
      <c r="AH74" s="7"/>
      <c r="AI74" s="7"/>
      <c r="AJ74" s="7"/>
      <c r="AK74" s="7"/>
      <c r="AL74" s="7"/>
      <c r="AM74" s="7"/>
      <c r="AN74" s="7"/>
    </row>
    <row r="75" spans="1:40">
      <c r="A75" s="5" t="s">
        <v>64</v>
      </c>
      <c r="B75" s="5"/>
      <c r="C75" s="5"/>
      <c r="D75" s="5"/>
      <c r="E75" s="5"/>
      <c r="F75" s="5"/>
      <c r="G75" s="5"/>
      <c r="H75" s="5"/>
      <c r="I75" s="5"/>
      <c r="J75" s="5"/>
      <c r="K75" s="5"/>
      <c r="L75" s="5"/>
      <c r="M75" s="20"/>
      <c r="N75" s="5"/>
      <c r="O75" s="5"/>
      <c r="P75" s="5"/>
      <c r="Q75" s="5"/>
      <c r="R75" s="5"/>
      <c r="S75" s="5"/>
      <c r="T75" s="5"/>
      <c r="U75" s="5"/>
      <c r="V75" s="5" t="s">
        <v>34</v>
      </c>
      <c r="W75" s="6"/>
      <c r="X75" s="6"/>
      <c r="Y75" s="6"/>
      <c r="Z75" s="6"/>
      <c r="AA75" s="6"/>
      <c r="AB75" s="6"/>
      <c r="AC75" s="6"/>
      <c r="AD75" s="6"/>
      <c r="AE75" s="6"/>
      <c r="AF75" s="6"/>
      <c r="AG75" s="6"/>
      <c r="AH75" s="6"/>
      <c r="AI75" s="6"/>
      <c r="AJ75" s="6"/>
      <c r="AK75" s="6"/>
      <c r="AL75" s="6"/>
      <c r="AM75" s="6"/>
      <c r="AN75" s="6"/>
    </row>
    <row r="76" spans="1:40">
      <c r="A76" t="s">
        <v>65</v>
      </c>
      <c r="M76" s="21"/>
      <c r="V76" t="s">
        <v>34</v>
      </c>
      <c r="W76" s="7"/>
      <c r="X76" s="7"/>
      <c r="Y76" s="7"/>
      <c r="Z76" s="7"/>
      <c r="AA76" s="7"/>
      <c r="AB76" s="7"/>
      <c r="AC76" s="7"/>
      <c r="AD76" s="7"/>
      <c r="AE76" s="7"/>
      <c r="AF76" s="7"/>
      <c r="AG76" s="7"/>
      <c r="AH76" s="7"/>
      <c r="AI76" s="7"/>
      <c r="AJ76" s="7"/>
      <c r="AK76" s="7"/>
      <c r="AL76" s="7"/>
      <c r="AM76" s="7"/>
      <c r="AN76" s="7"/>
    </row>
    <row r="77" spans="1:40">
      <c r="A77" s="5" t="s">
        <v>66</v>
      </c>
      <c r="B77" s="5"/>
      <c r="C77" s="5"/>
      <c r="D77" s="5"/>
      <c r="E77" s="5"/>
      <c r="F77" s="5"/>
      <c r="G77" s="5"/>
      <c r="H77" s="5"/>
      <c r="I77" s="5"/>
      <c r="J77" s="5"/>
      <c r="K77" s="5"/>
      <c r="L77" s="5"/>
      <c r="M77" s="20"/>
      <c r="N77" s="5"/>
      <c r="O77" s="5"/>
      <c r="P77" s="5"/>
      <c r="Q77" s="5"/>
      <c r="R77" s="5"/>
      <c r="S77" s="5"/>
      <c r="T77" s="5"/>
      <c r="U77" s="5"/>
      <c r="V77" s="5" t="s">
        <v>34</v>
      </c>
      <c r="W77" s="6"/>
      <c r="X77" s="6"/>
      <c r="Y77" s="6"/>
      <c r="Z77" s="6"/>
      <c r="AA77" s="6"/>
      <c r="AB77" s="6"/>
      <c r="AC77" s="6"/>
      <c r="AD77" s="6"/>
      <c r="AE77" s="6"/>
      <c r="AF77" s="6"/>
      <c r="AG77" s="6"/>
      <c r="AH77" s="6"/>
      <c r="AI77" s="6"/>
      <c r="AJ77" s="6"/>
      <c r="AK77" s="6"/>
      <c r="AL77" s="6"/>
      <c r="AM77" s="6"/>
      <c r="AN77" s="6"/>
    </row>
    <row r="78" spans="1:40">
      <c r="A78" t="s">
        <v>67</v>
      </c>
      <c r="M78" s="21"/>
      <c r="V78" t="s">
        <v>34</v>
      </c>
      <c r="W78" s="7"/>
      <c r="X78" s="7"/>
      <c r="Y78" s="7"/>
      <c r="Z78" s="7"/>
      <c r="AA78" s="7"/>
      <c r="AB78" s="7"/>
      <c r="AC78" s="7"/>
      <c r="AD78" s="7"/>
      <c r="AE78" s="7"/>
      <c r="AF78" s="7"/>
      <c r="AG78" s="7"/>
      <c r="AH78" s="7"/>
      <c r="AI78" s="7"/>
      <c r="AJ78" s="7"/>
      <c r="AK78" s="7"/>
      <c r="AL78" s="7"/>
      <c r="AM78" s="7"/>
      <c r="AN78" s="7"/>
    </row>
    <row r="79" spans="1:40">
      <c r="A79" s="5" t="s">
        <v>68</v>
      </c>
      <c r="B79" s="5"/>
      <c r="C79" s="5"/>
      <c r="D79" s="5"/>
      <c r="E79" s="5"/>
      <c r="F79" s="5"/>
      <c r="G79" s="5"/>
      <c r="H79" s="5"/>
      <c r="I79" s="5"/>
      <c r="J79" s="5"/>
      <c r="K79" s="5"/>
      <c r="L79" s="5"/>
      <c r="M79" s="20"/>
      <c r="N79" s="5"/>
      <c r="O79" s="5"/>
      <c r="P79" s="5"/>
      <c r="Q79" s="5"/>
      <c r="R79" s="5"/>
      <c r="S79" s="5"/>
      <c r="T79" s="5"/>
      <c r="U79" s="5"/>
      <c r="V79" s="5" t="s">
        <v>34</v>
      </c>
      <c r="W79" s="6"/>
      <c r="X79" s="6"/>
      <c r="Y79" s="6"/>
      <c r="Z79" s="6"/>
      <c r="AA79" s="6"/>
      <c r="AB79" s="6"/>
      <c r="AC79" s="6"/>
      <c r="AD79" s="6"/>
      <c r="AE79" s="6"/>
      <c r="AF79" s="6"/>
      <c r="AG79" s="6"/>
      <c r="AH79" s="6"/>
      <c r="AI79" s="6"/>
      <c r="AJ79" s="6"/>
      <c r="AK79" s="6"/>
      <c r="AL79" s="6"/>
      <c r="AM79" s="6"/>
      <c r="AN79" s="6"/>
    </row>
  </sheetData>
  <mergeCells count="1">
    <mergeCell ref="AT19:BD25"/>
  </mergeCells>
  <phoneticPr fontId="12" type="noConversion"/>
  <hyperlinks>
    <hyperlink ref="AD42" r:id="rId1" xr:uid="{6C67CDAA-2665-4775-9282-51BF337D6400}"/>
    <hyperlink ref="AC18" r:id="rId2" xr:uid="{DA6EF610-1C91-4FFC-B33E-FCB1533D420F}"/>
    <hyperlink ref="AC3" r:id="rId3" xr:uid="{058CD847-D57F-4B41-8903-40B77D35105D}"/>
    <hyperlink ref="AC32" r:id="rId4" display="https://www.sciencedirect.com/science/article/pii/S0263436821000780" xr:uid="{895943B2-F3C7-4D0B-B90F-3A30C24BE91A}"/>
    <hyperlink ref="AC35" r:id="rId5" xr:uid="{FFFDAB7D-1256-45F7-AFB1-D22344886650}"/>
    <hyperlink ref="AC47" r:id="rId6" display="https://www.statista.com/statistics/1009446/tungsten-price/" xr:uid="{97F82DFC-6810-4593-8955-863ACBB3DF37}"/>
    <hyperlink ref="AD5" r:id="rId7" display="https://pubs.usgs.gov/periodicals/mcs2020/mcs2020-tin.pdf" xr:uid="{A3F1EB02-E5A1-49A7-8496-FD8516064D80}"/>
    <hyperlink ref="AE47" r:id="rId8" display="https://www.argusmedia.com/en/news/2222244-eu-tantalum-prices-rebound-on-higher-input-costs" xr:uid="{B03EDC8A-A85B-4AE1-81A1-8460229585D4}"/>
    <hyperlink ref="AE32" r:id="rId9" xr:uid="{F9134EB4-AF7C-4CC4-BB1D-F4A8A307BE54}"/>
    <hyperlink ref="AE33" r:id="rId10" xr:uid="{E0E0ACF1-2E42-4611-9CCF-374D8A3492D0}"/>
    <hyperlink ref="AC48" r:id="rId11" xr:uid="{9E254A45-F310-4AC5-BD1A-6656B4CE3760}"/>
    <hyperlink ref="AJ47" r:id="rId12" xr:uid="{6B03944F-71E5-41D8-B06A-84DE89DA203B}"/>
    <hyperlink ref="AK38" r:id="rId13" xr:uid="{908B8CEB-0A15-4A26-8D30-F41FB42DECF8}"/>
    <hyperlink ref="AL19" r:id="rId14" display="https://www.mdpi.com/2079-9276/10/9/93/pdf" xr:uid="{6918E342-8074-47B2-B087-613D5AC7C8D0}"/>
    <hyperlink ref="AG39" r:id="rId15" display="https://www.copper.org/publications/newsletters/innovations/2001/08/hydrometallurgy.html" xr:uid="{BF4C9410-63BA-47BC-A63D-15337BE7BC5D}"/>
    <hyperlink ref="AH3" r:id="rId16"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17" xr:uid="{0F67CDD1-7035-DC44-9CA6-CA547F4A120E}"/>
    <hyperlink ref="AD7" r:id="rId18" display="https://www.sciencedirect.com/science/article/pii/S0048969718312373" xr:uid="{2FC36872-A372-8149-979C-5C1EB12DAB3C}"/>
    <hyperlink ref="AD8" r:id="rId19" display="https://www.sciencedirect.com/science/article/pii/S0048969718312373" xr:uid="{6485F26B-C8ED-7D47-AA92-D1F7CF8E46F1}"/>
    <hyperlink ref="AD9" r:id="rId20" display="https://www.sciencedirect.com/science/article/pii/S0048969718312373" xr:uid="{D2CF26CA-B025-4C41-899C-2215D4981909}"/>
    <hyperlink ref="AD10" r:id="rId21" display="https://www.sciencedirect.com/science/article/pii/S0048969718312373" xr:uid="{1F472A81-9D59-9340-B578-AD40B57FC5DB}"/>
    <hyperlink ref="AD11" r:id="rId22" display="https://www.sciencedirect.com/science/article/pii/S0048969718312373" xr:uid="{6A858768-DF1D-7A42-9B84-D34C269B492D}"/>
    <hyperlink ref="AJ31" r:id="rId23" display="https://www.recyclingtoday.com/article/battery-council-international-lead-battery-recycling/" xr:uid="{EEE1D733-973D-194D-89E1-ED66138A0CA6}"/>
    <hyperlink ref="AI27" r:id="rId24" xr:uid="{1EBCFBC8-5E0B-3343-B5E4-413BE8F9F076}"/>
    <hyperlink ref="AG17" r:id="rId25" xr:uid="{5BF8B3C9-6734-4540-AB66-56985B2BD4D4}"/>
    <hyperlink ref="AG18" r:id="rId26" xr:uid="{3F6D9065-8733-8048-969F-D3F9B2D846FF}"/>
    <hyperlink ref="AG19" r:id="rId27" xr:uid="{DDC6013A-65C0-C747-8B90-58FABD091EA8}"/>
    <hyperlink ref="AG20" r:id="rId28" xr:uid="{34C61E79-65B5-784B-91E7-D6EFA72E1C16}"/>
    <hyperlink ref="AG21" r:id="rId29" xr:uid="{28856D38-242E-DF4D-A9C7-34619BAC263B}"/>
    <hyperlink ref="AG27" r:id="rId30" xr:uid="{DD334BF5-7CCC-854C-87DB-FD9A495C64E3}"/>
    <hyperlink ref="AG28" r:id="rId31" xr:uid="{960BA8A2-4FFC-D049-A2D2-78ED92322EB5}"/>
    <hyperlink ref="AG29" r:id="rId32" xr:uid="{9776F84E-607F-4340-99D2-0CF5831412A8}"/>
    <hyperlink ref="AG30" r:id="rId33" xr:uid="{E9CAE11E-46BE-D941-AC51-89FBCFAD8F10}"/>
    <hyperlink ref="AG31" r:id="rId34" xr:uid="{08C1E42C-92E1-A54A-9894-BB1716DCEAAE}"/>
    <hyperlink ref="AD27" r:id="rId35" xr:uid="{AB2B8C02-763D-B846-8D3A-C52B9C52ECE4}"/>
    <hyperlink ref="AD28" r:id="rId36" xr:uid="{D83C3CF7-5DCF-3B40-A3CE-426314CA2F28}"/>
    <hyperlink ref="AD29" r:id="rId37" xr:uid="{3658CDFA-B475-A248-8C69-D9B9ABC6614B}"/>
    <hyperlink ref="AD30" r:id="rId38" xr:uid="{8080BCC5-66E2-2349-97CE-9A809D50840E}"/>
    <hyperlink ref="AD31" r:id="rId39" xr:uid="{BBF2DF10-2671-734D-88B6-394D9C60D4A5}"/>
    <hyperlink ref="AI31" r:id="rId40" xr:uid="{F7723C52-BBC3-F24E-AAE4-A9B42CB8045B}"/>
    <hyperlink ref="Z43" r:id="rId41" xr:uid="{324D83B3-AFAE-2543-8E69-C10D887EE7AB}"/>
    <hyperlink ref="AI28" r:id="rId42" xr:uid="{DEC718A9-543E-DA46-97C4-748B0830EED9}"/>
    <hyperlink ref="AI29" r:id="rId43" xr:uid="{841D0090-CE2C-6B4D-8911-C602FC5CA170}"/>
    <hyperlink ref="AI30" r:id="rId44" xr:uid="{EF554BD6-D3AF-2A4B-AB8C-E9433478750A}"/>
    <hyperlink ref="AC23" r:id="rId45" xr:uid="{1F1F9692-265E-EB4A-B340-ADBAE27BB8BE}"/>
    <hyperlink ref="AL24" r:id="rId46" display="https://www.mdpi.com/2079-9276/10/9/93/pdf" xr:uid="{DE88708D-DBD3-F64C-8229-C156C477DEB1}"/>
    <hyperlink ref="AG22" r:id="rId47" xr:uid="{7E80EC07-8259-D146-8140-8E3DD3B9F6EF}"/>
    <hyperlink ref="AG23" r:id="rId48" xr:uid="{64C4618D-3ED1-094B-B542-0F6DE53871E6}"/>
    <hyperlink ref="AG24" r:id="rId49" xr:uid="{F14A5AEF-9B21-A349-BE04-71F2A55E8274}"/>
    <hyperlink ref="AG25" r:id="rId50" xr:uid="{3D01083B-008E-784D-A8F6-F38011D21DA1}"/>
    <hyperlink ref="AG26" r:id="rId51" xr:uid="{A3B1D1D1-23AC-C74C-B4EC-56A9A594783F}"/>
    <hyperlink ref="AG32" r:id="rId52" display="https://insg.org/wp-content/uploads/2022/02/publist_The-World-Nickel-Factbook-2021.pdf" xr:uid="{7CA7D73C-4B66-8A4E-B88E-797839CD039A}"/>
    <hyperlink ref="AG33" r:id="rId53" display="https://insg.org/wp-content/uploads/2022/02/publist_The-World-Nickel-Factbook-2021.pdf" xr:uid="{8F7902EA-8E88-214B-9383-15F7FF36E6D3}"/>
    <hyperlink ref="AL3" r:id="rId54" xr:uid="{A9F76A16-9DB7-C94A-AAE7-15EC57776DC7}"/>
    <hyperlink ref="AL47" r:id="rId55" display="https://ar2019.nornickel.com/pdf/ar/en/commodity-market-overview_platinum.pdf" xr:uid="{7D7A3D60-65BD-444B-9115-C440E32F388F}"/>
    <hyperlink ref="AL32" r:id="rId56" display="https://ar2019.nornickel.com/pdf/ar/en/commodity-market-overview_platinum.pdf" xr:uid="{8C924774-6FC1-E54B-B4C2-A2310983AD39}"/>
    <hyperlink ref="AL33" r:id="rId57" display="https://ar2019.nornickel.com/pdf/ar/en/commodity-market-overview_platinum.pdf" xr:uid="{16889A4C-9FB0-A04C-AAE4-0DE219C6309F}"/>
    <hyperlink ref="AL6" r:id="rId58" location=":~:text=China%20is%20the%20second%20largest,per%20cent%20of%20global%20demand" xr:uid="{4AFFD3CC-8143-A946-B2CA-F37FE48027FD}"/>
    <hyperlink ref="AL35" r:id="rId59" display="https://platinuminvestment.com/supply-and-demand/historic-data" xr:uid="{E7CA6D90-4A04-2948-B955-421E080B4C64}"/>
    <hyperlink ref="AC50" r:id="rId60" xr:uid="{833DFBC1-E810-0144-8A7F-1200B1489F00}"/>
    <hyperlink ref="AC51" r:id="rId61" display="https://www.itia.info/mining-beneficiation.html" xr:uid="{9CAEE563-54C7-1E4E-9D28-6DFBC86E1536}"/>
    <hyperlink ref="AC52" r:id="rId62" display="https://www.itia.info/mining-beneficiation.html" xr:uid="{EFDE92EC-62AB-0746-87F9-CFA338B93062}"/>
    <hyperlink ref="AC53" r:id="rId63" display="https://www.itia.info/mining-beneficiation.html" xr:uid="{29CD38F3-3F1B-834D-B26D-298C893A2065}"/>
    <hyperlink ref="AE6" r:id="rId64" xr:uid="{3EE3CEF0-E67E-4E42-8F32-B5EE163778AB}"/>
    <hyperlink ref="AL7" r:id="rId65" xr:uid="{14C6FE71-7E5F-1E4A-A8DC-860088D35D41}"/>
    <hyperlink ref="AJ7" r:id="rId66" xr:uid="{BDB1FBCE-8E5B-E446-9521-78DC3859DF64}"/>
    <hyperlink ref="AG7" r:id="rId67" display="https://www.sciencedirect.com/science/article/pii/S0921344917301817" xr:uid="{00987C5A-86EF-7449-830B-14136FA25644}"/>
    <hyperlink ref="AI7" r:id="rId68" xr:uid="{0E247788-8755-934D-922D-DF24A7747C35}"/>
    <hyperlink ref="AH7" r:id="rId69" xr:uid="{798E403D-86FA-8F4E-A18B-F39FDE87D1E1}"/>
    <hyperlink ref="AE35" r:id="rId70" xr:uid="{B98BD6DD-6593-AE4D-B8EA-3A126C918DEF}"/>
    <hyperlink ref="AE48" r:id="rId71" display="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 xr:uid="{846992AD-3ACB-4557-A7FA-7B00720CF198}"/>
  </hyperlinks>
  <pageMargins left="0.7" right="0.7" top="0.75" bottom="0.75" header="0.3" footer="0.3"/>
  <pageSetup orientation="portrait" r:id="rId72"/>
  <tableParts count="1">
    <tablePart r:id="rId7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F2" sqref="F2"/>
    </sheetView>
  </sheetViews>
  <sheetFormatPr baseColWidth="10" defaultColWidth="8.83203125" defaultRowHeight="15"/>
  <cols>
    <col min="3" max="3" width="10.1640625" bestFit="1" customWidth="1"/>
    <col min="4" max="4" width="10.5" customWidth="1"/>
    <col min="26" max="26" width="9.1640625" bestFit="1" customWidth="1"/>
  </cols>
  <sheetData>
    <row r="1" spans="1:6">
      <c r="B1" t="s">
        <v>176</v>
      </c>
      <c r="C1" t="s">
        <v>180</v>
      </c>
      <c r="D1" t="s">
        <v>181</v>
      </c>
      <c r="E1" t="s">
        <v>187</v>
      </c>
      <c r="F1" t="s">
        <v>412</v>
      </c>
    </row>
    <row r="2" spans="1:6">
      <c r="A2" t="s">
        <v>173</v>
      </c>
      <c r="B2" t="s">
        <v>300</v>
      </c>
      <c r="D2" t="s">
        <v>413</v>
      </c>
      <c r="E2" t="s">
        <v>301</v>
      </c>
      <c r="F2" s="1" t="s">
        <v>333</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D2" sqref="D2"/>
    </sheetView>
  </sheetViews>
  <sheetFormatPr baseColWidth="10" defaultColWidth="8.83203125" defaultRowHeight="15"/>
  <sheetData>
    <row r="1" spans="1:9">
      <c r="B1" t="s">
        <v>176</v>
      </c>
      <c r="C1" t="s">
        <v>180</v>
      </c>
      <c r="D1" t="s">
        <v>181</v>
      </c>
      <c r="E1" t="s">
        <v>187</v>
      </c>
      <c r="F1" t="s">
        <v>176</v>
      </c>
      <c r="G1" t="s">
        <v>405</v>
      </c>
      <c r="H1" t="s">
        <v>404</v>
      </c>
      <c r="I1" t="s">
        <v>406</v>
      </c>
    </row>
    <row r="2" spans="1:9">
      <c r="A2" t="s">
        <v>173</v>
      </c>
      <c r="B2" t="s">
        <v>302</v>
      </c>
      <c r="D2" t="s">
        <v>407</v>
      </c>
      <c r="E2" t="s">
        <v>408</v>
      </c>
      <c r="F2" t="s">
        <v>409</v>
      </c>
      <c r="G2" t="s">
        <v>408</v>
      </c>
      <c r="H2" t="s">
        <v>408</v>
      </c>
      <c r="I2" t="s">
        <v>408</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C4" sqref="C4:C34"/>
    </sheetView>
  </sheetViews>
  <sheetFormatPr baseColWidth="10" defaultColWidth="8.83203125" defaultRowHeight="15"/>
  <cols>
    <col min="2" max="2" width="10.6640625" bestFit="1" customWidth="1"/>
  </cols>
  <sheetData>
    <row r="1" spans="1:10">
      <c r="B1" t="s">
        <v>176</v>
      </c>
      <c r="C1" t="s">
        <v>180</v>
      </c>
      <c r="D1" t="s">
        <v>181</v>
      </c>
      <c r="E1" t="s">
        <v>187</v>
      </c>
    </row>
    <row r="2" spans="1:10">
      <c r="A2" t="s">
        <v>173</v>
      </c>
      <c r="B2" t="s">
        <v>303</v>
      </c>
      <c r="D2" s="1" t="s">
        <v>333</v>
      </c>
      <c r="E2" t="s">
        <v>306</v>
      </c>
      <c r="H2" t="s">
        <v>305</v>
      </c>
      <c r="I2" t="s">
        <v>182</v>
      </c>
      <c r="J2" t="s">
        <v>304</v>
      </c>
    </row>
    <row r="3" spans="1:10">
      <c r="A3">
        <v>1990</v>
      </c>
      <c r="B3">
        <v>5403</v>
      </c>
      <c r="E3" s="34">
        <v>2290</v>
      </c>
    </row>
    <row r="4" spans="1:10">
      <c r="A4">
        <v>1991</v>
      </c>
      <c r="B4">
        <v>5255</v>
      </c>
      <c r="C4">
        <f>B4/B3</f>
        <v>0.97260781047566169</v>
      </c>
      <c r="E4" s="34">
        <v>2276</v>
      </c>
    </row>
    <row r="5" spans="1:10">
      <c r="A5">
        <v>1992</v>
      </c>
      <c r="B5">
        <v>5279</v>
      </c>
      <c r="C5">
        <f t="shared" ref="C5:C34" si="0">B5/B4</f>
        <v>1.0045670789724073</v>
      </c>
      <c r="E5" s="34">
        <v>2468</v>
      </c>
    </row>
    <row r="6" spans="1:10">
      <c r="A6">
        <v>1993</v>
      </c>
      <c r="B6">
        <v>5224</v>
      </c>
      <c r="C6">
        <f t="shared" si="0"/>
        <v>0.98958136010608067</v>
      </c>
      <c r="E6" s="34">
        <v>2811</v>
      </c>
    </row>
    <row r="7" spans="1:10">
      <c r="A7">
        <v>1994</v>
      </c>
      <c r="B7">
        <v>5486</v>
      </c>
      <c r="C7">
        <f t="shared" si="0"/>
        <v>1.0501531393568146</v>
      </c>
      <c r="E7" s="34">
        <v>2773</v>
      </c>
    </row>
    <row r="8" spans="1:10">
      <c r="A8">
        <v>1995</v>
      </c>
      <c r="B8">
        <v>5870</v>
      </c>
      <c r="C8">
        <f t="shared" si="0"/>
        <v>1.0699963543565438</v>
      </c>
      <c r="E8" s="34">
        <v>3022</v>
      </c>
    </row>
    <row r="9" spans="1:10">
      <c r="A9">
        <v>1996</v>
      </c>
      <c r="B9">
        <v>5975</v>
      </c>
      <c r="C9">
        <f t="shared" si="0"/>
        <v>1.0178875638841567</v>
      </c>
      <c r="E9" s="34">
        <v>2841</v>
      </c>
    </row>
    <row r="10" spans="1:10">
      <c r="A10">
        <v>1997</v>
      </c>
      <c r="B10">
        <v>6053</v>
      </c>
      <c r="C10">
        <f t="shared" si="0"/>
        <v>1.0130543933054392</v>
      </c>
      <c r="E10" s="34">
        <v>3006</v>
      </c>
    </row>
    <row r="11" spans="1:10">
      <c r="A11">
        <v>1998</v>
      </c>
      <c r="B11">
        <v>6067</v>
      </c>
      <c r="C11">
        <f t="shared" si="0"/>
        <v>1.0023129026928796</v>
      </c>
      <c r="E11" s="34">
        <v>3032</v>
      </c>
    </row>
    <row r="12" spans="1:10">
      <c r="A12">
        <v>1999</v>
      </c>
      <c r="B12">
        <v>6242</v>
      </c>
      <c r="C12">
        <f t="shared" si="0"/>
        <v>1.0288445689797263</v>
      </c>
      <c r="D12">
        <v>3026.49</v>
      </c>
      <c r="E12" s="34">
        <v>3322</v>
      </c>
    </row>
    <row r="13" spans="1:10">
      <c r="A13">
        <v>2000</v>
      </c>
      <c r="B13">
        <v>6508</v>
      </c>
      <c r="C13">
        <f t="shared" si="0"/>
        <v>1.0426145466196732</v>
      </c>
      <c r="D13">
        <v>3051.6840000000002</v>
      </c>
      <c r="E13" s="34">
        <v>3596</v>
      </c>
    </row>
    <row r="14" spans="1:10">
      <c r="A14">
        <v>2001</v>
      </c>
      <c r="B14">
        <v>6482</v>
      </c>
      <c r="C14">
        <f t="shared" si="0"/>
        <v>0.99600491702519978</v>
      </c>
      <c r="D14">
        <v>3099.54</v>
      </c>
      <c r="E14" s="34">
        <v>3584</v>
      </c>
    </row>
    <row r="15" spans="1:10">
      <c r="A15">
        <v>2002</v>
      </c>
      <c r="B15">
        <v>6647</v>
      </c>
      <c r="C15">
        <f t="shared" si="0"/>
        <v>1.025455106448627</v>
      </c>
      <c r="D15">
        <v>2866.3180000000002</v>
      </c>
      <c r="E15" s="34">
        <v>3846</v>
      </c>
    </row>
    <row r="16" spans="1:10">
      <c r="A16">
        <v>2003</v>
      </c>
      <c r="B16">
        <v>6826</v>
      </c>
      <c r="C16">
        <f t="shared" si="0"/>
        <v>1.0269294418534678</v>
      </c>
      <c r="D16">
        <v>3186.7950000000001</v>
      </c>
      <c r="E16" s="34">
        <v>3649</v>
      </c>
    </row>
    <row r="17" spans="1:6">
      <c r="A17">
        <v>2004</v>
      </c>
      <c r="B17">
        <v>7141</v>
      </c>
      <c r="C17">
        <f t="shared" si="0"/>
        <v>1.046147084676238</v>
      </c>
      <c r="D17">
        <v>3194.8409999999999</v>
      </c>
      <c r="E17" s="34">
        <v>3746</v>
      </c>
    </row>
    <row r="18" spans="1:6">
      <c r="A18">
        <v>2005</v>
      </c>
      <c r="B18">
        <v>7652</v>
      </c>
      <c r="C18">
        <f t="shared" si="0"/>
        <v>1.0715586052373618</v>
      </c>
      <c r="D18">
        <v>3497.0140000000001</v>
      </c>
      <c r="E18" s="34">
        <v>4316.50818139284</v>
      </c>
    </row>
    <row r="19" spans="1:6">
      <c r="A19">
        <v>2006</v>
      </c>
      <c r="B19" s="34">
        <v>8042.6223021582719</v>
      </c>
      <c r="C19">
        <f t="shared" si="0"/>
        <v>1.0510483928591574</v>
      </c>
      <c r="D19">
        <v>3582.8589999999999</v>
      </c>
      <c r="E19" s="34">
        <v>4854.7482013480203</v>
      </c>
    </row>
    <row r="20" spans="1:6">
      <c r="A20">
        <v>2007</v>
      </c>
      <c r="B20" s="34">
        <v>8243.8446043165368</v>
      </c>
      <c r="C20">
        <f t="shared" si="0"/>
        <v>1.0250194892409987</v>
      </c>
      <c r="D20">
        <v>3715.991</v>
      </c>
      <c r="E20" s="34">
        <v>5198.2613767341099</v>
      </c>
    </row>
    <row r="21" spans="1:6">
      <c r="A21">
        <v>2008</v>
      </c>
      <c r="B21" s="34">
        <v>9064.5039568345273</v>
      </c>
      <c r="C21">
        <f t="shared" si="0"/>
        <v>1.099548134627415</v>
      </c>
      <c r="D21">
        <v>3819.384</v>
      </c>
      <c r="E21" s="34">
        <v>5444.4611366192803</v>
      </c>
    </row>
    <row r="22" spans="1:6">
      <c r="A22">
        <v>2009</v>
      </c>
      <c r="B22" s="34">
        <v>9174.295683453227</v>
      </c>
      <c r="C22">
        <f t="shared" si="0"/>
        <v>1.0121122708028516</v>
      </c>
      <c r="D22">
        <v>3888.8389999999999</v>
      </c>
      <c r="E22" s="34">
        <v>5812.6119620613499</v>
      </c>
    </row>
    <row r="23" spans="1:6">
      <c r="A23">
        <v>2010</v>
      </c>
      <c r="B23" s="34">
        <v>9810.2935251798444</v>
      </c>
      <c r="C23">
        <f t="shared" si="0"/>
        <v>1.0693238874863935</v>
      </c>
      <c r="D23">
        <v>4360.0259999999998</v>
      </c>
      <c r="E23" s="34">
        <v>6083.0428684506496</v>
      </c>
    </row>
    <row r="24" spans="1:6">
      <c r="A24">
        <v>2011</v>
      </c>
      <c r="B24" s="34">
        <v>10504.199999999899</v>
      </c>
      <c r="C24">
        <f t="shared" si="0"/>
        <v>1.0707324885885443</v>
      </c>
      <c r="D24">
        <v>4771.4889999999996</v>
      </c>
      <c r="E24" s="34">
        <v>5963.3187353952198</v>
      </c>
    </row>
    <row r="25" spans="1:6">
      <c r="A25">
        <v>2012</v>
      </c>
      <c r="B25" s="34">
        <v>10623.157194244588</v>
      </c>
      <c r="C25">
        <f t="shared" si="0"/>
        <v>1.0113247267040508</v>
      </c>
      <c r="D25">
        <v>5113.1279999999997</v>
      </c>
      <c r="E25" s="34">
        <v>6209.4124508755604</v>
      </c>
    </row>
    <row r="26" spans="1:6">
      <c r="A26">
        <v>2013</v>
      </c>
      <c r="B26" s="34">
        <v>11329.666187050343</v>
      </c>
      <c r="C26">
        <f t="shared" si="0"/>
        <v>1.0665064989519808</v>
      </c>
      <c r="D26">
        <v>5309.9859999999999</v>
      </c>
      <c r="E26" s="34">
        <v>6357.9806620453201</v>
      </c>
    </row>
    <row r="27" spans="1:6">
      <c r="A27">
        <v>2014</v>
      </c>
      <c r="B27" s="34">
        <v>11171.206834532331</v>
      </c>
      <c r="C27">
        <f t="shared" si="0"/>
        <v>0.98601376687522102</v>
      </c>
      <c r="D27">
        <v>5320.74</v>
      </c>
      <c r="E27" s="34">
        <v>6335.9057517727697</v>
      </c>
    </row>
    <row r="28" spans="1:6">
      <c r="A28">
        <v>2015</v>
      </c>
      <c r="B28" s="34">
        <v>11190.713669064722</v>
      </c>
      <c r="C28">
        <f t="shared" si="0"/>
        <v>1.0017461707424564</v>
      </c>
      <c r="D28">
        <v>5038.9870000000001</v>
      </c>
      <c r="E28" s="34">
        <v>6581.9287709832197</v>
      </c>
    </row>
    <row r="29" spans="1:6">
      <c r="A29">
        <v>2016</v>
      </c>
      <c r="B29" s="34">
        <v>11261.582374100692</v>
      </c>
      <c r="C29">
        <f t="shared" si="0"/>
        <v>1.0063328137178487</v>
      </c>
      <c r="D29">
        <v>4858.1750000000002</v>
      </c>
      <c r="E29" s="34">
        <v>7169.52081815783</v>
      </c>
    </row>
    <row r="30" spans="1:6">
      <c r="A30">
        <v>2017</v>
      </c>
      <c r="B30">
        <v>12104</v>
      </c>
      <c r="C30">
        <f t="shared" si="0"/>
        <v>1.0748045521415086</v>
      </c>
      <c r="D30">
        <v>4482.6620000000003</v>
      </c>
      <c r="E30" s="34">
        <v>7269.2732549698803</v>
      </c>
    </row>
    <row r="31" spans="1:6">
      <c r="A31">
        <v>2018</v>
      </c>
      <c r="B31">
        <v>12290</v>
      </c>
      <c r="C31">
        <f t="shared" si="0"/>
        <v>1.0153668208856577</v>
      </c>
      <c r="D31">
        <v>4471.6390000000001</v>
      </c>
      <c r="E31" s="34">
        <v>7674</v>
      </c>
    </row>
    <row r="32" spans="1:6">
      <c r="A32">
        <v>2019</v>
      </c>
      <c r="B32">
        <v>12244</v>
      </c>
      <c r="C32">
        <f t="shared" si="0"/>
        <v>0.99625711960943852</v>
      </c>
      <c r="D32">
        <v>4818.7460000000001</v>
      </c>
      <c r="E32" s="34">
        <v>7599</v>
      </c>
      <c r="F32">
        <f>SUM(D32:E32)</f>
        <v>12417.745999999999</v>
      </c>
    </row>
    <row r="33" spans="1:5">
      <c r="A33">
        <v>2020</v>
      </c>
      <c r="B33">
        <v>11375</v>
      </c>
      <c r="C33">
        <f t="shared" si="0"/>
        <v>0.92902646194054228</v>
      </c>
      <c r="D33">
        <v>4543.9809999999998</v>
      </c>
      <c r="E33" s="34">
        <v>7427</v>
      </c>
    </row>
    <row r="34" spans="1:5">
      <c r="A34">
        <v>2021</v>
      </c>
      <c r="B34">
        <v>12205</v>
      </c>
      <c r="C34">
        <f t="shared" si="0"/>
        <v>1.0729670329670329</v>
      </c>
      <c r="E34" s="34">
        <v>7717</v>
      </c>
    </row>
  </sheetData>
  <hyperlinks>
    <hyperlink ref="D2" r:id="rId1" xr:uid="{B013DA0F-F2CA-9248-B6E9-4A638776480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181</v>
      </c>
      <c r="E1" t="s">
        <v>187</v>
      </c>
    </row>
    <row r="2" spans="1:5">
      <c r="A2" t="s">
        <v>173</v>
      </c>
      <c r="B2" s="1"/>
      <c r="D2" s="1" t="s">
        <v>333</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baseColWidth="10" defaultColWidth="8.83203125" defaultRowHeight="15"/>
  <sheetData>
    <row r="1" spans="1:6">
      <c r="B1" t="s">
        <v>176</v>
      </c>
      <c r="C1" t="s">
        <v>180</v>
      </c>
      <c r="D1" t="s">
        <v>448</v>
      </c>
      <c r="E1" t="s">
        <v>181</v>
      </c>
      <c r="F1" t="s">
        <v>187</v>
      </c>
    </row>
    <row r="2" spans="1:6">
      <c r="A2" t="s">
        <v>173</v>
      </c>
      <c r="B2" s="1" t="s">
        <v>449</v>
      </c>
      <c r="D2" t="s">
        <v>334</v>
      </c>
      <c r="E2" s="1" t="s">
        <v>449</v>
      </c>
      <c r="F2" s="1" t="s">
        <v>449</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ht="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181</v>
      </c>
    </row>
    <row r="2" spans="1:5">
      <c r="A2" t="s">
        <v>173</v>
      </c>
      <c r="B2" t="s">
        <v>192</v>
      </c>
      <c r="C2" t="s">
        <v>193</v>
      </c>
      <c r="D2" t="s">
        <v>194</v>
      </c>
      <c r="E2" t="s">
        <v>195</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720A-D744-1B4D-893A-AC0F2A4F2378}">
  <dimension ref="A1:J30"/>
  <sheetViews>
    <sheetView workbookViewId="0">
      <selection activeCell="G10" sqref="G10"/>
    </sheetView>
  </sheetViews>
  <sheetFormatPr baseColWidth="10" defaultRowHeight="15"/>
  <sheetData>
    <row r="1" spans="1:10" ht="16">
      <c r="A1" s="49" t="s">
        <v>450</v>
      </c>
      <c r="B1" s="49" t="s">
        <v>8</v>
      </c>
      <c r="C1" s="49" t="s">
        <v>2</v>
      </c>
      <c r="D1" s="49" t="s">
        <v>113</v>
      </c>
      <c r="E1" s="49" t="s">
        <v>121</v>
      </c>
      <c r="F1" s="49" t="s">
        <v>112</v>
      </c>
      <c r="G1" s="49" t="s">
        <v>456</v>
      </c>
      <c r="H1" s="49" t="s">
        <v>94</v>
      </c>
      <c r="I1" s="49" t="s">
        <v>114</v>
      </c>
      <c r="J1" s="49" t="s">
        <v>115</v>
      </c>
    </row>
    <row r="2" spans="1:10" ht="16">
      <c r="A2" s="49">
        <v>1991</v>
      </c>
      <c r="B2" s="50">
        <v>1.434685</v>
      </c>
      <c r="C2" s="50">
        <v>1.9120000000000001E-3</v>
      </c>
      <c r="D2" s="50">
        <v>5.1799099999999996</v>
      </c>
      <c r="E2" s="50">
        <v>0.14000000000000001</v>
      </c>
      <c r="F2" s="50">
        <v>1.06</v>
      </c>
      <c r="G2" s="50" t="s">
        <v>451</v>
      </c>
      <c r="H2" s="50" t="s">
        <v>451</v>
      </c>
      <c r="I2" s="50">
        <v>3.7130000000000003E-2</v>
      </c>
      <c r="J2" s="50">
        <v>9.7158920000000002</v>
      </c>
    </row>
    <row r="3" spans="1:10" ht="16">
      <c r="A3" s="49">
        <v>1992</v>
      </c>
      <c r="B3" s="50">
        <v>1.413902</v>
      </c>
      <c r="C3" s="50">
        <v>1.32E-3</v>
      </c>
      <c r="D3" s="50">
        <v>5.1701410000000001</v>
      </c>
      <c r="E3" s="50">
        <v>0.14000000000000001</v>
      </c>
      <c r="F3" s="50">
        <v>1.8992059999999999</v>
      </c>
      <c r="G3" s="50">
        <v>1.921E-3</v>
      </c>
      <c r="H3" s="50" t="s">
        <v>451</v>
      </c>
      <c r="I3" s="50">
        <v>3.6905E-2</v>
      </c>
      <c r="J3" s="50">
        <v>8.9364349999999995</v>
      </c>
    </row>
    <row r="4" spans="1:10" ht="16">
      <c r="A4" s="49">
        <v>1993</v>
      </c>
      <c r="B4" s="50">
        <v>1.3976120000000001</v>
      </c>
      <c r="C4" s="50">
        <v>6.78E-4</v>
      </c>
      <c r="D4" s="50">
        <v>5.6530180000000003</v>
      </c>
      <c r="E4" s="50">
        <v>0.14000000000000001</v>
      </c>
      <c r="F4" s="50">
        <v>1.9204479999999999</v>
      </c>
      <c r="G4" s="50">
        <v>2.2899999999999999E-3</v>
      </c>
      <c r="H4" s="50" t="s">
        <v>451</v>
      </c>
      <c r="I4" s="50">
        <v>2.5239999999999999E-2</v>
      </c>
      <c r="J4" s="50">
        <v>9.0117820000000002</v>
      </c>
    </row>
    <row r="5" spans="1:10" ht="16">
      <c r="A5" s="49">
        <v>1994</v>
      </c>
      <c r="B5" s="50">
        <v>1.3479570000000001</v>
      </c>
      <c r="C5" s="50">
        <v>6.4300000000000002E-4</v>
      </c>
      <c r="D5" s="50">
        <v>5.5125339999999996</v>
      </c>
      <c r="E5" s="50">
        <v>0.23871300000000001</v>
      </c>
      <c r="F5" s="50">
        <v>1.852976</v>
      </c>
      <c r="G5" s="50">
        <v>1.725E-3</v>
      </c>
      <c r="H5" s="50" t="s">
        <v>451</v>
      </c>
      <c r="I5" s="50">
        <v>1.7833999999999999E-2</v>
      </c>
      <c r="J5" s="50">
        <v>9.3099150000000002</v>
      </c>
    </row>
    <row r="6" spans="1:10" ht="16">
      <c r="A6" s="49">
        <v>1995</v>
      </c>
      <c r="B6" s="50">
        <v>1.27196</v>
      </c>
      <c r="C6" s="50">
        <v>6.2100000000000002E-4</v>
      </c>
      <c r="D6" s="50">
        <v>5.3855560000000002</v>
      </c>
      <c r="E6" s="50">
        <v>0.235655</v>
      </c>
      <c r="F6" s="50">
        <v>1.709751</v>
      </c>
      <c r="G6" s="50">
        <v>1.348E-3</v>
      </c>
      <c r="H6" s="50" t="s">
        <v>451</v>
      </c>
      <c r="I6" s="50">
        <v>1.9188E-2</v>
      </c>
      <c r="J6" s="50">
        <v>9.1848019999999995</v>
      </c>
    </row>
    <row r="7" spans="1:10" ht="16">
      <c r="A7" s="49">
        <v>1996</v>
      </c>
      <c r="B7" s="50">
        <v>1.303744</v>
      </c>
      <c r="C7" s="50">
        <v>5.7399999999999997E-4</v>
      </c>
      <c r="D7" s="50">
        <v>5.046716</v>
      </c>
      <c r="E7" s="50">
        <v>0.23250699999999999</v>
      </c>
      <c r="F7" s="50">
        <v>1.696455</v>
      </c>
      <c r="G7" s="50">
        <v>1.4270000000000001E-3</v>
      </c>
      <c r="H7" s="50" t="s">
        <v>451</v>
      </c>
      <c r="I7" s="50">
        <v>3.1510999999999997E-2</v>
      </c>
      <c r="J7" s="50">
        <v>9.1569109999999991</v>
      </c>
    </row>
    <row r="8" spans="1:10" ht="16">
      <c r="A8" s="49">
        <v>1997</v>
      </c>
      <c r="B8" s="50">
        <v>1.335629</v>
      </c>
      <c r="C8" s="50">
        <v>6.02E-4</v>
      </c>
      <c r="D8" s="50">
        <v>4.9176669999999998</v>
      </c>
      <c r="E8" s="50">
        <v>0.23860700000000001</v>
      </c>
      <c r="F8" s="50">
        <v>1.772842</v>
      </c>
      <c r="G8" s="50">
        <v>1.5560000000000001E-3</v>
      </c>
      <c r="H8" s="50" t="s">
        <v>451</v>
      </c>
      <c r="I8" s="50">
        <v>4.6684999999999997E-2</v>
      </c>
      <c r="J8" s="50">
        <v>9.3453949999999999</v>
      </c>
    </row>
    <row r="9" spans="1:10" ht="16">
      <c r="A9" s="49">
        <v>1998</v>
      </c>
      <c r="B9" s="50">
        <v>1.2407600000000001</v>
      </c>
      <c r="C9" s="50">
        <v>6.5499999999999998E-4</v>
      </c>
      <c r="D9" s="50">
        <v>5.2199900000000001</v>
      </c>
      <c r="E9" s="50">
        <v>0.22286300000000001</v>
      </c>
      <c r="F9" s="50">
        <v>1.91726</v>
      </c>
      <c r="G9" s="50">
        <v>1.547E-3</v>
      </c>
      <c r="H9" s="50">
        <v>3.1100000000000002E-4</v>
      </c>
      <c r="I9" s="50">
        <v>5.7991000000000001E-2</v>
      </c>
      <c r="J9" s="50">
        <v>9.7533980000000007</v>
      </c>
    </row>
    <row r="10" spans="1:10" ht="16">
      <c r="A10" s="49">
        <v>1999</v>
      </c>
      <c r="B10" s="50">
        <v>1.2405349999999999</v>
      </c>
      <c r="C10" s="50">
        <v>5.9699999999999998E-4</v>
      </c>
      <c r="D10" s="50">
        <v>5.5228529999999996</v>
      </c>
      <c r="E10" s="50">
        <v>0.226192</v>
      </c>
      <c r="F10" s="50">
        <v>1.8864590000000001</v>
      </c>
      <c r="G10" s="50">
        <v>1.498E-3</v>
      </c>
      <c r="H10" s="50">
        <v>3.0899999999999998E-4</v>
      </c>
      <c r="I10" s="50">
        <v>5.4038000000000003E-2</v>
      </c>
      <c r="J10" s="50">
        <v>10.049611000000001</v>
      </c>
    </row>
    <row r="11" spans="1:10" ht="16">
      <c r="A11" s="49">
        <v>2000</v>
      </c>
      <c r="B11" s="50">
        <v>1.196383</v>
      </c>
      <c r="C11" s="50">
        <v>5.53E-4</v>
      </c>
      <c r="D11" s="50">
        <v>5.708024</v>
      </c>
      <c r="E11" s="50">
        <v>0.174792</v>
      </c>
      <c r="F11" s="50">
        <v>1.7585310000000001</v>
      </c>
      <c r="G11" s="50">
        <v>1.408E-3</v>
      </c>
      <c r="H11" s="50">
        <v>2.8800000000000001E-4</v>
      </c>
      <c r="I11" s="50">
        <v>5.4066999999999997E-2</v>
      </c>
      <c r="J11" s="50">
        <v>9.6490530000000003</v>
      </c>
    </row>
    <row r="12" spans="1:10" ht="16">
      <c r="A12" s="49">
        <v>2001</v>
      </c>
      <c r="B12" s="50">
        <v>1.1722900000000001</v>
      </c>
      <c r="C12" s="50">
        <v>6.87E-4</v>
      </c>
      <c r="D12" s="50">
        <v>5.6434620000000004</v>
      </c>
      <c r="E12" s="50">
        <v>0.189413</v>
      </c>
      <c r="F12" s="50">
        <v>1.8045389999999999</v>
      </c>
      <c r="G12" s="50">
        <v>1.372E-3</v>
      </c>
      <c r="H12" s="50">
        <v>2.8299999999999999E-4</v>
      </c>
      <c r="I12" s="50">
        <v>5.5264000000000001E-2</v>
      </c>
      <c r="J12" s="50">
        <v>9.6032150000000005</v>
      </c>
    </row>
    <row r="13" spans="1:10" ht="16">
      <c r="A13" s="49">
        <v>2002</v>
      </c>
      <c r="B13" s="50">
        <v>1.158479</v>
      </c>
      <c r="C13" s="50">
        <v>6.5099999999999999E-4</v>
      </c>
      <c r="D13" s="50">
        <v>6.0139670000000001</v>
      </c>
      <c r="E13" s="50">
        <v>0.189613</v>
      </c>
      <c r="F13" s="50">
        <v>1.795547</v>
      </c>
      <c r="G13" s="50">
        <v>1.0059999999999999E-3</v>
      </c>
      <c r="H13" s="50">
        <v>2.7500000000000002E-4</v>
      </c>
      <c r="I13" s="50">
        <v>5.5171999999999999E-2</v>
      </c>
      <c r="J13" s="50">
        <v>10.10915</v>
      </c>
    </row>
    <row r="14" spans="1:10" ht="16">
      <c r="A14" s="49">
        <v>2003</v>
      </c>
      <c r="B14" s="50">
        <v>1.162269</v>
      </c>
      <c r="C14" s="50">
        <v>6.0700000000000001E-4</v>
      </c>
      <c r="D14" s="50">
        <v>6.1230039999999999</v>
      </c>
      <c r="E14" s="50">
        <v>0.188416</v>
      </c>
      <c r="F14" s="50">
        <v>1.7769250000000001</v>
      </c>
      <c r="G14" s="50">
        <v>9.1399999999999999E-4</v>
      </c>
      <c r="H14" s="50">
        <v>2.63E-4</v>
      </c>
      <c r="I14" s="50">
        <v>5.5355000000000001E-2</v>
      </c>
      <c r="J14" s="50">
        <v>10.357733</v>
      </c>
    </row>
    <row r="15" spans="1:10" ht="16">
      <c r="A15" s="49">
        <v>2004</v>
      </c>
      <c r="B15" s="50">
        <v>1.1592039999999999</v>
      </c>
      <c r="C15" s="50">
        <v>5.8399999999999999E-4</v>
      </c>
      <c r="D15" s="50">
        <v>5.3922910000000002</v>
      </c>
      <c r="E15" s="50">
        <v>0.18068500000000001</v>
      </c>
      <c r="F15" s="50">
        <v>1.721403</v>
      </c>
      <c r="G15" s="50">
        <v>8.8800000000000001E-4</v>
      </c>
      <c r="H15" s="50">
        <v>2.5999999999999998E-4</v>
      </c>
      <c r="I15" s="50">
        <v>5.1200000000000002E-2</v>
      </c>
      <c r="J15" s="50">
        <v>10.615496</v>
      </c>
    </row>
    <row r="16" spans="1:10" ht="16">
      <c r="A16" s="49">
        <v>2005</v>
      </c>
      <c r="B16" s="50">
        <v>1.1341460000000001</v>
      </c>
      <c r="C16" s="50">
        <v>4.9100000000000001E-4</v>
      </c>
      <c r="D16" s="50">
        <v>5.3253579999999996</v>
      </c>
      <c r="E16" s="50">
        <v>0.181448</v>
      </c>
      <c r="F16" s="50">
        <v>1.66239</v>
      </c>
      <c r="G16" s="50">
        <v>9.4799999999999995E-4</v>
      </c>
      <c r="H16" s="50">
        <v>2.4600000000000002E-4</v>
      </c>
      <c r="I16" s="50">
        <v>4.8196999999999997E-2</v>
      </c>
      <c r="J16" s="50">
        <v>10.595442</v>
      </c>
    </row>
    <row r="17" spans="1:10" ht="16">
      <c r="A17" s="49">
        <v>2006</v>
      </c>
      <c r="B17" s="50">
        <v>1.1569199999999999</v>
      </c>
      <c r="C17" s="50">
        <v>4.4799999999999999E-4</v>
      </c>
      <c r="D17" s="50">
        <v>5.4019490000000001</v>
      </c>
      <c r="E17" s="50">
        <v>0.191417</v>
      </c>
      <c r="F17" s="50">
        <v>1.674963</v>
      </c>
      <c r="G17" s="50">
        <v>9.3000000000000005E-4</v>
      </c>
      <c r="H17" s="50">
        <v>2.4399999999999999E-4</v>
      </c>
      <c r="I17" s="50">
        <v>4.4429000000000003E-2</v>
      </c>
      <c r="J17" s="50">
        <v>10.206561000000001</v>
      </c>
    </row>
    <row r="18" spans="1:10" ht="16">
      <c r="A18" s="49">
        <v>2007</v>
      </c>
      <c r="B18" s="50">
        <v>1.119292</v>
      </c>
      <c r="C18" s="50">
        <v>4.66E-4</v>
      </c>
      <c r="D18" s="50">
        <v>4.8799099999999997</v>
      </c>
      <c r="E18" s="50">
        <v>0.183722</v>
      </c>
      <c r="F18" s="50">
        <v>1.6607540000000001</v>
      </c>
      <c r="G18" s="50">
        <v>8.4400000000000002E-4</v>
      </c>
      <c r="H18" s="50">
        <v>2.3499999999999999E-4</v>
      </c>
      <c r="I18" s="50">
        <v>4.3806999999999999E-2</v>
      </c>
      <c r="J18" s="50">
        <v>9.7810950000000005</v>
      </c>
    </row>
    <row r="19" spans="1:10" ht="16">
      <c r="A19" s="49">
        <v>2008</v>
      </c>
      <c r="B19" s="50">
        <v>1.067731</v>
      </c>
      <c r="C19" s="50">
        <v>4.6000000000000001E-4</v>
      </c>
      <c r="D19" s="50">
        <v>4.4378089999999997</v>
      </c>
      <c r="E19" s="50">
        <v>0.18481800000000001</v>
      </c>
      <c r="F19" s="50">
        <v>1.694078</v>
      </c>
      <c r="G19" s="50">
        <v>8.6399999999999997E-4</v>
      </c>
      <c r="H19" s="50">
        <v>2.31E-4</v>
      </c>
      <c r="I19" s="50">
        <v>4.1540000000000001E-2</v>
      </c>
      <c r="J19" s="50">
        <v>9.135408</v>
      </c>
    </row>
    <row r="20" spans="1:10" ht="16">
      <c r="A20" s="49">
        <v>2009</v>
      </c>
      <c r="B20" s="50">
        <v>1.0725100000000001</v>
      </c>
      <c r="C20" s="50">
        <v>4.35E-4</v>
      </c>
      <c r="D20" s="50">
        <v>4.2520639999999998</v>
      </c>
      <c r="E20" s="50">
        <v>0.19486200000000001</v>
      </c>
      <c r="F20" s="50">
        <v>1.6848989999999999</v>
      </c>
      <c r="G20" s="50">
        <v>1.3159999999999999E-3</v>
      </c>
      <c r="H20" s="50">
        <v>2.2599999999999999E-4</v>
      </c>
      <c r="I20" s="50">
        <v>3.9031999999999997E-2</v>
      </c>
      <c r="J20" s="50">
        <v>9.4471539999999994</v>
      </c>
    </row>
    <row r="21" spans="1:10" ht="16">
      <c r="A21" s="49">
        <v>2010</v>
      </c>
      <c r="B21" s="50">
        <v>1.0540350000000001</v>
      </c>
      <c r="C21" s="50">
        <v>4.2400000000000001E-4</v>
      </c>
      <c r="D21" s="50">
        <v>4.6381240000000004</v>
      </c>
      <c r="E21" s="50">
        <v>0.19222500000000001</v>
      </c>
      <c r="F21" s="50">
        <v>1.699559</v>
      </c>
      <c r="G21" s="50">
        <v>1.085E-3</v>
      </c>
      <c r="H21" s="50">
        <v>2.22E-4</v>
      </c>
      <c r="I21" s="50">
        <v>3.7114000000000001E-2</v>
      </c>
      <c r="J21" s="50">
        <v>9.0763200000000008</v>
      </c>
    </row>
    <row r="22" spans="1:10" ht="16">
      <c r="A22" s="49">
        <v>2011</v>
      </c>
      <c r="B22" s="50">
        <v>1.0620419999999999</v>
      </c>
      <c r="C22" s="50">
        <v>3.7500000000000001E-4</v>
      </c>
      <c r="D22" s="50">
        <v>4.3340290000000001</v>
      </c>
      <c r="E22" s="50">
        <v>0.17752699999999999</v>
      </c>
      <c r="F22" s="50">
        <v>1.709516</v>
      </c>
      <c r="G22" s="50">
        <v>9.9500000000000001E-4</v>
      </c>
      <c r="H22" s="50">
        <v>2.12E-4</v>
      </c>
      <c r="I22" s="50">
        <v>3.2307000000000002E-2</v>
      </c>
      <c r="J22" s="50">
        <v>8.7921220000000009</v>
      </c>
    </row>
    <row r="23" spans="1:10" ht="16">
      <c r="A23" s="49">
        <v>2012</v>
      </c>
      <c r="B23" s="50">
        <v>1.0967690000000001</v>
      </c>
      <c r="C23" s="50">
        <v>3.3799999999999998E-4</v>
      </c>
      <c r="D23" s="50">
        <v>4.5944190000000003</v>
      </c>
      <c r="E23" s="50">
        <v>0.160552</v>
      </c>
      <c r="F23" s="50">
        <v>1.6432169999999999</v>
      </c>
      <c r="G23" s="50">
        <v>9.990000000000001E-4</v>
      </c>
      <c r="H23" s="50">
        <v>2.1000000000000001E-4</v>
      </c>
      <c r="I23" s="50">
        <v>2.9995000000000001E-2</v>
      </c>
      <c r="J23" s="50">
        <v>8.5762479999999996</v>
      </c>
    </row>
    <row r="24" spans="1:10" ht="16">
      <c r="A24" s="49">
        <v>2013</v>
      </c>
      <c r="B24" s="50">
        <v>1.115081</v>
      </c>
      <c r="C24" s="50">
        <v>3.2499999999999999E-4</v>
      </c>
      <c r="D24" s="50">
        <v>4.80497</v>
      </c>
      <c r="E24" s="50">
        <v>0.15906400000000001</v>
      </c>
      <c r="F24" s="50">
        <v>1.6555</v>
      </c>
      <c r="G24" s="50">
        <v>9.4600000000000001E-4</v>
      </c>
      <c r="H24" s="50">
        <v>2.14E-4</v>
      </c>
      <c r="I24" s="50">
        <v>2.9250999999999999E-2</v>
      </c>
      <c r="J24" s="50">
        <v>7.9504760000000001</v>
      </c>
    </row>
    <row r="25" spans="1:10" ht="16">
      <c r="A25" s="49">
        <v>2014</v>
      </c>
      <c r="B25" s="50">
        <v>1.0929230000000001</v>
      </c>
      <c r="C25" s="50">
        <v>3.3199999999999999E-4</v>
      </c>
      <c r="D25" s="50">
        <v>4.7209580000000004</v>
      </c>
      <c r="E25" s="50">
        <v>0.149065</v>
      </c>
      <c r="F25" s="50">
        <v>1.5830709999999999</v>
      </c>
      <c r="G25" s="50">
        <v>8.9400000000000005E-4</v>
      </c>
      <c r="H25" s="50">
        <v>1.9900000000000001E-4</v>
      </c>
      <c r="I25" s="50">
        <v>3.1028E-2</v>
      </c>
      <c r="J25" s="50">
        <v>7.933967</v>
      </c>
    </row>
    <row r="26" spans="1:10" ht="16">
      <c r="A26" s="49">
        <v>2015</v>
      </c>
      <c r="B26" s="50">
        <v>1.0567169999999999</v>
      </c>
      <c r="C26" s="50">
        <v>3.3100000000000002E-4</v>
      </c>
      <c r="D26" s="50">
        <v>4.4208119999999997</v>
      </c>
      <c r="E26" s="50">
        <v>0.19889999999999999</v>
      </c>
      <c r="F26" s="50">
        <v>1.600446</v>
      </c>
      <c r="G26" s="50">
        <v>8.8400000000000002E-4</v>
      </c>
      <c r="H26" s="50">
        <v>2.05E-4</v>
      </c>
      <c r="I26" s="50">
        <v>3.0810000000000001E-2</v>
      </c>
      <c r="J26" s="50">
        <v>7.5456260000000004</v>
      </c>
    </row>
    <row r="27" spans="1:10" ht="16">
      <c r="A27" s="49">
        <v>2016</v>
      </c>
      <c r="B27" s="50">
        <v>0.98334900000000003</v>
      </c>
      <c r="C27" s="50">
        <v>3.2400000000000001E-4</v>
      </c>
      <c r="D27" s="50">
        <v>4.4274519999999997</v>
      </c>
      <c r="E27" s="50">
        <v>0.203291</v>
      </c>
      <c r="F27" s="50">
        <v>1.6372850000000001</v>
      </c>
      <c r="G27" s="50">
        <v>9.4499999999999998E-4</v>
      </c>
      <c r="H27" s="50">
        <v>2.05E-4</v>
      </c>
      <c r="I27" s="50">
        <v>3.0321000000000001E-2</v>
      </c>
      <c r="J27" s="50">
        <v>7.1496820000000003</v>
      </c>
    </row>
    <row r="28" spans="1:10" ht="16">
      <c r="A28" s="49">
        <v>2017</v>
      </c>
      <c r="B28" s="50">
        <v>0.95050699999999999</v>
      </c>
      <c r="C28" s="50">
        <v>3.1700000000000001E-4</v>
      </c>
      <c r="D28" s="50">
        <v>4.3766480000000003</v>
      </c>
      <c r="E28" s="50">
        <v>0.201957</v>
      </c>
      <c r="F28" s="50">
        <v>1.579081</v>
      </c>
      <c r="G28" s="50">
        <v>8.7399999999999999E-4</v>
      </c>
      <c r="H28" s="50">
        <v>2.0100000000000001E-4</v>
      </c>
      <c r="I28" s="50">
        <v>2.7781E-2</v>
      </c>
      <c r="J28" s="50">
        <v>6.7692600000000001</v>
      </c>
    </row>
    <row r="29" spans="1:10" ht="16">
      <c r="A29" s="49">
        <v>2018</v>
      </c>
      <c r="B29" s="50">
        <v>0.93689900000000004</v>
      </c>
      <c r="C29" s="50">
        <v>3.28E-4</v>
      </c>
      <c r="D29" s="50">
        <v>4.2408789999999996</v>
      </c>
      <c r="E29" s="50">
        <v>0.173848</v>
      </c>
      <c r="F29" s="50">
        <v>1.555348</v>
      </c>
      <c r="G29" s="50">
        <v>8.25E-4</v>
      </c>
      <c r="H29" s="50">
        <v>1.9699999999999999E-4</v>
      </c>
      <c r="I29" s="50">
        <v>2.5496000000000001E-2</v>
      </c>
      <c r="J29" s="50">
        <v>7.080603</v>
      </c>
    </row>
    <row r="30" spans="1:10" ht="16">
      <c r="A30" s="49">
        <v>2019</v>
      </c>
      <c r="B30" s="50">
        <v>0.92286299999999999</v>
      </c>
      <c r="C30" s="50">
        <v>3.4900000000000003E-4</v>
      </c>
      <c r="D30" s="50">
        <v>4.3026099999999996</v>
      </c>
      <c r="E30" s="50">
        <v>0.19672400000000001</v>
      </c>
      <c r="F30" s="50">
        <v>1.461452</v>
      </c>
      <c r="G30" s="50">
        <v>8.4800000000000001E-4</v>
      </c>
      <c r="H30" s="50">
        <v>1.9699999999999999E-4</v>
      </c>
      <c r="I30" s="50">
        <v>2.3761999999999998E-2</v>
      </c>
      <c r="J30" s="50">
        <v>6.7144240000000002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1" activeCellId="1" sqref="F21 D21"/>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181</v>
      </c>
      <c r="E1" t="s">
        <v>177</v>
      </c>
      <c r="F1" t="s">
        <v>187</v>
      </c>
    </row>
    <row r="2" spans="1:9">
      <c r="A2" t="s">
        <v>173</v>
      </c>
      <c r="B2" t="s">
        <v>179</v>
      </c>
      <c r="C2" t="s">
        <v>190</v>
      </c>
      <c r="D2" t="s">
        <v>411</v>
      </c>
      <c r="E2" t="s">
        <v>178</v>
      </c>
      <c r="F2" t="s">
        <v>392</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B2" sqref="B2"/>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181</v>
      </c>
      <c r="E1" t="s">
        <v>187</v>
      </c>
      <c r="F1" t="s">
        <v>182</v>
      </c>
      <c r="G1" t="s">
        <v>189</v>
      </c>
    </row>
    <row r="2" spans="1:14">
      <c r="A2" t="s">
        <v>173</v>
      </c>
      <c r="B2" s="1" t="s">
        <v>184</v>
      </c>
      <c r="C2" t="s">
        <v>188</v>
      </c>
      <c r="D2" s="1" t="s">
        <v>186</v>
      </c>
      <c r="F2" s="1" t="s">
        <v>183</v>
      </c>
      <c r="G2" t="s">
        <v>185</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B21" sqref="B21"/>
    </sheetView>
  </sheetViews>
  <sheetFormatPr baseColWidth="10" defaultColWidth="8.83203125" defaultRowHeight="15"/>
  <cols>
    <col min="3" max="3" width="13.83203125" bestFit="1" customWidth="1"/>
    <col min="5" max="5" width="14.6640625" customWidth="1"/>
  </cols>
  <sheetData>
    <row r="1" spans="1:17">
      <c r="B1" t="s">
        <v>176</v>
      </c>
      <c r="C1" t="s">
        <v>180</v>
      </c>
      <c r="D1" t="s">
        <v>181</v>
      </c>
      <c r="E1" t="s">
        <v>187</v>
      </c>
      <c r="F1" t="s">
        <v>182</v>
      </c>
      <c r="G1" t="s">
        <v>189</v>
      </c>
      <c r="H1" t="s">
        <v>290</v>
      </c>
      <c r="L1" t="s">
        <v>180</v>
      </c>
      <c r="M1" t="s">
        <v>180</v>
      </c>
      <c r="Q1" t="s">
        <v>287</v>
      </c>
    </row>
    <row r="2" spans="1:17">
      <c r="A2" t="s">
        <v>173</v>
      </c>
      <c r="B2" s="1" t="s">
        <v>289</v>
      </c>
      <c r="C2" t="s">
        <v>286</v>
      </c>
      <c r="D2" s="1" t="s">
        <v>191</v>
      </c>
      <c r="E2" t="s">
        <v>288</v>
      </c>
      <c r="F2" t="s">
        <v>288</v>
      </c>
      <c r="H2" t="s">
        <v>291</v>
      </c>
      <c r="L2" t="s">
        <v>286</v>
      </c>
      <c r="M2" s="32"/>
      <c r="Q2" t="s">
        <v>286</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X61"/>
  <sheetViews>
    <sheetView zoomScale="83" workbookViewId="0">
      <selection activeCell="H1" sqref="H1"/>
    </sheetView>
  </sheetViews>
  <sheetFormatPr baseColWidth="10" defaultColWidth="8.83203125" defaultRowHeight="15"/>
  <sheetData>
    <row r="1" spans="1:24">
      <c r="B1" t="s">
        <v>176</v>
      </c>
      <c r="C1" t="s">
        <v>180</v>
      </c>
      <c r="D1" t="s">
        <v>181</v>
      </c>
      <c r="E1" t="s">
        <v>187</v>
      </c>
      <c r="F1" t="s">
        <v>459</v>
      </c>
      <c r="G1" t="s">
        <v>464</v>
      </c>
      <c r="H1" t="s">
        <v>551</v>
      </c>
      <c r="J1" t="s">
        <v>461</v>
      </c>
      <c r="K1" t="s">
        <v>462</v>
      </c>
      <c r="M1" t="s">
        <v>395</v>
      </c>
      <c r="N1" t="s">
        <v>393</v>
      </c>
      <c r="O1" t="s">
        <v>394</v>
      </c>
      <c r="Q1" t="s">
        <v>481</v>
      </c>
      <c r="R1" t="s">
        <v>482</v>
      </c>
      <c r="S1" t="s">
        <v>479</v>
      </c>
      <c r="T1" t="s">
        <v>480</v>
      </c>
      <c r="U1" t="s">
        <v>483</v>
      </c>
      <c r="V1" t="s">
        <v>474</v>
      </c>
      <c r="W1" t="s">
        <v>476</v>
      </c>
      <c r="X1" t="s">
        <v>470</v>
      </c>
    </row>
    <row r="2" spans="1:24">
      <c r="A2" t="s">
        <v>173</v>
      </c>
      <c r="B2" s="1" t="s">
        <v>477</v>
      </c>
      <c r="D2" s="1" t="s">
        <v>468</v>
      </c>
      <c r="E2" t="s">
        <v>478</v>
      </c>
      <c r="F2" s="1" t="s">
        <v>460</v>
      </c>
      <c r="G2" s="1" t="s">
        <v>463</v>
      </c>
      <c r="H2" s="1"/>
      <c r="J2" s="1" t="s">
        <v>458</v>
      </c>
      <c r="K2" s="1" t="s">
        <v>457</v>
      </c>
      <c r="Q2" s="1" t="s">
        <v>471</v>
      </c>
      <c r="R2" s="1" t="s">
        <v>471</v>
      </c>
      <c r="S2" s="1" t="s">
        <v>472</v>
      </c>
      <c r="T2" s="1" t="s">
        <v>472</v>
      </c>
      <c r="U2" s="1" t="s">
        <v>473</v>
      </c>
      <c r="V2" s="1" t="s">
        <v>475</v>
      </c>
      <c r="W2" s="1"/>
      <c r="X2" s="1" t="s">
        <v>469</v>
      </c>
    </row>
    <row r="3" spans="1:24">
      <c r="A3">
        <v>1964</v>
      </c>
      <c r="B3">
        <f t="shared" ref="B3:B50" si="0">J3/0.793/(1-$V$51)</f>
        <v>43.82758370949356</v>
      </c>
      <c r="D3" s="1"/>
      <c r="F3">
        <f t="shared" ref="F3:F34" si="1">K3/0.793</f>
        <v>35.521912434215508</v>
      </c>
      <c r="I3">
        <v>1964</v>
      </c>
      <c r="J3">
        <v>26.523162274618599</v>
      </c>
      <c r="K3">
        <v>28.168876560332901</v>
      </c>
      <c r="M3" s="39"/>
      <c r="P3">
        <v>1964</v>
      </c>
    </row>
    <row r="4" spans="1:24">
      <c r="A4">
        <v>1965</v>
      </c>
      <c r="B4">
        <f t="shared" si="0"/>
        <v>45.4844503076717</v>
      </c>
      <c r="D4" s="1"/>
      <c r="F4">
        <f t="shared" si="1"/>
        <v>34.437585140737831</v>
      </c>
      <c r="I4">
        <v>1965</v>
      </c>
      <c r="J4">
        <v>27.525849120011699</v>
      </c>
      <c r="K4">
        <v>27.309005016605099</v>
      </c>
      <c r="M4" s="39"/>
      <c r="P4">
        <v>1965</v>
      </c>
    </row>
    <row r="5" spans="1:24">
      <c r="A5">
        <v>1966</v>
      </c>
      <c r="B5">
        <f t="shared" si="0"/>
        <v>48.966165540361828</v>
      </c>
      <c r="D5" s="1"/>
      <c r="F5">
        <f t="shared" si="1"/>
        <v>36.354958270619541</v>
      </c>
      <c r="I5">
        <v>1966</v>
      </c>
      <c r="J5">
        <v>29.632880589571101</v>
      </c>
      <c r="K5">
        <v>28.829481908601299</v>
      </c>
      <c r="M5" s="39"/>
      <c r="P5">
        <v>1966</v>
      </c>
    </row>
    <row r="6" spans="1:24">
      <c r="A6">
        <v>1967</v>
      </c>
      <c r="B6">
        <f t="shared" si="0"/>
        <v>46.988941749456956</v>
      </c>
      <c r="D6" s="1"/>
      <c r="F6">
        <f t="shared" si="1"/>
        <v>36.259130940583354</v>
      </c>
      <c r="I6">
        <v>1967</v>
      </c>
      <c r="J6">
        <v>28.436323010512801</v>
      </c>
      <c r="K6">
        <v>28.753490835882602</v>
      </c>
      <c r="M6" s="39"/>
      <c r="P6">
        <v>1967</v>
      </c>
    </row>
    <row r="7" spans="1:24">
      <c r="A7">
        <v>1968</v>
      </c>
      <c r="B7">
        <f t="shared" si="0"/>
        <v>48.514553992250455</v>
      </c>
      <c r="D7" s="1"/>
      <c r="F7">
        <f t="shared" si="1"/>
        <v>39.299008095627613</v>
      </c>
      <c r="I7">
        <v>1968</v>
      </c>
      <c r="J7">
        <v>29.3595785874565</v>
      </c>
      <c r="K7">
        <v>31.164113419832699</v>
      </c>
      <c r="M7" s="39"/>
      <c r="P7">
        <v>1968</v>
      </c>
    </row>
    <row r="8" spans="1:24">
      <c r="A8">
        <v>1969</v>
      </c>
      <c r="B8">
        <f t="shared" si="0"/>
        <v>57.233365282562914</v>
      </c>
      <c r="D8" s="1"/>
      <c r="F8">
        <f t="shared" si="1"/>
        <v>40.923361714487136</v>
      </c>
      <c r="I8">
        <v>1969</v>
      </c>
      <c r="J8">
        <v>34.635946279263401</v>
      </c>
      <c r="K8">
        <v>32.452225839588301</v>
      </c>
      <c r="M8" s="39"/>
      <c r="P8">
        <v>1969</v>
      </c>
    </row>
    <row r="9" spans="1:24">
      <c r="A9">
        <v>1970</v>
      </c>
      <c r="B9">
        <f t="shared" si="0"/>
        <v>63.53040685959364</v>
      </c>
      <c r="D9" s="1"/>
      <c r="F9">
        <f t="shared" si="1"/>
        <v>40.96548653826482</v>
      </c>
      <c r="I9">
        <v>1970</v>
      </c>
      <c r="J9">
        <v>38.446730298402201</v>
      </c>
      <c r="K9">
        <v>32.485630824844002</v>
      </c>
      <c r="M9" s="39"/>
      <c r="P9">
        <v>1970</v>
      </c>
    </row>
    <row r="10" spans="1:24">
      <c r="A10">
        <v>1971</v>
      </c>
      <c r="B10">
        <f t="shared" si="0"/>
        <v>51.957725346890385</v>
      </c>
      <c r="D10" s="1"/>
      <c r="F10">
        <f t="shared" si="1"/>
        <v>44.71369687288562</v>
      </c>
      <c r="I10">
        <v>1971</v>
      </c>
      <c r="J10">
        <v>31.4432844377211</v>
      </c>
      <c r="K10">
        <v>35.457961620198297</v>
      </c>
      <c r="M10" s="39"/>
      <c r="P10">
        <v>1971</v>
      </c>
    </row>
    <row r="11" spans="1:24">
      <c r="A11">
        <v>1972</v>
      </c>
      <c r="B11">
        <f t="shared" si="0"/>
        <v>57.244525165615194</v>
      </c>
      <c r="D11" s="1"/>
      <c r="F11">
        <f t="shared" si="1"/>
        <v>48.487129180037201</v>
      </c>
      <c r="I11">
        <v>1972</v>
      </c>
      <c r="J11">
        <v>34.642699911659001</v>
      </c>
      <c r="K11">
        <v>38.450293439769503</v>
      </c>
      <c r="M11" s="39"/>
      <c r="P11">
        <v>1972</v>
      </c>
    </row>
    <row r="12" spans="1:24">
      <c r="A12">
        <v>1973</v>
      </c>
      <c r="B12">
        <f t="shared" si="0"/>
        <v>63.297495253342944</v>
      </c>
      <c r="D12" s="1"/>
      <c r="F12">
        <f t="shared" si="1"/>
        <v>47.781688161635429</v>
      </c>
      <c r="I12">
        <v>1973</v>
      </c>
      <c r="J12">
        <v>38.305779057074901</v>
      </c>
      <c r="K12">
        <v>37.8908787121769</v>
      </c>
      <c r="M12" s="39"/>
      <c r="P12">
        <v>1973</v>
      </c>
    </row>
    <row r="13" spans="1:24">
      <c r="A13">
        <v>1974</v>
      </c>
      <c r="B13">
        <f t="shared" si="0"/>
        <v>62.31327127096035</v>
      </c>
      <c r="D13" s="1"/>
      <c r="F13">
        <f t="shared" si="1"/>
        <v>47.492912222224085</v>
      </c>
      <c r="I13">
        <v>1974</v>
      </c>
      <c r="J13">
        <v>37.7101557032451</v>
      </c>
      <c r="K13">
        <v>37.661879392223703</v>
      </c>
      <c r="M13" s="39"/>
      <c r="P13">
        <v>1974</v>
      </c>
    </row>
    <row r="14" spans="1:24">
      <c r="A14">
        <v>1975</v>
      </c>
      <c r="B14">
        <f t="shared" si="0"/>
        <v>55.592805033658145</v>
      </c>
      <c r="D14" s="1"/>
      <c r="F14">
        <f t="shared" si="1"/>
        <v>48.272032831129891</v>
      </c>
      <c r="I14">
        <v>1975</v>
      </c>
      <c r="J14">
        <v>33.643127555981501</v>
      </c>
      <c r="K14">
        <v>38.279722035086003</v>
      </c>
      <c r="M14" s="39"/>
      <c r="P14">
        <v>1975</v>
      </c>
    </row>
    <row r="15" spans="1:24">
      <c r="A15">
        <v>1976</v>
      </c>
      <c r="B15">
        <f t="shared" si="0"/>
        <v>60.318953502555765</v>
      </c>
      <c r="D15" s="1"/>
      <c r="F15">
        <f t="shared" si="1"/>
        <v>48.278506818238711</v>
      </c>
      <c r="I15">
        <v>1976</v>
      </c>
      <c r="J15">
        <v>36.503253352680602</v>
      </c>
      <c r="K15">
        <v>38.284855906863299</v>
      </c>
      <c r="M15" s="39"/>
      <c r="P15">
        <v>1976</v>
      </c>
    </row>
    <row r="16" spans="1:24">
      <c r="A16">
        <v>1977</v>
      </c>
      <c r="B16">
        <f t="shared" si="0"/>
        <v>66.115506030622086</v>
      </c>
      <c r="D16" s="1"/>
      <c r="F16">
        <f t="shared" si="1"/>
        <v>51.870683354850947</v>
      </c>
      <c r="I16">
        <v>1977</v>
      </c>
      <c r="J16">
        <v>40.011156146371498</v>
      </c>
      <c r="K16">
        <v>41.1334519003968</v>
      </c>
      <c r="M16" s="39"/>
      <c r="P16">
        <v>1977</v>
      </c>
    </row>
    <row r="17" spans="1:16">
      <c r="A17">
        <v>1978</v>
      </c>
      <c r="B17">
        <f t="shared" si="0"/>
        <v>75.117464838030585</v>
      </c>
      <c r="D17" s="1"/>
      <c r="F17">
        <f t="shared" si="1"/>
        <v>57.975162431125845</v>
      </c>
      <c r="I17">
        <v>1978</v>
      </c>
      <c r="J17">
        <v>45.458876372540601</v>
      </c>
      <c r="K17">
        <v>45.974303807882798</v>
      </c>
      <c r="M17" s="39"/>
      <c r="P17">
        <v>1978</v>
      </c>
    </row>
    <row r="18" spans="1:16">
      <c r="A18">
        <v>1979</v>
      </c>
      <c r="B18">
        <f t="shared" si="0"/>
        <v>79.940626233730967</v>
      </c>
      <c r="D18" s="1"/>
      <c r="F18">
        <f t="shared" si="1"/>
        <v>61.460281457395965</v>
      </c>
      <c r="I18">
        <v>1979</v>
      </c>
      <c r="J18">
        <v>48.377711534040202</v>
      </c>
      <c r="K18">
        <v>48.738003195715002</v>
      </c>
      <c r="M18" s="39"/>
      <c r="P18">
        <v>1979</v>
      </c>
    </row>
    <row r="19" spans="1:16">
      <c r="A19">
        <v>1980</v>
      </c>
      <c r="B19">
        <f t="shared" si="0"/>
        <v>77.83114825022588</v>
      </c>
      <c r="D19" s="1"/>
      <c r="F19">
        <f t="shared" si="1"/>
        <v>65.41610636136204</v>
      </c>
      <c r="I19">
        <v>1980</v>
      </c>
      <c r="J19">
        <v>47.101117614510002</v>
      </c>
      <c r="K19">
        <v>51.874972344560099</v>
      </c>
      <c r="M19" s="39"/>
      <c r="P19">
        <v>1980</v>
      </c>
    </row>
    <row r="20" spans="1:16">
      <c r="A20">
        <v>1981</v>
      </c>
      <c r="B20">
        <f t="shared" si="0"/>
        <v>78.899356060265362</v>
      </c>
      <c r="D20" s="1"/>
      <c r="F20">
        <f t="shared" si="1"/>
        <v>63.137898774826731</v>
      </c>
      <c r="I20">
        <v>1981</v>
      </c>
      <c r="J20">
        <v>47.7475655062416</v>
      </c>
      <c r="K20">
        <v>50.0683537284376</v>
      </c>
      <c r="M20" s="39"/>
      <c r="P20">
        <v>1981</v>
      </c>
    </row>
    <row r="21" spans="1:16">
      <c r="A21">
        <v>1982</v>
      </c>
      <c r="B21">
        <f t="shared" si="0"/>
        <v>70.079901942156624</v>
      </c>
      <c r="D21" s="1"/>
      <c r="F21">
        <f t="shared" si="1"/>
        <v>59.206547502515377</v>
      </c>
      <c r="I21">
        <v>1982</v>
      </c>
      <c r="J21">
        <v>42.410291740508498</v>
      </c>
      <c r="K21">
        <v>46.950792169494697</v>
      </c>
      <c r="M21" s="39"/>
      <c r="P21">
        <v>1982</v>
      </c>
    </row>
    <row r="22" spans="1:16">
      <c r="A22">
        <v>1983</v>
      </c>
      <c r="B22">
        <f t="shared" si="0"/>
        <v>70.886991568704758</v>
      </c>
      <c r="D22" s="1"/>
      <c r="F22">
        <f t="shared" si="1"/>
        <v>51.88183956065901</v>
      </c>
      <c r="I22">
        <v>1983</v>
      </c>
      <c r="J22">
        <v>42.898718601477803</v>
      </c>
      <c r="K22">
        <v>41.142298771602597</v>
      </c>
      <c r="M22" s="39"/>
      <c r="P22">
        <v>1983</v>
      </c>
    </row>
    <row r="23" spans="1:16">
      <c r="A23">
        <v>1984</v>
      </c>
      <c r="B23">
        <f t="shared" si="0"/>
        <v>81.603648065466245</v>
      </c>
      <c r="D23" s="1"/>
      <c r="F23">
        <f t="shared" si="1"/>
        <v>58.114076483921437</v>
      </c>
      <c r="I23">
        <v>1984</v>
      </c>
      <c r="J23">
        <v>49.384123345417201</v>
      </c>
      <c r="K23">
        <v>46.084462651749703</v>
      </c>
      <c r="M23" s="39"/>
      <c r="P23">
        <v>1984</v>
      </c>
    </row>
    <row r="24" spans="1:16">
      <c r="A24">
        <v>1985</v>
      </c>
      <c r="B24">
        <f t="shared" si="0"/>
        <v>78.838392709091309</v>
      </c>
      <c r="D24" s="1"/>
      <c r="F24">
        <f t="shared" si="1"/>
        <v>58.582118020211603</v>
      </c>
      <c r="I24">
        <v>1985</v>
      </c>
      <c r="J24">
        <v>47.710672282405397</v>
      </c>
      <c r="K24">
        <v>46.455619590027801</v>
      </c>
      <c r="M24" s="39"/>
      <c r="P24">
        <v>1985</v>
      </c>
    </row>
    <row r="25" spans="1:16">
      <c r="A25">
        <v>1986</v>
      </c>
      <c r="B25">
        <f t="shared" si="0"/>
        <v>73.433695149199721</v>
      </c>
      <c r="D25" s="1"/>
      <c r="F25">
        <f t="shared" si="1"/>
        <v>55.026532968078683</v>
      </c>
      <c r="I25">
        <v>1986</v>
      </c>
      <c r="J25">
        <v>44.439908569388102</v>
      </c>
      <c r="K25">
        <v>43.6360406436864</v>
      </c>
      <c r="M25" s="39"/>
      <c r="P25">
        <v>1986</v>
      </c>
    </row>
    <row r="26" spans="1:16">
      <c r="A26">
        <v>1987</v>
      </c>
      <c r="B26">
        <f t="shared" si="0"/>
        <v>73.763757144499451</v>
      </c>
      <c r="D26" s="1"/>
      <c r="F26">
        <f t="shared" si="1"/>
        <v>53.63265641218058</v>
      </c>
      <c r="I26">
        <v>1987</v>
      </c>
      <c r="J26">
        <v>44.639652363617003</v>
      </c>
      <c r="K26">
        <v>42.530696534859203</v>
      </c>
      <c r="M26" s="39"/>
      <c r="P26">
        <v>1987</v>
      </c>
    </row>
    <row r="27" spans="1:16">
      <c r="A27">
        <v>1988</v>
      </c>
      <c r="B27">
        <f t="shared" si="0"/>
        <v>84.088255104771108</v>
      </c>
      <c r="D27" s="1"/>
      <c r="F27">
        <f t="shared" si="1"/>
        <v>64.529699983463431</v>
      </c>
      <c r="I27">
        <v>1988</v>
      </c>
      <c r="J27">
        <v>50.887734316283201</v>
      </c>
      <c r="K27">
        <v>51.172052086886502</v>
      </c>
      <c r="M27" s="39"/>
      <c r="P27">
        <v>1988</v>
      </c>
    </row>
    <row r="28" spans="1:16">
      <c r="A28">
        <v>1989</v>
      </c>
      <c r="B28">
        <f t="shared" si="0"/>
        <v>87.065477084340074</v>
      </c>
      <c r="D28" s="1"/>
      <c r="F28">
        <f t="shared" si="1"/>
        <v>65.210882760050183</v>
      </c>
      <c r="I28">
        <v>1989</v>
      </c>
      <c r="J28">
        <v>52.689461334023498</v>
      </c>
      <c r="K28">
        <v>51.712230028719802</v>
      </c>
      <c r="M28" s="39"/>
      <c r="P28">
        <v>1989</v>
      </c>
    </row>
    <row r="29" spans="1:16">
      <c r="A29">
        <v>1990</v>
      </c>
      <c r="B29">
        <f t="shared" si="0"/>
        <v>72.838012537717191</v>
      </c>
      <c r="D29">
        <f t="shared" ref="D29:D58" si="2">N29/0.793</f>
        <v>65.44766708701134</v>
      </c>
      <c r="F29">
        <f t="shared" si="1"/>
        <v>65.864549786033535</v>
      </c>
      <c r="I29">
        <v>1990</v>
      </c>
      <c r="J29">
        <v>44.079419004796897</v>
      </c>
      <c r="K29">
        <v>52.2305879803246</v>
      </c>
      <c r="L29">
        <v>1990</v>
      </c>
      <c r="M29" s="39">
        <v>51900</v>
      </c>
      <c r="N29">
        <f>M29/1000</f>
        <v>51.9</v>
      </c>
      <c r="P29">
        <v>1990</v>
      </c>
    </row>
    <row r="30" spans="1:16">
      <c r="A30">
        <v>1991</v>
      </c>
      <c r="B30">
        <f t="shared" si="0"/>
        <v>63.996627262298219</v>
      </c>
      <c r="D30">
        <f t="shared" si="2"/>
        <v>60.781841109709966</v>
      </c>
      <c r="F30">
        <f t="shared" si="1"/>
        <v>61.909826208130134</v>
      </c>
      <c r="I30">
        <v>1991</v>
      </c>
      <c r="J30">
        <v>38.728873148864501</v>
      </c>
      <c r="K30">
        <v>49.094492183047201</v>
      </c>
      <c r="L30">
        <v>1991</v>
      </c>
      <c r="M30" s="39">
        <v>48200</v>
      </c>
      <c r="N30">
        <f t="shared" ref="N30:N58" si="3">M30/1000</f>
        <v>48.2</v>
      </c>
      <c r="P30">
        <v>1991</v>
      </c>
    </row>
    <row r="31" spans="1:16">
      <c r="A31">
        <v>1992</v>
      </c>
      <c r="B31">
        <f t="shared" si="0"/>
        <v>53.352724418293917</v>
      </c>
      <c r="D31">
        <f t="shared" si="2"/>
        <v>54.0983606557377</v>
      </c>
      <c r="F31">
        <f t="shared" si="1"/>
        <v>54.67340760263594</v>
      </c>
      <c r="I31">
        <v>1992</v>
      </c>
      <c r="J31">
        <v>32.287496771876398</v>
      </c>
      <c r="K31">
        <v>43.3560122288903</v>
      </c>
      <c r="L31">
        <v>1992</v>
      </c>
      <c r="M31" s="39">
        <v>42900</v>
      </c>
      <c r="N31">
        <f t="shared" si="3"/>
        <v>42.9</v>
      </c>
      <c r="P31">
        <v>1992</v>
      </c>
    </row>
    <row r="32" spans="1:16">
      <c r="A32">
        <v>1993</v>
      </c>
      <c r="B32">
        <f t="shared" si="0"/>
        <v>51.542926011387728</v>
      </c>
      <c r="D32">
        <f t="shared" si="2"/>
        <v>43.253467843631775</v>
      </c>
      <c r="F32">
        <f t="shared" si="1"/>
        <v>43.256696382586888</v>
      </c>
      <c r="I32">
        <v>1993</v>
      </c>
      <c r="J32">
        <v>31.192260101999899</v>
      </c>
      <c r="K32">
        <v>34.302560231391404</v>
      </c>
      <c r="L32">
        <v>1993</v>
      </c>
      <c r="M32" s="39">
        <v>34300</v>
      </c>
      <c r="N32">
        <f t="shared" si="3"/>
        <v>34.299999999999997</v>
      </c>
      <c r="P32">
        <v>1993</v>
      </c>
    </row>
    <row r="33" spans="1:16">
      <c r="A33">
        <v>1994</v>
      </c>
      <c r="B33">
        <f t="shared" si="0"/>
        <v>59.727856384937027</v>
      </c>
      <c r="D33">
        <f t="shared" si="2"/>
        <v>42.875157629255988</v>
      </c>
      <c r="F33">
        <f t="shared" si="1"/>
        <v>42.973943182558003</v>
      </c>
      <c r="I33">
        <v>1994</v>
      </c>
      <c r="J33">
        <v>36.145538793863501</v>
      </c>
      <c r="K33">
        <v>34.078336943768498</v>
      </c>
      <c r="L33">
        <v>1994</v>
      </c>
      <c r="M33" s="39">
        <v>34000</v>
      </c>
      <c r="N33">
        <f t="shared" si="3"/>
        <v>34</v>
      </c>
      <c r="P33">
        <v>1994</v>
      </c>
    </row>
    <row r="34" spans="1:16">
      <c r="A34">
        <v>1995</v>
      </c>
      <c r="B34">
        <f t="shared" si="0"/>
        <v>69.132998786635071</v>
      </c>
      <c r="D34">
        <f t="shared" si="2"/>
        <v>48.549810844892811</v>
      </c>
      <c r="F34">
        <f t="shared" si="1"/>
        <v>48.316346335555608</v>
      </c>
      <c r="I34">
        <v>1995</v>
      </c>
      <c r="J34">
        <v>41.8372538514312</v>
      </c>
      <c r="K34">
        <v>38.314862644095598</v>
      </c>
      <c r="L34">
        <v>1995</v>
      </c>
      <c r="M34" s="39">
        <v>38500</v>
      </c>
      <c r="N34">
        <f t="shared" si="3"/>
        <v>38.5</v>
      </c>
      <c r="P34">
        <v>1995</v>
      </c>
    </row>
    <row r="35" spans="1:16">
      <c r="A35">
        <v>1996</v>
      </c>
      <c r="B35">
        <f t="shared" si="0"/>
        <v>58.900190058825032</v>
      </c>
      <c r="D35">
        <f t="shared" si="2"/>
        <v>43.757881462799496</v>
      </c>
      <c r="F35">
        <f t="shared" ref="F35:F52" si="4">K35/0.793</f>
        <v>43.827883686862798</v>
      </c>
      <c r="I35">
        <v>1996</v>
      </c>
      <c r="J35">
        <v>35.6446595206137</v>
      </c>
      <c r="K35">
        <v>34.7555117636822</v>
      </c>
      <c r="L35">
        <v>1996</v>
      </c>
      <c r="M35" s="39">
        <v>34700</v>
      </c>
      <c r="N35">
        <f t="shared" si="3"/>
        <v>34.700000000000003</v>
      </c>
      <c r="P35">
        <v>1996</v>
      </c>
    </row>
    <row r="36" spans="1:16">
      <c r="A36">
        <v>1997</v>
      </c>
      <c r="B36">
        <f t="shared" si="0"/>
        <v>69.23489631759513</v>
      </c>
      <c r="D36">
        <f t="shared" si="2"/>
        <v>41.86633039092056</v>
      </c>
      <c r="F36">
        <f t="shared" si="4"/>
        <v>41.909056405213114</v>
      </c>
      <c r="I36">
        <v>1997</v>
      </c>
      <c r="J36">
        <v>41.898919234742102</v>
      </c>
      <c r="K36">
        <v>33.233881729334001</v>
      </c>
      <c r="L36">
        <v>1997</v>
      </c>
      <c r="M36" s="39">
        <v>33200</v>
      </c>
      <c r="N36">
        <f t="shared" si="3"/>
        <v>33.200000000000003</v>
      </c>
      <c r="P36">
        <v>1997</v>
      </c>
    </row>
    <row r="37" spans="1:16">
      <c r="A37">
        <v>1998</v>
      </c>
      <c r="B37">
        <f t="shared" si="0"/>
        <v>72.659289197284124</v>
      </c>
      <c r="D37">
        <f t="shared" si="2"/>
        <v>46.658259773013867</v>
      </c>
      <c r="F37">
        <f t="shared" si="4"/>
        <v>46.648192979482218</v>
      </c>
      <c r="H37">
        <v>47856.391048334197</v>
      </c>
      <c r="I37">
        <v>1998</v>
      </c>
      <c r="J37">
        <v>43.971260905276999</v>
      </c>
      <c r="K37">
        <v>36.9920170327294</v>
      </c>
      <c r="L37">
        <v>1998</v>
      </c>
      <c r="M37" s="39">
        <v>37000</v>
      </c>
      <c r="N37">
        <f t="shared" si="3"/>
        <v>37</v>
      </c>
      <c r="P37">
        <v>1998</v>
      </c>
    </row>
    <row r="38" spans="1:16">
      <c r="A38">
        <v>1999</v>
      </c>
      <c r="B38">
        <f t="shared" si="0"/>
        <v>72.85221639258539</v>
      </c>
      <c r="D38">
        <f t="shared" si="2"/>
        <v>47.540983606557376</v>
      </c>
      <c r="F38">
        <f t="shared" si="4"/>
        <v>47.65580040838335</v>
      </c>
      <c r="H38">
        <v>32430.884518822699</v>
      </c>
      <c r="I38">
        <v>1999</v>
      </c>
      <c r="J38">
        <v>44.088014759244402</v>
      </c>
      <c r="K38">
        <v>37.791049723847998</v>
      </c>
      <c r="L38">
        <v>1999</v>
      </c>
      <c r="M38" s="39">
        <v>37700</v>
      </c>
      <c r="N38">
        <f t="shared" si="3"/>
        <v>37.700000000000003</v>
      </c>
      <c r="P38">
        <v>1999</v>
      </c>
    </row>
    <row r="39" spans="1:16" ht="16">
      <c r="A39">
        <v>2000</v>
      </c>
      <c r="B39">
        <f t="shared" si="0"/>
        <v>78.463150743026134</v>
      </c>
      <c r="C39" s="2"/>
      <c r="D39">
        <f t="shared" si="2"/>
        <v>55.485498108448922</v>
      </c>
      <c r="F39">
        <f t="shared" si="4"/>
        <v>56.000731858695964</v>
      </c>
      <c r="H39">
        <v>23876.734292761899</v>
      </c>
      <c r="I39">
        <v>2000</v>
      </c>
      <c r="J39">
        <v>47.483586901103898</v>
      </c>
      <c r="K39">
        <v>44.408580363945902</v>
      </c>
      <c r="L39">
        <v>2000</v>
      </c>
      <c r="M39" s="39">
        <v>44000</v>
      </c>
      <c r="N39">
        <f t="shared" si="3"/>
        <v>44</v>
      </c>
      <c r="P39">
        <v>2000</v>
      </c>
    </row>
    <row r="40" spans="1:16">
      <c r="A40">
        <v>2001</v>
      </c>
      <c r="B40">
        <f t="shared" si="0"/>
        <v>86.601337665140946</v>
      </c>
      <c r="D40">
        <f t="shared" si="2"/>
        <v>64.060529634300124</v>
      </c>
      <c r="E40">
        <f t="shared" ref="E40:E49" si="5">B40*$V$51</f>
        <v>20.512336614116734</v>
      </c>
      <c r="F40">
        <f t="shared" si="4"/>
        <v>63.901267757618541</v>
      </c>
      <c r="H40">
        <v>39448.334861792398</v>
      </c>
      <c r="I40">
        <v>2001</v>
      </c>
      <c r="J40">
        <v>52.408577833462203</v>
      </c>
      <c r="K40">
        <v>50.673705331791503</v>
      </c>
      <c r="L40">
        <v>2001</v>
      </c>
      <c r="M40" s="40">
        <v>50800</v>
      </c>
      <c r="N40">
        <f t="shared" si="3"/>
        <v>50.8</v>
      </c>
      <c r="P40">
        <v>2001</v>
      </c>
    </row>
    <row r="41" spans="1:16">
      <c r="A41">
        <v>2002</v>
      </c>
      <c r="B41">
        <f t="shared" si="0"/>
        <v>71.714475073169083</v>
      </c>
      <c r="D41">
        <f t="shared" si="2"/>
        <v>59.268600252206809</v>
      </c>
      <c r="E41">
        <f t="shared" si="5"/>
        <v>16.986244005762654</v>
      </c>
      <c r="F41">
        <f t="shared" si="4"/>
        <v>81.559427673510214</v>
      </c>
      <c r="H41">
        <v>26504.446194084401</v>
      </c>
      <c r="I41">
        <v>2002</v>
      </c>
      <c r="J41">
        <v>43.399487236453297</v>
      </c>
      <c r="K41">
        <v>64.676626145093607</v>
      </c>
      <c r="L41">
        <v>2002</v>
      </c>
      <c r="M41" s="40">
        <v>47000</v>
      </c>
      <c r="N41">
        <f t="shared" si="3"/>
        <v>47</v>
      </c>
      <c r="P41">
        <v>2002</v>
      </c>
    </row>
    <row r="42" spans="1:16">
      <c r="A42">
        <v>2003</v>
      </c>
      <c r="B42">
        <f t="shared" si="0"/>
        <v>87.332218131039497</v>
      </c>
      <c r="D42">
        <f t="shared" si="2"/>
        <v>59.52080706179067</v>
      </c>
      <c r="E42">
        <f t="shared" si="5"/>
        <v>20.685452486750975</v>
      </c>
      <c r="F42">
        <f t="shared" si="4"/>
        <v>61.21136281365397</v>
      </c>
      <c r="H42">
        <v>21779.491120956001</v>
      </c>
      <c r="I42">
        <v>2003</v>
      </c>
      <c r="J42">
        <v>52.8508851559208</v>
      </c>
      <c r="K42">
        <v>48.5406107112276</v>
      </c>
      <c r="L42">
        <v>2003</v>
      </c>
      <c r="M42" s="40">
        <v>47200</v>
      </c>
      <c r="N42">
        <f t="shared" si="3"/>
        <v>47.2</v>
      </c>
      <c r="P42">
        <v>2003</v>
      </c>
    </row>
    <row r="43" spans="1:16">
      <c r="A43">
        <v>2004</v>
      </c>
      <c r="B43">
        <f t="shared" si="0"/>
        <v>88.303028464829268</v>
      </c>
      <c r="D43">
        <f t="shared" si="2"/>
        <v>83.606557377049171</v>
      </c>
      <c r="E43">
        <f t="shared" si="5"/>
        <v>20.915397992121321</v>
      </c>
      <c r="F43">
        <f t="shared" si="4"/>
        <v>82.760176172666817</v>
      </c>
      <c r="H43">
        <v>22182.250237905799</v>
      </c>
      <c r="I43">
        <v>2004</v>
      </c>
      <c r="J43">
        <v>53.438390964857398</v>
      </c>
      <c r="K43">
        <v>65.628819704924794</v>
      </c>
      <c r="L43">
        <v>2004</v>
      </c>
      <c r="M43" s="40">
        <v>66300</v>
      </c>
      <c r="N43">
        <f t="shared" si="3"/>
        <v>66.3</v>
      </c>
      <c r="P43">
        <v>2004</v>
      </c>
    </row>
    <row r="44" spans="1:16">
      <c r="A44">
        <v>2005</v>
      </c>
      <c r="B44">
        <f t="shared" si="0"/>
        <v>104.86905149710884</v>
      </c>
      <c r="D44">
        <f t="shared" si="2"/>
        <v>75.031525851197983</v>
      </c>
      <c r="E44">
        <f t="shared" si="5"/>
        <v>24.839215452184757</v>
      </c>
      <c r="F44">
        <f t="shared" si="4"/>
        <v>76.190547508081082</v>
      </c>
      <c r="H44">
        <v>40577.525011456899</v>
      </c>
      <c r="I44">
        <v>2005</v>
      </c>
      <c r="J44">
        <v>63.463659983624801</v>
      </c>
      <c r="K44">
        <v>60.419104173908302</v>
      </c>
      <c r="L44">
        <v>2005</v>
      </c>
      <c r="M44" s="40">
        <v>59500</v>
      </c>
      <c r="N44">
        <f t="shared" si="3"/>
        <v>59.5</v>
      </c>
      <c r="P44">
        <v>2005</v>
      </c>
    </row>
    <row r="45" spans="1:16">
      <c r="A45">
        <v>2006</v>
      </c>
      <c r="B45">
        <f t="shared" si="0"/>
        <v>119.77956811680441</v>
      </c>
      <c r="D45">
        <f t="shared" si="2"/>
        <v>71.37452711223203</v>
      </c>
      <c r="E45">
        <f t="shared" si="5"/>
        <v>28.370910738188279</v>
      </c>
      <c r="F45">
        <f t="shared" si="4"/>
        <v>71.245435860835187</v>
      </c>
      <c r="H45">
        <v>41413.418073763103</v>
      </c>
      <c r="I45">
        <v>2006</v>
      </c>
      <c r="J45">
        <v>72.487065301242595</v>
      </c>
      <c r="K45">
        <v>56.497630637642303</v>
      </c>
      <c r="L45">
        <v>2006</v>
      </c>
      <c r="M45" s="40">
        <v>56600</v>
      </c>
      <c r="N45">
        <f t="shared" si="3"/>
        <v>56.6</v>
      </c>
      <c r="P45">
        <v>2006</v>
      </c>
    </row>
    <row r="46" spans="1:16">
      <c r="A46">
        <v>2007</v>
      </c>
      <c r="B46">
        <f t="shared" si="0"/>
        <v>119.95013356484384</v>
      </c>
      <c r="D46">
        <f t="shared" si="2"/>
        <v>67.591424968474143</v>
      </c>
      <c r="E46">
        <f t="shared" si="5"/>
        <v>28.411310759472599</v>
      </c>
      <c r="F46">
        <f t="shared" si="4"/>
        <v>68.615738927737951</v>
      </c>
      <c r="H46">
        <v>35409.922775194398</v>
      </c>
      <c r="I46">
        <v>2007</v>
      </c>
      <c r="J46">
        <v>72.590286484659401</v>
      </c>
      <c r="K46">
        <v>54.412280969696198</v>
      </c>
      <c r="L46">
        <v>2007</v>
      </c>
      <c r="M46" s="40">
        <v>53600</v>
      </c>
      <c r="N46">
        <f t="shared" si="3"/>
        <v>53.6</v>
      </c>
      <c r="P46">
        <v>2007</v>
      </c>
    </row>
    <row r="47" spans="1:16">
      <c r="A47">
        <v>2008</v>
      </c>
      <c r="B47">
        <f t="shared" si="0"/>
        <v>115.45936908702687</v>
      </c>
      <c r="D47">
        <f t="shared" si="2"/>
        <v>78.058007566204282</v>
      </c>
      <c r="E47">
        <f t="shared" si="5"/>
        <v>27.347631200850969</v>
      </c>
      <c r="F47">
        <f t="shared" si="4"/>
        <v>79.974081852786753</v>
      </c>
      <c r="H47">
        <v>27317.827712638202</v>
      </c>
      <c r="I47">
        <v>2008</v>
      </c>
      <c r="J47">
        <v>69.872608143737494</v>
      </c>
      <c r="K47">
        <v>63.419446909259896</v>
      </c>
      <c r="L47">
        <v>2008</v>
      </c>
      <c r="M47" s="40">
        <v>61900</v>
      </c>
      <c r="N47">
        <f t="shared" si="3"/>
        <v>61.9</v>
      </c>
      <c r="P47">
        <v>2008</v>
      </c>
    </row>
    <row r="48" spans="1:16">
      <c r="A48">
        <v>2009</v>
      </c>
      <c r="B48">
        <f t="shared" si="0"/>
        <v>90.488303945095865</v>
      </c>
      <c r="D48">
        <f t="shared" si="2"/>
        <v>77.175283732660787</v>
      </c>
      <c r="E48">
        <f t="shared" si="5"/>
        <v>21.433000923604066</v>
      </c>
      <c r="F48">
        <f t="shared" si="4"/>
        <v>76.427803447236812</v>
      </c>
      <c r="H48">
        <v>33654.299942306199</v>
      </c>
      <c r="I48">
        <v>2009</v>
      </c>
      <c r="J48">
        <v>54.760855296042998</v>
      </c>
      <c r="K48">
        <v>60.6072481336588</v>
      </c>
      <c r="L48">
        <v>2009</v>
      </c>
      <c r="M48" s="40">
        <v>61200</v>
      </c>
      <c r="N48">
        <f t="shared" si="3"/>
        <v>61.2</v>
      </c>
      <c r="P48">
        <v>2009</v>
      </c>
    </row>
    <row r="49" spans="1:23">
      <c r="A49">
        <v>2010</v>
      </c>
      <c r="B49">
        <f t="shared" si="0"/>
        <v>116.57429999899013</v>
      </c>
      <c r="D49">
        <f t="shared" si="2"/>
        <v>86.254728877679696</v>
      </c>
      <c r="E49">
        <f t="shared" si="5"/>
        <v>27.611713012798319</v>
      </c>
      <c r="F49">
        <f t="shared" si="4"/>
        <v>86.085805765465068</v>
      </c>
      <c r="G49">
        <f>95-71</f>
        <v>24</v>
      </c>
      <c r="H49">
        <v>31034.4992617559</v>
      </c>
      <c r="I49">
        <v>2010</v>
      </c>
      <c r="J49">
        <v>70.547331480050104</v>
      </c>
      <c r="K49">
        <v>68.266043972013804</v>
      </c>
      <c r="L49">
        <v>2010</v>
      </c>
      <c r="M49" s="40">
        <v>68400</v>
      </c>
      <c r="N49">
        <f t="shared" si="3"/>
        <v>68.400000000000006</v>
      </c>
      <c r="P49">
        <v>2010</v>
      </c>
    </row>
    <row r="50" spans="1:23">
      <c r="A50">
        <v>2011</v>
      </c>
      <c r="B50">
        <f t="shared" si="0"/>
        <v>132.9808735953348</v>
      </c>
      <c r="D50">
        <f t="shared" si="2"/>
        <v>93.190416141235815</v>
      </c>
      <c r="E50">
        <f>B50*$V$51</f>
        <v>31.497763382987525</v>
      </c>
      <c r="F50">
        <f t="shared" si="4"/>
        <v>93.077727415523071</v>
      </c>
      <c r="H50">
        <v>44354.091109228699</v>
      </c>
      <c r="I50">
        <v>2011</v>
      </c>
      <c r="J50">
        <v>80.476106398391394</v>
      </c>
      <c r="K50">
        <v>73.810637840509798</v>
      </c>
      <c r="L50">
        <v>2011</v>
      </c>
      <c r="M50" s="40">
        <v>73900</v>
      </c>
      <c r="N50">
        <f t="shared" si="3"/>
        <v>73.900000000000006</v>
      </c>
      <c r="P50">
        <v>2011</v>
      </c>
    </row>
    <row r="51" spans="1:23">
      <c r="A51">
        <v>2012</v>
      </c>
      <c r="B51">
        <f>J51/0.793+T51</f>
        <v>125.79095207312068</v>
      </c>
      <c r="D51">
        <f t="shared" si="2"/>
        <v>97.98234552332913</v>
      </c>
      <c r="E51">
        <f>T51</f>
        <v>27.958895843514121</v>
      </c>
      <c r="F51">
        <f t="shared" si="4"/>
        <v>96.016274758026853</v>
      </c>
      <c r="H51">
        <v>42672.701779857998</v>
      </c>
      <c r="I51">
        <v>2012</v>
      </c>
      <c r="J51">
        <v>77.580820590078005</v>
      </c>
      <c r="K51">
        <v>76.140905883115295</v>
      </c>
      <c r="L51">
        <v>2012</v>
      </c>
      <c r="M51" s="40">
        <v>77700</v>
      </c>
      <c r="N51">
        <f t="shared" si="3"/>
        <v>77.7</v>
      </c>
      <c r="P51">
        <v>2012</v>
      </c>
      <c r="Q51">
        <v>71.434376127781206</v>
      </c>
      <c r="R51">
        <v>22.171404403906699</v>
      </c>
      <c r="S51">
        <f>Q51/0.793</f>
        <v>90.081180489005305</v>
      </c>
      <c r="T51">
        <f>R51/0.793</f>
        <v>27.958895843514121</v>
      </c>
      <c r="U51">
        <f>SUM(S51:T51)</f>
        <v>118.04007633251942</v>
      </c>
      <c r="V51">
        <f>T51/U51</f>
        <v>0.23685935075773576</v>
      </c>
    </row>
    <row r="52" spans="1:23">
      <c r="A52">
        <v>2013</v>
      </c>
      <c r="B52">
        <f>J52/0.793+T52</f>
        <v>131.05650302795272</v>
      </c>
      <c r="D52">
        <f t="shared" si="2"/>
        <v>100.12610340479193</v>
      </c>
      <c r="E52">
        <f t="shared" ref="E52:E58" si="6">T52</f>
        <v>29.514041105524967</v>
      </c>
      <c r="F52">
        <f t="shared" si="4"/>
        <v>90.375621617537334</v>
      </c>
      <c r="H52">
        <v>35517.8988771738</v>
      </c>
      <c r="I52">
        <v>2013</v>
      </c>
      <c r="J52">
        <v>80.5231723044852</v>
      </c>
      <c r="K52">
        <v>71.667867942707105</v>
      </c>
      <c r="L52">
        <v>2013</v>
      </c>
      <c r="M52" s="40">
        <v>79400</v>
      </c>
      <c r="N52">
        <f t="shared" si="3"/>
        <v>79.400000000000006</v>
      </c>
      <c r="P52">
        <v>2013</v>
      </c>
      <c r="Q52">
        <v>75.209215715230599</v>
      </c>
      <c r="R52">
        <v>23.404634596681301</v>
      </c>
      <c r="S52">
        <f t="shared" ref="S52:S57" si="7">Q52/0.793</f>
        <v>94.841381734212604</v>
      </c>
      <c r="T52">
        <f t="shared" ref="T52:T57" si="8">R52/0.793</f>
        <v>29.514041105524967</v>
      </c>
      <c r="U52">
        <f t="shared" ref="U52:U57" si="9">SUM(S52:T52)</f>
        <v>124.35542283973757</v>
      </c>
      <c r="V52">
        <f t="shared" ref="V52:V57" si="10">T52/U52</f>
        <v>0.23733618069524029</v>
      </c>
      <c r="W52">
        <f>U52/U51</f>
        <v>1.0535017148703614</v>
      </c>
    </row>
    <row r="53" spans="1:23">
      <c r="A53">
        <v>2014</v>
      </c>
      <c r="B53">
        <f>U53</f>
        <v>132.41753918280932</v>
      </c>
      <c r="D53">
        <f t="shared" si="2"/>
        <v>103.53089533417401</v>
      </c>
      <c r="E53">
        <f t="shared" si="6"/>
        <v>31.504776902555484</v>
      </c>
      <c r="H53">
        <v>35455.052541671903</v>
      </c>
      <c r="L53">
        <v>2014</v>
      </c>
      <c r="M53" s="40">
        <v>82100</v>
      </c>
      <c r="N53">
        <f t="shared" si="3"/>
        <v>82.1</v>
      </c>
      <c r="P53">
        <v>2014</v>
      </c>
      <c r="Q53">
        <v>80.023820488241299</v>
      </c>
      <c r="R53">
        <v>24.983288083726499</v>
      </c>
      <c r="S53">
        <f t="shared" si="7"/>
        <v>100.91276228025384</v>
      </c>
      <c r="T53">
        <f t="shared" si="8"/>
        <v>31.504776902555484</v>
      </c>
      <c r="U53">
        <f t="shared" si="9"/>
        <v>132.41753918280932</v>
      </c>
      <c r="V53">
        <f t="shared" si="10"/>
        <v>0.23791996964285445</v>
      </c>
      <c r="W53">
        <f t="shared" ref="W53:W57" si="11">U53/U52</f>
        <v>1.0648312406404807</v>
      </c>
    </row>
    <row r="54" spans="1:23">
      <c r="A54">
        <v>2015</v>
      </c>
      <c r="B54">
        <f t="shared" ref="B54:B57" si="12">U54</f>
        <v>138.88572254104488</v>
      </c>
      <c r="D54">
        <f t="shared" si="2"/>
        <v>105.54854981084489</v>
      </c>
      <c r="E54">
        <f t="shared" si="6"/>
        <v>33.790607931759261</v>
      </c>
      <c r="H54">
        <v>37507.360979880898</v>
      </c>
      <c r="L54">
        <v>2015</v>
      </c>
      <c r="M54" s="40">
        <v>83700</v>
      </c>
      <c r="N54">
        <f t="shared" si="3"/>
        <v>83.7</v>
      </c>
      <c r="P54">
        <v>2015</v>
      </c>
      <c r="Q54">
        <v>83.340425885163498</v>
      </c>
      <c r="R54">
        <v>26.795952089885098</v>
      </c>
      <c r="S54">
        <f t="shared" si="7"/>
        <v>105.09511460928562</v>
      </c>
      <c r="T54">
        <f t="shared" si="8"/>
        <v>33.790607931759261</v>
      </c>
      <c r="U54">
        <f t="shared" si="9"/>
        <v>138.88572254104488</v>
      </c>
      <c r="V54">
        <f t="shared" si="10"/>
        <v>0.24329792374283199</v>
      </c>
      <c r="W54">
        <f t="shared" si="11"/>
        <v>1.0488468778241371</v>
      </c>
    </row>
    <row r="55" spans="1:23">
      <c r="A55">
        <v>2016</v>
      </c>
      <c r="B55">
        <f t="shared" si="12"/>
        <v>145.20106904826332</v>
      </c>
      <c r="D55">
        <f t="shared" si="2"/>
        <v>98.865069356872638</v>
      </c>
      <c r="E55">
        <f t="shared" si="6"/>
        <v>36.804480110690918</v>
      </c>
      <c r="H55">
        <v>30239.132840999999</v>
      </c>
      <c r="L55">
        <v>2016</v>
      </c>
      <c r="M55" s="40">
        <v>78400</v>
      </c>
      <c r="N55">
        <f t="shared" si="3"/>
        <v>78.400000000000006</v>
      </c>
      <c r="P55">
        <v>2016</v>
      </c>
      <c r="Q55">
        <v>85.958495027494905</v>
      </c>
      <c r="R55">
        <v>29.185952727777899</v>
      </c>
      <c r="S55">
        <f t="shared" si="7"/>
        <v>108.39658893757239</v>
      </c>
      <c r="T55">
        <f t="shared" si="8"/>
        <v>36.804480110690918</v>
      </c>
      <c r="U55">
        <f t="shared" si="9"/>
        <v>145.20106904826332</v>
      </c>
      <c r="V55">
        <f t="shared" si="10"/>
        <v>0.25347251471308035</v>
      </c>
      <c r="W55">
        <f t="shared" si="11"/>
        <v>1.0454715314985099</v>
      </c>
    </row>
    <row r="56" spans="1:23">
      <c r="A56">
        <v>2017</v>
      </c>
      <c r="B56">
        <f t="shared" si="12"/>
        <v>149.33361441503138</v>
      </c>
      <c r="D56">
        <f t="shared" si="2"/>
        <v>102.64817150063053</v>
      </c>
      <c r="E56">
        <f t="shared" si="6"/>
        <v>39.671686212690915</v>
      </c>
      <c r="H56">
        <v>30869.3828799494</v>
      </c>
      <c r="L56">
        <v>2017</v>
      </c>
      <c r="M56" s="40">
        <v>81400</v>
      </c>
      <c r="N56">
        <f t="shared" si="3"/>
        <v>81.400000000000006</v>
      </c>
      <c r="P56">
        <v>2017</v>
      </c>
      <c r="Q56">
        <v>86.961909064455995</v>
      </c>
      <c r="R56">
        <v>31.459647166663899</v>
      </c>
      <c r="S56">
        <f t="shared" si="7"/>
        <v>109.66192820234046</v>
      </c>
      <c r="T56">
        <f t="shared" si="8"/>
        <v>39.671686212690915</v>
      </c>
      <c r="U56">
        <f t="shared" si="9"/>
        <v>149.33361441503138</v>
      </c>
      <c r="V56">
        <f t="shared" si="10"/>
        <v>0.26565811299815234</v>
      </c>
      <c r="W56">
        <f t="shared" si="11"/>
        <v>1.0284608466993754</v>
      </c>
    </row>
    <row r="57" spans="1:23">
      <c r="A57">
        <v>2018</v>
      </c>
      <c r="B57">
        <f t="shared" si="12"/>
        <v>154.34042623888098</v>
      </c>
      <c r="D57">
        <f t="shared" si="2"/>
        <v>103.65699873896595</v>
      </c>
      <c r="E57">
        <f t="shared" si="6"/>
        <v>42.977127467175535</v>
      </c>
      <c r="H57">
        <v>32248.938214135502</v>
      </c>
      <c r="L57">
        <v>2018</v>
      </c>
      <c r="M57" s="40">
        <v>82200</v>
      </c>
      <c r="N57">
        <f t="shared" si="3"/>
        <v>82.2</v>
      </c>
      <c r="P57">
        <v>2018</v>
      </c>
      <c r="Q57">
        <v>88.311095925962405</v>
      </c>
      <c r="R57">
        <v>34.080862081470201</v>
      </c>
      <c r="S57">
        <f t="shared" si="7"/>
        <v>111.36329877170543</v>
      </c>
      <c r="T57">
        <f t="shared" si="8"/>
        <v>42.977127467175535</v>
      </c>
      <c r="U57">
        <f t="shared" si="9"/>
        <v>154.34042623888098</v>
      </c>
      <c r="V57">
        <f t="shared" si="10"/>
        <v>0.27845671101528202</v>
      </c>
      <c r="W57">
        <f t="shared" si="11"/>
        <v>1.0335276946417071</v>
      </c>
    </row>
    <row r="58" spans="1:23">
      <c r="A58">
        <v>2019</v>
      </c>
      <c r="B58">
        <f>B57*AVERAGE(W55:W57)</f>
        <v>159.86890405412231</v>
      </c>
      <c r="D58">
        <f t="shared" si="2"/>
        <v>105.67465321563681</v>
      </c>
      <c r="E58">
        <f t="shared" si="6"/>
        <v>44.516569216528588</v>
      </c>
      <c r="H58">
        <v>26543.561302749298</v>
      </c>
      <c r="L58">
        <v>2019</v>
      </c>
      <c r="M58" s="40">
        <v>83800</v>
      </c>
      <c r="N58">
        <f t="shared" si="3"/>
        <v>83.8</v>
      </c>
      <c r="P58">
        <v>2019</v>
      </c>
      <c r="T58">
        <f>B58*V57</f>
        <v>44.516569216528588</v>
      </c>
    </row>
    <row r="59" spans="1:23">
      <c r="A59">
        <v>2020</v>
      </c>
      <c r="H59">
        <v>35694.1531627062</v>
      </c>
    </row>
    <row r="60" spans="1:23">
      <c r="A60">
        <v>2021</v>
      </c>
      <c r="H60">
        <v>26540.941357142401</v>
      </c>
    </row>
    <row r="61" spans="1:23">
      <c r="A61">
        <v>2022</v>
      </c>
      <c r="H61">
        <v>23696.988413765801</v>
      </c>
    </row>
  </sheetData>
  <hyperlinks>
    <hyperlink ref="D2" r:id="rId1" location="tungsten, using 0.793 W fraction of WO3 to convert from W content to WO3" xr:uid="{BF6C4004-0780-AD44-B728-E0C63F9DE10C}"/>
    <hyperlink ref="B2" r:id="rId2" display="https://www.researchgate.net/publication/315920289_Global_Tungsten_Demand_and_Supply_Forecast" xr:uid="{0FAB8B54-1C9D-B445-BE4A-E05A6B03C0A7}"/>
    <hyperlink ref="J2" r:id="rId3" display="https://www.researchgate.net/publication/315920289_Global_Tungsten_Demand_and_Supply_Forecast" xr:uid="{5DEAD42D-DFE1-B24F-880E-087158281F3F}"/>
    <hyperlink ref="K2" r:id="rId4" display="https://www.researchgate.net/publication/315920289_Global_Tungsten_Demand_and_Supply_Forecast" xr:uid="{92D0D816-4E04-1A42-A580-9FA6098BDC41}"/>
    <hyperlink ref="F2" r:id="rId5" display="https://www.researchgate.net/publication/315920289_Global_Tungsten_Demand_and_Supply_Forecast" xr:uid="{C4106C57-B560-604C-AE0E-7E0E02A93AD4}"/>
    <hyperlink ref="G2" r:id="rId6" display="https://www.itia.info/tungsten-primary-uses.html" xr:uid="{ECABD5FF-8D79-C240-A786-983B0C065151}"/>
    <hyperlink ref="Q2" r:id="rId7" display="https://www.rmd-1994.com/info/recovery-and-utilization-of-tungsten-30733684.html" xr:uid="{B6ACA849-E9A2-4D4A-9A23-6668AF414A88}"/>
    <hyperlink ref="R2" r:id="rId8" display="https://www.rmd-1994.com/info/recovery-and-utilization-of-tungsten-30733684.html" xr:uid="{6B20E410-50FB-0947-990B-2F88D7388BCF}"/>
    <hyperlink ref="X2" r:id="rId9" display="https://nextinvestors.com/articles/new-look-sei-verge-tungsten-production/" xr:uid="{15966F23-1B48-394D-820B-7F90C60B956E}"/>
    <hyperlink ref="S2" r:id="rId10" display="https://www.rmd-1994.com/info/recovery-and-utilization-of-tungsten-30733684.html" xr:uid="{ED92B677-D83F-0C49-BFE5-4B5F24BA91BE}"/>
    <hyperlink ref="T2" r:id="rId11" display="https://www.rmd-1994.com/info/recovery-and-utilization-of-tungsten-30733684.html" xr:uid="{5C55C5E6-1199-1847-ADDB-9143950888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F35"/>
  <sheetViews>
    <sheetView topLeftCell="A6" workbookViewId="0">
      <selection activeCell="E32" sqref="E32"/>
    </sheetView>
  </sheetViews>
  <sheetFormatPr baseColWidth="10" defaultColWidth="8.83203125" defaultRowHeight="15"/>
  <sheetData>
    <row r="1" spans="1:6">
      <c r="B1" t="s">
        <v>176</v>
      </c>
      <c r="C1" t="s">
        <v>180</v>
      </c>
      <c r="D1" t="s">
        <v>181</v>
      </c>
      <c r="E1" t="s">
        <v>187</v>
      </c>
      <c r="F1" t="s">
        <v>551</v>
      </c>
    </row>
    <row r="2" spans="1:6">
      <c r="A2" t="s">
        <v>173</v>
      </c>
      <c r="B2" s="1" t="s">
        <v>298</v>
      </c>
      <c r="D2" s="1" t="s">
        <v>298</v>
      </c>
      <c r="E2" s="1" t="s">
        <v>552</v>
      </c>
    </row>
    <row r="3" spans="1:6">
      <c r="A3">
        <v>1990</v>
      </c>
      <c r="B3">
        <v>227.46799999999999</v>
      </c>
      <c r="D3">
        <v>210.60900000000001</v>
      </c>
      <c r="E3">
        <f t="shared" ref="E3:E32" si="0">B3-D3</f>
        <v>16.85899999999998</v>
      </c>
      <c r="F3">
        <v>22075.4896286037</v>
      </c>
    </row>
    <row r="4" spans="1:6">
      <c r="A4">
        <v>1991</v>
      </c>
      <c r="B4">
        <v>203.57</v>
      </c>
      <c r="D4">
        <v>193.32499999999999</v>
      </c>
      <c r="E4">
        <f t="shared" si="0"/>
        <v>10.245000000000005</v>
      </c>
      <c r="F4">
        <v>20090.971238515402</v>
      </c>
    </row>
    <row r="5" spans="1:6">
      <c r="A5">
        <v>1992</v>
      </c>
      <c r="B5">
        <v>203.13800000000001</v>
      </c>
      <c r="D5">
        <v>185.542</v>
      </c>
      <c r="E5">
        <f t="shared" si="0"/>
        <v>17.596000000000004</v>
      </c>
      <c r="F5">
        <v>21645.991721302202</v>
      </c>
    </row>
    <row r="6" spans="1:6">
      <c r="A6">
        <v>1993</v>
      </c>
      <c r="B6">
        <v>197.32599999999999</v>
      </c>
      <c r="D6">
        <v>185.87700000000001</v>
      </c>
      <c r="E6">
        <f t="shared" si="0"/>
        <v>11.448999999999984</v>
      </c>
      <c r="F6">
        <v>18981.9033544257</v>
      </c>
    </row>
    <row r="7" spans="1:6">
      <c r="A7">
        <v>1994</v>
      </c>
      <c r="B7">
        <v>231.25700000000001</v>
      </c>
      <c r="D7">
        <v>184.40899999999999</v>
      </c>
      <c r="E7">
        <f t="shared" si="0"/>
        <v>46.848000000000013</v>
      </c>
      <c r="F7">
        <v>20213.3480108367</v>
      </c>
    </row>
    <row r="8" spans="1:6">
      <c r="A8">
        <v>1995</v>
      </c>
      <c r="B8">
        <v>219.834</v>
      </c>
      <c r="D8">
        <v>198.006</v>
      </c>
      <c r="E8">
        <f t="shared" si="0"/>
        <v>21.828000000000003</v>
      </c>
      <c r="F8">
        <v>21282.1853825531</v>
      </c>
    </row>
    <row r="9" spans="1:6">
      <c r="A9">
        <v>1996</v>
      </c>
      <c r="B9">
        <v>230.744</v>
      </c>
      <c r="D9">
        <v>223.40100000000001</v>
      </c>
      <c r="E9">
        <f t="shared" si="0"/>
        <v>7.3429999999999893</v>
      </c>
      <c r="F9">
        <v>18737.699480381001</v>
      </c>
    </row>
    <row r="10" spans="1:6">
      <c r="A10">
        <v>1997</v>
      </c>
      <c r="B10">
        <v>238.179</v>
      </c>
      <c r="D10">
        <v>221.51599999999999</v>
      </c>
      <c r="E10">
        <f t="shared" si="0"/>
        <v>16.663000000000011</v>
      </c>
      <c r="F10">
        <v>17172.538076847301</v>
      </c>
    </row>
    <row r="11" spans="1:6">
      <c r="A11">
        <v>1998</v>
      </c>
      <c r="B11">
        <v>237.03</v>
      </c>
      <c r="D11">
        <v>212.01400000000001</v>
      </c>
      <c r="E11">
        <f t="shared" si="0"/>
        <v>25.015999999999991</v>
      </c>
      <c r="F11">
        <v>19508.933682212501</v>
      </c>
    </row>
    <row r="12" spans="1:6">
      <c r="A12">
        <v>1999</v>
      </c>
      <c r="B12">
        <v>248.10300000000001</v>
      </c>
      <c r="D12">
        <v>220.06200000000001</v>
      </c>
      <c r="E12">
        <f t="shared" si="0"/>
        <v>28.040999999999997</v>
      </c>
      <c r="F12">
        <v>16317.337623990201</v>
      </c>
    </row>
    <row r="13" spans="1:6">
      <c r="A13">
        <v>2000</v>
      </c>
      <c r="B13">
        <v>260.66899999999998</v>
      </c>
      <c r="D13">
        <v>249.02600000000001</v>
      </c>
      <c r="E13">
        <f t="shared" si="0"/>
        <v>11.642999999999972</v>
      </c>
      <c r="F13">
        <v>12423.613936158399</v>
      </c>
    </row>
    <row r="14" spans="1:6" ht="16">
      <c r="A14">
        <v>2001</v>
      </c>
      <c r="B14">
        <v>280.69499999999999</v>
      </c>
      <c r="C14" s="2"/>
      <c r="D14" s="2">
        <v>244.29499999999999</v>
      </c>
      <c r="E14">
        <f t="shared" si="0"/>
        <v>36.400000000000006</v>
      </c>
      <c r="F14">
        <v>10833.273186525999</v>
      </c>
    </row>
    <row r="15" spans="1:6">
      <c r="A15">
        <v>2002</v>
      </c>
      <c r="B15">
        <v>264.428</v>
      </c>
      <c r="D15">
        <v>234.91499999999999</v>
      </c>
      <c r="E15">
        <f t="shared" si="0"/>
        <v>29.513000000000005</v>
      </c>
      <c r="F15">
        <v>9742.8967610483996</v>
      </c>
    </row>
    <row r="16" spans="1:6">
      <c r="A16">
        <v>2003</v>
      </c>
      <c r="B16">
        <v>275.28199999999998</v>
      </c>
      <c r="D16">
        <v>257.041</v>
      </c>
      <c r="E16">
        <f t="shared" si="0"/>
        <v>18.240999999999985</v>
      </c>
      <c r="F16">
        <v>10353.194813747999</v>
      </c>
    </row>
    <row r="17" spans="1:6">
      <c r="A17">
        <v>2004</v>
      </c>
      <c r="B17">
        <v>313.08999999999997</v>
      </c>
      <c r="D17">
        <v>285.44200000000001</v>
      </c>
      <c r="E17">
        <f t="shared" si="0"/>
        <v>27.647999999999968</v>
      </c>
      <c r="F17">
        <v>14542.854026709099</v>
      </c>
    </row>
    <row r="18" spans="1:6">
      <c r="A18">
        <v>2005</v>
      </c>
      <c r="B18">
        <v>333.6</v>
      </c>
      <c r="D18">
        <v>297.81200000000001</v>
      </c>
      <c r="E18">
        <f t="shared" si="0"/>
        <v>35.788000000000011</v>
      </c>
      <c r="F18">
        <v>10739.2486950206</v>
      </c>
    </row>
    <row r="19" spans="1:6">
      <c r="A19">
        <v>2006</v>
      </c>
      <c r="B19">
        <v>327.00200000000001</v>
      </c>
      <c r="D19">
        <v>296.48</v>
      </c>
      <c r="E19">
        <f t="shared" si="0"/>
        <v>30.521999999999991</v>
      </c>
      <c r="F19">
        <v>11175.297869346299</v>
      </c>
    </row>
    <row r="20" spans="1:6">
      <c r="A20">
        <v>2007</v>
      </c>
      <c r="B20">
        <v>335.40800000000002</v>
      </c>
      <c r="D20">
        <v>342.53100000000001</v>
      </c>
      <c r="E20">
        <v>16</v>
      </c>
      <c r="F20">
        <v>16553.966030646799</v>
      </c>
    </row>
    <row r="21" spans="1:6">
      <c r="A21">
        <v>2008</v>
      </c>
      <c r="B21">
        <v>326.262</v>
      </c>
      <c r="D21">
        <v>313.90699999999998</v>
      </c>
      <c r="E21">
        <f t="shared" si="0"/>
        <v>12.355000000000018</v>
      </c>
      <c r="F21">
        <v>17305.133861407401</v>
      </c>
    </row>
    <row r="22" spans="1:6">
      <c r="A22">
        <v>2009</v>
      </c>
      <c r="B22">
        <v>318.16300000000001</v>
      </c>
      <c r="D22">
        <v>314.53899999999999</v>
      </c>
      <c r="E22">
        <f t="shared" si="0"/>
        <v>3.6240000000000236</v>
      </c>
      <c r="F22">
        <v>16679.1028281662</v>
      </c>
    </row>
    <row r="23" spans="1:6">
      <c r="A23">
        <v>2010</v>
      </c>
      <c r="B23">
        <v>351.84800000000001</v>
      </c>
      <c r="D23">
        <v>328.03500000000003</v>
      </c>
      <c r="E23">
        <f t="shared" si="0"/>
        <v>23.812999999999988</v>
      </c>
      <c r="F23">
        <v>21277.2331914813</v>
      </c>
    </row>
    <row r="24" spans="1:6">
      <c r="A24">
        <v>2011</v>
      </c>
      <c r="B24">
        <v>364.58600000000001</v>
      </c>
      <c r="D24">
        <v>327.23700000000002</v>
      </c>
      <c r="E24">
        <f t="shared" si="0"/>
        <v>37.34899999999999</v>
      </c>
      <c r="F24">
        <v>23895.676873698299</v>
      </c>
    </row>
    <row r="25" spans="1:6">
      <c r="A25">
        <v>2012</v>
      </c>
      <c r="B25">
        <v>357.89600000000002</v>
      </c>
      <c r="D25">
        <v>314.19900000000001</v>
      </c>
      <c r="E25">
        <f t="shared" si="0"/>
        <v>43.697000000000003</v>
      </c>
      <c r="F25">
        <v>19202.100419041999</v>
      </c>
    </row>
    <row r="26" spans="1:6">
      <c r="A26">
        <v>2013</v>
      </c>
      <c r="B26">
        <v>346.137</v>
      </c>
      <c r="D26">
        <v>297.916</v>
      </c>
      <c r="E26">
        <f t="shared" si="0"/>
        <v>48.221000000000004</v>
      </c>
      <c r="F26">
        <v>19530.238003963401</v>
      </c>
    </row>
    <row r="27" spans="1:6">
      <c r="A27">
        <v>2014</v>
      </c>
      <c r="B27">
        <v>391.78300000000002</v>
      </c>
      <c r="D27">
        <v>311.27699999999999</v>
      </c>
      <c r="E27">
        <f t="shared" si="0"/>
        <v>80.506000000000029</v>
      </c>
      <c r="F27">
        <v>19302.9329259611</v>
      </c>
    </row>
    <row r="28" spans="1:6">
      <c r="A28">
        <v>2015</v>
      </c>
      <c r="B28">
        <v>348.48</v>
      </c>
      <c r="D28">
        <v>315.57100000000003</v>
      </c>
      <c r="E28">
        <f t="shared" si="0"/>
        <v>32.908999999999992</v>
      </c>
      <c r="F28">
        <v>19428.094015755101</v>
      </c>
    </row>
    <row r="29" spans="1:6">
      <c r="A29">
        <v>2016</v>
      </c>
      <c r="B29">
        <v>362.06099999999998</v>
      </c>
      <c r="D29">
        <v>315.89999999999998</v>
      </c>
      <c r="E29">
        <f t="shared" si="0"/>
        <v>46.161000000000001</v>
      </c>
      <c r="F29">
        <v>22333.796599118799</v>
      </c>
    </row>
    <row r="30" spans="1:6">
      <c r="A30">
        <v>2017</v>
      </c>
      <c r="B30">
        <v>369.08800000000002</v>
      </c>
      <c r="D30">
        <v>336.887</v>
      </c>
      <c r="E30">
        <f t="shared" si="0"/>
        <v>32.201000000000022</v>
      </c>
      <c r="F30">
        <v>22326.444927860801</v>
      </c>
    </row>
    <row r="31" spans="1:6">
      <c r="A31">
        <v>2018</v>
      </c>
      <c r="B31">
        <v>373.03500000000003</v>
      </c>
      <c r="D31">
        <v>324.733</v>
      </c>
      <c r="E31">
        <f t="shared" si="0"/>
        <v>48.302000000000021</v>
      </c>
      <c r="F31">
        <v>19302.386793037302</v>
      </c>
    </row>
    <row r="32" spans="1:6">
      <c r="A32">
        <v>2019</v>
      </c>
      <c r="B32">
        <v>371.81700000000001</v>
      </c>
      <c r="D32">
        <v>310.661</v>
      </c>
      <c r="E32">
        <f t="shared" si="0"/>
        <v>61.156000000000006</v>
      </c>
      <c r="F32">
        <v>18663.5846720421</v>
      </c>
    </row>
    <row r="33" spans="1:6">
      <c r="A33">
        <v>2020</v>
      </c>
      <c r="B33">
        <v>367.46699999999998</v>
      </c>
      <c r="D33">
        <v>278.34100000000001</v>
      </c>
      <c r="E33">
        <f>B33-D33</f>
        <v>89.125999999999976</v>
      </c>
      <c r="F33">
        <v>21317.748371502101</v>
      </c>
    </row>
    <row r="34" spans="1:6">
      <c r="A34">
        <v>2021</v>
      </c>
      <c r="F34">
        <v>28323.060881936901</v>
      </c>
    </row>
    <row r="35" spans="1:6">
      <c r="A35">
        <v>2022</v>
      </c>
      <c r="F35">
        <v>31580.049014696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AH55"/>
  <sheetViews>
    <sheetView topLeftCell="D1" workbookViewId="0">
      <selection activeCell="G14" sqref="G14"/>
    </sheetView>
  </sheetViews>
  <sheetFormatPr baseColWidth="10" defaultColWidth="8.83203125" defaultRowHeight="15"/>
  <sheetData>
    <row r="1" spans="1:34">
      <c r="B1" t="s">
        <v>176</v>
      </c>
      <c r="C1" t="s">
        <v>180</v>
      </c>
      <c r="D1" t="s">
        <v>181</v>
      </c>
      <c r="E1" t="s">
        <v>187</v>
      </c>
      <c r="F1" t="s">
        <v>551</v>
      </c>
      <c r="H1" t="s">
        <v>24</v>
      </c>
      <c r="I1" t="s">
        <v>24</v>
      </c>
      <c r="K1" t="s">
        <v>487</v>
      </c>
      <c r="L1" t="s">
        <v>487</v>
      </c>
      <c r="M1" t="s">
        <v>487</v>
      </c>
      <c r="N1" t="s">
        <v>487</v>
      </c>
      <c r="O1" t="s">
        <v>487</v>
      </c>
      <c r="P1" t="s">
        <v>487</v>
      </c>
      <c r="T1" t="s">
        <v>500</v>
      </c>
      <c r="U1" t="s">
        <v>489</v>
      </c>
      <c r="V1" t="s">
        <v>501</v>
      </c>
      <c r="W1" t="s">
        <v>492</v>
      </c>
      <c r="X1" t="s">
        <v>493</v>
      </c>
      <c r="Y1" t="s">
        <v>494</v>
      </c>
      <c r="Z1" t="s">
        <v>502</v>
      </c>
      <c r="AA1" t="s">
        <v>490</v>
      </c>
      <c r="AB1" t="s">
        <v>503</v>
      </c>
      <c r="AC1" t="s">
        <v>491</v>
      </c>
      <c r="AD1" t="s">
        <v>498</v>
      </c>
      <c r="AE1" t="s">
        <v>504</v>
      </c>
      <c r="AF1" t="s">
        <v>505</v>
      </c>
      <c r="AG1" t="s">
        <v>506</v>
      </c>
      <c r="AH1" t="s">
        <v>507</v>
      </c>
    </row>
    <row r="2" spans="1:34">
      <c r="A2" t="s">
        <v>173</v>
      </c>
      <c r="B2" t="s">
        <v>497</v>
      </c>
      <c r="D2" t="s">
        <v>497</v>
      </c>
      <c r="E2" t="s">
        <v>499</v>
      </c>
      <c r="H2" t="s">
        <v>485</v>
      </c>
      <c r="K2" t="s">
        <v>486</v>
      </c>
      <c r="L2" t="s">
        <v>545</v>
      </c>
      <c r="M2" t="s">
        <v>486</v>
      </c>
      <c r="N2" t="s">
        <v>546</v>
      </c>
      <c r="O2" t="s">
        <v>547</v>
      </c>
      <c r="P2" t="s">
        <v>488</v>
      </c>
      <c r="T2" t="s">
        <v>496</v>
      </c>
      <c r="U2" t="s">
        <v>496</v>
      </c>
      <c r="V2" t="s">
        <v>496</v>
      </c>
      <c r="W2" t="s">
        <v>495</v>
      </c>
      <c r="X2" t="s">
        <v>495</v>
      </c>
      <c r="Y2" t="s">
        <v>495</v>
      </c>
      <c r="Z2" t="s">
        <v>497</v>
      </c>
      <c r="AA2" t="s">
        <v>497</v>
      </c>
      <c r="AB2" t="s">
        <v>497</v>
      </c>
      <c r="AC2" t="s">
        <v>497</v>
      </c>
      <c r="AD2" t="s">
        <v>499</v>
      </c>
    </row>
    <row r="3" spans="1:34" ht="16">
      <c r="A3">
        <v>1969</v>
      </c>
      <c r="C3" s="2"/>
      <c r="H3">
        <v>1971</v>
      </c>
      <c r="I3">
        <v>1522.6014490853499</v>
      </c>
    </row>
    <row r="4" spans="1:34">
      <c r="A4">
        <v>1970</v>
      </c>
      <c r="B4">
        <f>AE4</f>
        <v>2.2699788307351114</v>
      </c>
      <c r="D4">
        <f>Z4</f>
        <v>2.8134635883784336</v>
      </c>
      <c r="E4">
        <f>AD4</f>
        <v>0.39085117116064511</v>
      </c>
      <c r="F4">
        <v>102006.56794655501</v>
      </c>
      <c r="H4">
        <v>1972</v>
      </c>
      <c r="I4">
        <v>2007.4413155930399</v>
      </c>
      <c r="K4">
        <v>2000</v>
      </c>
      <c r="L4">
        <v>5166.6666666666597</v>
      </c>
      <c r="M4">
        <v>1999.8892307692299</v>
      </c>
      <c r="N4">
        <v>3782.6086956521699</v>
      </c>
      <c r="O4">
        <f>L4-N4</f>
        <v>1384.0579710144898</v>
      </c>
      <c r="P4">
        <f>O4/2204.62</f>
        <v>0.62779888190005073</v>
      </c>
      <c r="T4">
        <v>1152.1144915554601</v>
      </c>
      <c r="U4">
        <v>742.32600707221695</v>
      </c>
      <c r="V4">
        <v>769.50354609929002</v>
      </c>
      <c r="W4">
        <v>17.3707878147308</v>
      </c>
      <c r="X4">
        <v>142.68292682926801</v>
      </c>
      <c r="Y4">
        <f>SUM(W4:X4)</f>
        <v>160.0537146439988</v>
      </c>
      <c r="Z4">
        <f>T4*2.442/1000</f>
        <v>2.8134635883784336</v>
      </c>
      <c r="AA4">
        <f>U4*2.442/1000</f>
        <v>1.812760109270354</v>
      </c>
      <c r="AB4">
        <f>V4*2.442/1000</f>
        <v>1.8791276595744664</v>
      </c>
      <c r="AC4">
        <f>Z4-AA4</f>
        <v>1.0007034791080796</v>
      </c>
      <c r="AD4">
        <f>Y4*2.442/1000</f>
        <v>0.39085117116064511</v>
      </c>
      <c r="AE4">
        <f>AD4+AB4</f>
        <v>2.2699788307351114</v>
      </c>
    </row>
    <row r="5" spans="1:34">
      <c r="A5">
        <v>1971</v>
      </c>
      <c r="B5">
        <f t="shared" ref="B5:B49" si="0">AE5</f>
        <v>2.2115085383540842</v>
      </c>
      <c r="D5">
        <f t="shared" ref="D5:D49" si="1">Z5</f>
        <v>2.7071034080863878</v>
      </c>
      <c r="E5">
        <f t="shared" ref="E5:E49" si="2">AD5</f>
        <v>0.3980592576225751</v>
      </c>
      <c r="F5">
        <v>62703.785568730404</v>
      </c>
      <c r="H5">
        <v>1973</v>
      </c>
      <c r="I5">
        <v>2519.0368810062901</v>
      </c>
      <c r="K5">
        <v>2001</v>
      </c>
      <c r="L5">
        <v>4963.7681159420199</v>
      </c>
      <c r="M5">
        <v>2001.0338461538399</v>
      </c>
      <c r="N5">
        <v>4311.5942028985501</v>
      </c>
      <c r="O5">
        <f t="shared" ref="O5:O16" si="3">L5-N5</f>
        <v>652.17391304346984</v>
      </c>
      <c r="P5">
        <f t="shared" ref="P5:P16" si="4">O5/2204.62</f>
        <v>0.29582146267541337</v>
      </c>
      <c r="T5">
        <v>1108.55995417133</v>
      </c>
      <c r="U5">
        <v>692.49172473303099</v>
      </c>
      <c r="V5">
        <v>742.60822306777595</v>
      </c>
      <c r="W5">
        <v>27.8102482264005</v>
      </c>
      <c r="X5">
        <v>135.19518077547301</v>
      </c>
      <c r="Y5">
        <f t="shared" ref="Y5:Y49" si="5">SUM(W5:X5)</f>
        <v>163.00542900187349</v>
      </c>
      <c r="Z5">
        <f t="shared" ref="Z5:Z49" si="6">T5*2.442/1000</f>
        <v>2.7071034080863878</v>
      </c>
      <c r="AA5">
        <f t="shared" ref="AA5:AA49" si="7">U5*2.442/1000</f>
        <v>1.6910647917980619</v>
      </c>
      <c r="AB5">
        <f t="shared" ref="AB5:AB49" si="8">V5*2.442/1000</f>
        <v>1.813449280731509</v>
      </c>
      <c r="AC5">
        <f t="shared" ref="AC5:AC49" si="9">Z5-AA5</f>
        <v>1.0160386162883259</v>
      </c>
      <c r="AD5">
        <f t="shared" ref="AD5:AD49" si="10">Y5*2.442/1000</f>
        <v>0.3980592576225751</v>
      </c>
      <c r="AE5">
        <f t="shared" ref="AE5:AE49" si="11">AD5+AB5</f>
        <v>2.2115085383540842</v>
      </c>
      <c r="AF5">
        <f>AE5/AE4</f>
        <v>0.97424192173541457</v>
      </c>
      <c r="AG5">
        <f>Z5/Z4</f>
        <v>0.96219599900585617</v>
      </c>
      <c r="AH5">
        <f>AD5/AD4</f>
        <v>1.018442023444692</v>
      </c>
    </row>
    <row r="6" spans="1:34">
      <c r="A6">
        <v>1972</v>
      </c>
      <c r="B6">
        <f t="shared" si="0"/>
        <v>2.5635396078361561</v>
      </c>
      <c r="D6">
        <f t="shared" si="1"/>
        <v>2.6170536737169696</v>
      </c>
      <c r="E6">
        <f t="shared" si="2"/>
        <v>0.45933236149448592</v>
      </c>
      <c r="F6">
        <v>90905.714661692095</v>
      </c>
      <c r="H6">
        <v>1974</v>
      </c>
      <c r="I6">
        <v>2864.9529034499401</v>
      </c>
      <c r="K6">
        <v>2002</v>
      </c>
      <c r="L6">
        <v>4971.0144927536203</v>
      </c>
      <c r="M6">
        <v>2001.7907692307599</v>
      </c>
      <c r="N6">
        <v>4456.5217391304304</v>
      </c>
      <c r="O6">
        <f t="shared" si="3"/>
        <v>514.49275362318986</v>
      </c>
      <c r="P6">
        <f t="shared" si="4"/>
        <v>0.23337026499949645</v>
      </c>
      <c r="T6">
        <v>1071.68455107165</v>
      </c>
      <c r="U6">
        <v>596.41371378036195</v>
      </c>
      <c r="V6">
        <v>861.67372905064303</v>
      </c>
      <c r="W6">
        <v>33.593083275335097</v>
      </c>
      <c r="X6">
        <v>154.503706853447</v>
      </c>
      <c r="Y6">
        <f t="shared" si="5"/>
        <v>188.09679012878209</v>
      </c>
      <c r="Z6">
        <f t="shared" si="6"/>
        <v>2.6170536737169696</v>
      </c>
      <c r="AA6">
        <f t="shared" si="7"/>
        <v>1.456442289051644</v>
      </c>
      <c r="AB6">
        <f t="shared" si="8"/>
        <v>2.1042072463416703</v>
      </c>
      <c r="AC6">
        <f t="shared" si="9"/>
        <v>1.1606113846653257</v>
      </c>
      <c r="AD6">
        <f t="shared" si="10"/>
        <v>0.45933236149448592</v>
      </c>
      <c r="AE6">
        <f t="shared" si="11"/>
        <v>2.5635396078361561</v>
      </c>
      <c r="AF6">
        <f t="shared" ref="AF6:AF49" si="12">AE6/AE5</f>
        <v>1.1591814200021453</v>
      </c>
      <c r="AG6">
        <f t="shared" ref="AG6:AG49" si="13">Z6/Z5</f>
        <v>0.96673576114586879</v>
      </c>
      <c r="AH6">
        <f t="shared" ref="AH6:AH49" si="14">AD6/AD5</f>
        <v>1.1539296039435607</v>
      </c>
    </row>
    <row r="7" spans="1:34">
      <c r="A7">
        <v>1973</v>
      </c>
      <c r="B7">
        <f t="shared" si="0"/>
        <v>2.9233448234300417</v>
      </c>
      <c r="D7">
        <f t="shared" si="1"/>
        <v>2.7102356477186387</v>
      </c>
      <c r="E7">
        <f t="shared" si="2"/>
        <v>0.4904366667822182</v>
      </c>
      <c r="F7">
        <v>256084.92591603601</v>
      </c>
      <c r="H7">
        <v>1975</v>
      </c>
      <c r="I7">
        <v>2187.6597648393699</v>
      </c>
      <c r="K7">
        <v>2003</v>
      </c>
      <c r="L7">
        <v>4869.5652173913004</v>
      </c>
      <c r="M7">
        <v>2002.99076923076</v>
      </c>
      <c r="N7">
        <v>3905.79710144927</v>
      </c>
      <c r="O7">
        <f t="shared" si="3"/>
        <v>963.76811594203036</v>
      </c>
      <c r="P7">
        <f t="shared" si="4"/>
        <v>0.4371583837314505</v>
      </c>
      <c r="T7">
        <v>1109.84260758339</v>
      </c>
      <c r="U7">
        <v>612.37687701669199</v>
      </c>
      <c r="V7">
        <v>996.27688642417002</v>
      </c>
      <c r="W7">
        <v>33.107618084457201</v>
      </c>
      <c r="X7">
        <v>167.726397796877</v>
      </c>
      <c r="Y7">
        <f t="shared" si="5"/>
        <v>200.83401588133421</v>
      </c>
      <c r="Z7">
        <f t="shared" si="6"/>
        <v>2.7102356477186387</v>
      </c>
      <c r="AA7">
        <f t="shared" si="7"/>
        <v>1.4954243336747619</v>
      </c>
      <c r="AB7">
        <f t="shared" si="8"/>
        <v>2.4329081566478234</v>
      </c>
      <c r="AC7">
        <f t="shared" si="9"/>
        <v>1.2148113140438768</v>
      </c>
      <c r="AD7">
        <f t="shared" si="10"/>
        <v>0.4904366667822182</v>
      </c>
      <c r="AE7">
        <f t="shared" si="11"/>
        <v>2.9233448234300417</v>
      </c>
      <c r="AF7">
        <f t="shared" si="12"/>
        <v>1.1403548494019922</v>
      </c>
      <c r="AG7">
        <f t="shared" si="13"/>
        <v>1.0356056793704669</v>
      </c>
      <c r="AH7">
        <f t="shared" si="14"/>
        <v>1.0677163376569663</v>
      </c>
    </row>
    <row r="8" spans="1:34">
      <c r="A8">
        <v>1974</v>
      </c>
      <c r="B8">
        <f t="shared" si="0"/>
        <v>3.2790442776426945</v>
      </c>
      <c r="D8">
        <f t="shared" si="1"/>
        <v>2.6339742345404455</v>
      </c>
      <c r="E8">
        <f t="shared" si="2"/>
        <v>0.55809683881405037</v>
      </c>
      <c r="F8">
        <v>202055.544492213</v>
      </c>
      <c r="H8">
        <v>1976</v>
      </c>
      <c r="I8">
        <v>2192.4698150118402</v>
      </c>
      <c r="K8">
        <v>2004</v>
      </c>
      <c r="L8">
        <v>4565.2173913043398</v>
      </c>
      <c r="M8">
        <v>2003.85846153846</v>
      </c>
      <c r="N8">
        <v>3717.3913043478201</v>
      </c>
      <c r="O8">
        <f t="shared" si="3"/>
        <v>847.8260869565197</v>
      </c>
      <c r="P8">
        <f t="shared" si="4"/>
        <v>0.38456790147804143</v>
      </c>
      <c r="T8">
        <v>1078.61352765784</v>
      </c>
      <c r="U8">
        <v>639.005585801763</v>
      </c>
      <c r="V8">
        <v>1114.22909042942</v>
      </c>
      <c r="W8">
        <v>32.317935352445602</v>
      </c>
      <c r="X8">
        <v>196.22294868279201</v>
      </c>
      <c r="Y8">
        <f t="shared" si="5"/>
        <v>228.54088403523761</v>
      </c>
      <c r="Z8">
        <f t="shared" si="6"/>
        <v>2.6339742345404455</v>
      </c>
      <c r="AA8">
        <f t="shared" si="7"/>
        <v>1.5604516405279052</v>
      </c>
      <c r="AB8">
        <f t="shared" si="8"/>
        <v>2.7209474388286439</v>
      </c>
      <c r="AC8">
        <f t="shared" si="9"/>
        <v>1.0735225940125404</v>
      </c>
      <c r="AD8">
        <f t="shared" si="10"/>
        <v>0.55809683881405037</v>
      </c>
      <c r="AE8">
        <f t="shared" si="11"/>
        <v>3.2790442776426945</v>
      </c>
      <c r="AF8">
        <f t="shared" si="12"/>
        <v>1.1216755038139157</v>
      </c>
      <c r="AG8">
        <f t="shared" si="13"/>
        <v>0.97186170389191551</v>
      </c>
      <c r="AH8">
        <f t="shared" si="14"/>
        <v>1.1379590406152833</v>
      </c>
    </row>
    <row r="9" spans="1:34">
      <c r="A9">
        <v>1975</v>
      </c>
      <c r="B9">
        <f t="shared" si="0"/>
        <v>1.9651869606709611</v>
      </c>
      <c r="D9">
        <f t="shared" si="1"/>
        <v>2.45716571627168</v>
      </c>
      <c r="E9">
        <f t="shared" si="2"/>
        <v>0.3552662727955056</v>
      </c>
      <c r="F9">
        <v>219642.540423156</v>
      </c>
      <c r="H9">
        <v>1977</v>
      </c>
      <c r="I9">
        <v>2259.2982612467199</v>
      </c>
      <c r="K9">
        <v>2005</v>
      </c>
      <c r="L9">
        <v>4420.2898550724603</v>
      </c>
      <c r="M9">
        <v>2004.81846153846</v>
      </c>
      <c r="N9">
        <v>3579.7101449275301</v>
      </c>
      <c r="O9">
        <f t="shared" si="3"/>
        <v>840.57971014493023</v>
      </c>
      <c r="P9">
        <f t="shared" si="4"/>
        <v>0.38128099633720564</v>
      </c>
      <c r="T9">
        <v>1006.2103670236201</v>
      </c>
      <c r="U9">
        <v>604.38507442841001</v>
      </c>
      <c r="V9">
        <v>659.26318094817998</v>
      </c>
      <c r="W9">
        <v>31.127511717372698</v>
      </c>
      <c r="X9">
        <v>114.35417247407101</v>
      </c>
      <c r="Y9">
        <f t="shared" si="5"/>
        <v>145.48168419144372</v>
      </c>
      <c r="Z9">
        <f t="shared" si="6"/>
        <v>2.45716571627168</v>
      </c>
      <c r="AA9">
        <f t="shared" si="7"/>
        <v>1.4759083517541773</v>
      </c>
      <c r="AB9">
        <f t="shared" si="8"/>
        <v>1.6099206878754555</v>
      </c>
      <c r="AC9">
        <f t="shared" si="9"/>
        <v>0.98125736451750267</v>
      </c>
      <c r="AD9">
        <f t="shared" si="10"/>
        <v>0.3552662727955056</v>
      </c>
      <c r="AE9">
        <f t="shared" si="11"/>
        <v>1.9651869606709611</v>
      </c>
      <c r="AF9">
        <f t="shared" si="12"/>
        <v>0.59931699430534513</v>
      </c>
      <c r="AG9">
        <f t="shared" si="13"/>
        <v>0.93287386188133548</v>
      </c>
      <c r="AH9">
        <f t="shared" si="14"/>
        <v>0.63656743433709917</v>
      </c>
    </row>
    <row r="10" spans="1:34">
      <c r="A10">
        <v>1976</v>
      </c>
      <c r="B10">
        <f t="shared" si="0"/>
        <v>2.9842695144068454</v>
      </c>
      <c r="D10">
        <f t="shared" si="1"/>
        <v>2.6443956878350989</v>
      </c>
      <c r="E10">
        <f t="shared" si="2"/>
        <v>0.53125506342936579</v>
      </c>
      <c r="F10">
        <v>266717.36287096399</v>
      </c>
      <c r="H10">
        <v>1978</v>
      </c>
      <c r="I10">
        <v>2369.5312112910001</v>
      </c>
      <c r="K10">
        <v>2006</v>
      </c>
      <c r="L10">
        <v>4572.4637681159402</v>
      </c>
      <c r="M10">
        <v>2005.90769230769</v>
      </c>
      <c r="N10">
        <v>3971.0144927536198</v>
      </c>
      <c r="O10">
        <f t="shared" si="3"/>
        <v>601.44927536232035</v>
      </c>
      <c r="P10">
        <f t="shared" si="4"/>
        <v>0.2728131266895521</v>
      </c>
      <c r="T10">
        <v>1082.8811170495901</v>
      </c>
      <c r="U10">
        <v>529.16101281853605</v>
      </c>
      <c r="V10">
        <v>1004.5104221857</v>
      </c>
      <c r="W10">
        <v>56.712551090039298</v>
      </c>
      <c r="X10">
        <v>160.83661493345201</v>
      </c>
      <c r="Y10">
        <f t="shared" si="5"/>
        <v>217.5491660234913</v>
      </c>
      <c r="Z10">
        <f t="shared" si="6"/>
        <v>2.6443956878350989</v>
      </c>
      <c r="AA10">
        <f t="shared" si="7"/>
        <v>1.292211193302865</v>
      </c>
      <c r="AB10">
        <f t="shared" si="8"/>
        <v>2.4530144509774794</v>
      </c>
      <c r="AC10">
        <f t="shared" si="9"/>
        <v>1.3521844945322339</v>
      </c>
      <c r="AD10">
        <f t="shared" si="10"/>
        <v>0.53125506342936579</v>
      </c>
      <c r="AE10">
        <f t="shared" si="11"/>
        <v>2.9842695144068454</v>
      </c>
      <c r="AF10">
        <f t="shared" si="12"/>
        <v>1.5185677363684245</v>
      </c>
      <c r="AG10">
        <f t="shared" si="13"/>
        <v>1.0761975353650577</v>
      </c>
      <c r="AH10">
        <f t="shared" si="14"/>
        <v>1.4953715117650948</v>
      </c>
    </row>
    <row r="11" spans="1:34">
      <c r="A11">
        <v>1977</v>
      </c>
      <c r="B11">
        <f t="shared" si="0"/>
        <v>3.2374674581629801</v>
      </c>
      <c r="D11">
        <f t="shared" si="1"/>
        <v>2.5717463892143599</v>
      </c>
      <c r="E11">
        <f t="shared" si="2"/>
        <v>0.62094672830879216</v>
      </c>
      <c r="F11">
        <v>396702.59070046601</v>
      </c>
      <c r="H11">
        <v>1979</v>
      </c>
      <c r="I11">
        <v>2502.9387032168502</v>
      </c>
      <c r="K11">
        <v>2007</v>
      </c>
      <c r="L11">
        <v>4557.9710144927503</v>
      </c>
      <c r="M11">
        <v>2007.0523076923</v>
      </c>
      <c r="N11">
        <v>4007.2463768115899</v>
      </c>
      <c r="O11">
        <f t="shared" si="3"/>
        <v>550.7246376811604</v>
      </c>
      <c r="P11">
        <f t="shared" si="4"/>
        <v>0.24980479070368608</v>
      </c>
      <c r="T11">
        <v>1053.1311995144799</v>
      </c>
      <c r="U11">
        <v>585.24765281266502</v>
      </c>
      <c r="V11">
        <v>1071.4663103416001</v>
      </c>
      <c r="W11">
        <v>72.612893744882896</v>
      </c>
      <c r="X11">
        <v>181.665045775507</v>
      </c>
      <c r="Y11">
        <f t="shared" si="5"/>
        <v>254.27793952038991</v>
      </c>
      <c r="Z11">
        <f t="shared" si="6"/>
        <v>2.5717463892143599</v>
      </c>
      <c r="AA11">
        <f t="shared" si="7"/>
        <v>1.4291747681685281</v>
      </c>
      <c r="AB11">
        <f t="shared" si="8"/>
        <v>2.6165207298541877</v>
      </c>
      <c r="AC11">
        <f t="shared" si="9"/>
        <v>1.1425716210458319</v>
      </c>
      <c r="AD11">
        <f t="shared" si="10"/>
        <v>0.62094672830879216</v>
      </c>
      <c r="AE11">
        <f t="shared" si="11"/>
        <v>3.2374674581629801</v>
      </c>
      <c r="AF11">
        <f t="shared" si="12"/>
        <v>1.0848441947129097</v>
      </c>
      <c r="AG11">
        <f t="shared" si="13"/>
        <v>0.97252706962314883</v>
      </c>
      <c r="AH11">
        <f t="shared" si="14"/>
        <v>1.1688297600411512</v>
      </c>
    </row>
    <row r="12" spans="1:34">
      <c r="A12">
        <v>1978</v>
      </c>
      <c r="B12">
        <f t="shared" si="0"/>
        <v>3.4326945651294043</v>
      </c>
      <c r="D12">
        <f t="shared" si="1"/>
        <v>2.2156339988918736</v>
      </c>
      <c r="E12">
        <f t="shared" si="2"/>
        <v>0.69615981007580874</v>
      </c>
      <c r="F12">
        <v>836211.86097543896</v>
      </c>
      <c r="H12">
        <v>1980</v>
      </c>
      <c r="I12">
        <v>3051.0795765570701</v>
      </c>
      <c r="K12">
        <v>2008</v>
      </c>
      <c r="L12">
        <v>4123.1884057971001</v>
      </c>
      <c r="M12">
        <v>2008.0123076923001</v>
      </c>
      <c r="N12">
        <v>3623.1884057971001</v>
      </c>
      <c r="O12">
        <f t="shared" si="3"/>
        <v>500</v>
      </c>
      <c r="P12">
        <f t="shared" si="4"/>
        <v>0.22679645471781987</v>
      </c>
      <c r="T12">
        <v>907.30302984925197</v>
      </c>
      <c r="U12">
        <v>535.92419516541997</v>
      </c>
      <c r="V12">
        <v>1120.61210280655</v>
      </c>
      <c r="W12">
        <v>88.007503103836996</v>
      </c>
      <c r="X12">
        <v>197.07022419993399</v>
      </c>
      <c r="Y12">
        <f t="shared" si="5"/>
        <v>285.07772730377098</v>
      </c>
      <c r="Z12">
        <f t="shared" si="6"/>
        <v>2.2156339988918736</v>
      </c>
      <c r="AA12">
        <f t="shared" si="7"/>
        <v>1.3087268845939557</v>
      </c>
      <c r="AB12">
        <f t="shared" si="8"/>
        <v>2.7365347550535954</v>
      </c>
      <c r="AC12">
        <f t="shared" si="9"/>
        <v>0.90690711429791793</v>
      </c>
      <c r="AD12">
        <f t="shared" si="10"/>
        <v>0.69615981007580874</v>
      </c>
      <c r="AE12">
        <f t="shared" si="11"/>
        <v>3.4326945651294043</v>
      </c>
      <c r="AF12">
        <f t="shared" si="12"/>
        <v>1.0603024152332949</v>
      </c>
      <c r="AG12">
        <f t="shared" si="13"/>
        <v>0.8615289626473337</v>
      </c>
      <c r="AH12">
        <f t="shared" si="14"/>
        <v>1.1211264643778165</v>
      </c>
    </row>
    <row r="13" spans="1:34">
      <c r="A13">
        <v>1979</v>
      </c>
      <c r="B13">
        <f t="shared" si="0"/>
        <v>4.1001435108447701</v>
      </c>
      <c r="D13">
        <f t="shared" si="1"/>
        <v>2.6083125826265676</v>
      </c>
      <c r="E13">
        <f t="shared" si="2"/>
        <v>0.82698809276499985</v>
      </c>
      <c r="F13">
        <v>966176.50770492305</v>
      </c>
      <c r="H13">
        <v>1981</v>
      </c>
      <c r="I13">
        <v>1882.370301878</v>
      </c>
      <c r="K13">
        <v>2009</v>
      </c>
      <c r="L13">
        <v>2594.20289855072</v>
      </c>
      <c r="M13">
        <v>2008.9353846153799</v>
      </c>
      <c r="N13">
        <v>2086.95652173911</v>
      </c>
      <c r="O13">
        <f t="shared" si="3"/>
        <v>507.24637681160993</v>
      </c>
      <c r="P13">
        <f t="shared" si="4"/>
        <v>0.23008335985866496</v>
      </c>
      <c r="T13">
        <v>1068.1050706906501</v>
      </c>
      <c r="U13">
        <v>636.85646952175898</v>
      </c>
      <c r="V13">
        <v>1340.35848406215</v>
      </c>
      <c r="W13">
        <v>104.103694620561</v>
      </c>
      <c r="X13">
        <v>234.54826801866901</v>
      </c>
      <c r="Y13">
        <f t="shared" si="5"/>
        <v>338.65196263923002</v>
      </c>
      <c r="Z13">
        <f t="shared" si="6"/>
        <v>2.6083125826265676</v>
      </c>
      <c r="AA13">
        <f t="shared" si="7"/>
        <v>1.5552034985721355</v>
      </c>
      <c r="AB13">
        <f t="shared" si="8"/>
        <v>3.2731554180797704</v>
      </c>
      <c r="AC13">
        <f t="shared" si="9"/>
        <v>1.0531090840544322</v>
      </c>
      <c r="AD13">
        <f t="shared" si="10"/>
        <v>0.82698809276499985</v>
      </c>
      <c r="AE13">
        <f t="shared" si="11"/>
        <v>4.1001435108447701</v>
      </c>
      <c r="AF13">
        <f t="shared" si="12"/>
        <v>1.1944387806872077</v>
      </c>
      <c r="AG13">
        <f t="shared" si="13"/>
        <v>1.1772307989185435</v>
      </c>
      <c r="AH13">
        <f t="shared" si="14"/>
        <v>1.1879285198537164</v>
      </c>
    </row>
    <row r="14" spans="1:34">
      <c r="A14">
        <v>1980</v>
      </c>
      <c r="B14">
        <f t="shared" si="0"/>
        <v>3.8655362888934235</v>
      </c>
      <c r="D14">
        <f t="shared" si="1"/>
        <v>3.0417966350824237</v>
      </c>
      <c r="E14">
        <f t="shared" si="2"/>
        <v>0.82892590805235955</v>
      </c>
      <c r="F14">
        <v>440409.65314635099</v>
      </c>
      <c r="H14">
        <v>1982</v>
      </c>
      <c r="I14">
        <v>1611.4723716399601</v>
      </c>
      <c r="K14">
        <v>2010</v>
      </c>
      <c r="L14">
        <v>2688.4057971014399</v>
      </c>
      <c r="M14">
        <v>2009.95076923076</v>
      </c>
      <c r="N14">
        <v>1985.5072463768099</v>
      </c>
      <c r="O14">
        <f t="shared" si="3"/>
        <v>702.89855072463001</v>
      </c>
      <c r="P14">
        <f t="shared" si="4"/>
        <v>0.31882979866127953</v>
      </c>
      <c r="T14">
        <v>1245.6169676832201</v>
      </c>
      <c r="U14">
        <v>726.019749074385</v>
      </c>
      <c r="V14">
        <v>1243.49319444761</v>
      </c>
      <c r="W14">
        <v>114.718325957047</v>
      </c>
      <c r="X14">
        <v>224.72717283589299</v>
      </c>
      <c r="Y14">
        <f t="shared" si="5"/>
        <v>339.44549879293999</v>
      </c>
      <c r="Z14">
        <f t="shared" si="6"/>
        <v>3.0417966350824237</v>
      </c>
      <c r="AA14">
        <f t="shared" si="7"/>
        <v>1.7729402272396482</v>
      </c>
      <c r="AB14">
        <f t="shared" si="8"/>
        <v>3.036610380841064</v>
      </c>
      <c r="AC14">
        <f t="shared" si="9"/>
        <v>1.2688564078427755</v>
      </c>
      <c r="AD14">
        <f t="shared" si="10"/>
        <v>0.82892590805235955</v>
      </c>
      <c r="AE14">
        <f t="shared" si="11"/>
        <v>3.8655362888934235</v>
      </c>
      <c r="AF14">
        <f t="shared" si="12"/>
        <v>0.94278072917915756</v>
      </c>
      <c r="AG14">
        <f t="shared" si="13"/>
        <v>1.1661932911504564</v>
      </c>
      <c r="AH14">
        <f t="shared" si="14"/>
        <v>1.0023432203006464</v>
      </c>
    </row>
    <row r="15" spans="1:34">
      <c r="A15">
        <v>1981</v>
      </c>
      <c r="B15">
        <f t="shared" si="0"/>
        <v>2.8390681287178503</v>
      </c>
      <c r="D15">
        <f t="shared" si="1"/>
        <v>2.5526563776870037</v>
      </c>
      <c r="E15">
        <f t="shared" si="2"/>
        <v>0.65207667497661925</v>
      </c>
      <c r="F15">
        <v>165139.47931541401</v>
      </c>
      <c r="H15">
        <v>1983</v>
      </c>
      <c r="I15">
        <v>2314.5526216634798</v>
      </c>
      <c r="K15">
        <v>2011</v>
      </c>
      <c r="L15">
        <v>3420.2898550724599</v>
      </c>
      <c r="M15">
        <v>2010.81846153846</v>
      </c>
      <c r="N15">
        <v>2818.84057971014</v>
      </c>
      <c r="O15">
        <f t="shared" si="3"/>
        <v>601.4492753623199</v>
      </c>
      <c r="P15">
        <f t="shared" si="4"/>
        <v>0.27281312668955193</v>
      </c>
      <c r="T15">
        <v>1045.3138319766599</v>
      </c>
      <c r="U15">
        <v>575.23102661304097</v>
      </c>
      <c r="V15">
        <v>895.57389588092997</v>
      </c>
      <c r="W15">
        <v>117.637798973171</v>
      </c>
      <c r="X15">
        <v>149.38786645542001</v>
      </c>
      <c r="Y15">
        <f t="shared" si="5"/>
        <v>267.02566542859103</v>
      </c>
      <c r="Z15">
        <f t="shared" si="6"/>
        <v>2.5526563776870037</v>
      </c>
      <c r="AA15">
        <f t="shared" si="7"/>
        <v>1.4047141669890462</v>
      </c>
      <c r="AB15">
        <f t="shared" si="8"/>
        <v>2.1869914537412312</v>
      </c>
      <c r="AC15">
        <f t="shared" si="9"/>
        <v>1.1479422106979575</v>
      </c>
      <c r="AD15">
        <f t="shared" si="10"/>
        <v>0.65207667497661925</v>
      </c>
      <c r="AE15">
        <f t="shared" si="11"/>
        <v>2.8390681287178503</v>
      </c>
      <c r="AF15">
        <f t="shared" si="12"/>
        <v>0.73445646775459006</v>
      </c>
      <c r="AG15">
        <f t="shared" si="13"/>
        <v>0.8391936358420734</v>
      </c>
      <c r="AH15">
        <f t="shared" si="14"/>
        <v>0.7866525447476187</v>
      </c>
    </row>
    <row r="16" spans="1:34">
      <c r="A16">
        <v>1982</v>
      </c>
      <c r="B16">
        <f t="shared" si="0"/>
        <v>2.4501209357537084</v>
      </c>
      <c r="D16">
        <f t="shared" si="1"/>
        <v>2.1626193890386123</v>
      </c>
      <c r="E16">
        <f t="shared" si="2"/>
        <v>0.60150901621345931</v>
      </c>
      <c r="F16">
        <v>143551.91657945601</v>
      </c>
      <c r="H16">
        <v>1984</v>
      </c>
      <c r="I16">
        <v>2706.8887757708499</v>
      </c>
      <c r="K16">
        <v>2012</v>
      </c>
      <c r="L16">
        <v>4442.0289855072397</v>
      </c>
      <c r="M16">
        <v>2011.8707692307601</v>
      </c>
      <c r="N16">
        <v>3710.1449275362302</v>
      </c>
      <c r="O16">
        <f t="shared" si="3"/>
        <v>731.8840579710095</v>
      </c>
      <c r="P16">
        <f t="shared" si="4"/>
        <v>0.33197741922463259</v>
      </c>
      <c r="T16">
        <v>885.59352540483701</v>
      </c>
      <c r="U16">
        <v>468.45848571309301</v>
      </c>
      <c r="V16">
        <v>757.00733805906998</v>
      </c>
      <c r="W16">
        <v>108.133543401878</v>
      </c>
      <c r="X16">
        <v>138.184645055722</v>
      </c>
      <c r="Y16">
        <f t="shared" si="5"/>
        <v>246.3181884576</v>
      </c>
      <c r="Z16">
        <f t="shared" si="6"/>
        <v>2.1626193890386123</v>
      </c>
      <c r="AA16">
        <f t="shared" si="7"/>
        <v>1.1439756221113733</v>
      </c>
      <c r="AB16">
        <f t="shared" si="8"/>
        <v>1.8486119195402491</v>
      </c>
      <c r="AC16">
        <f t="shared" si="9"/>
        <v>1.018643766927239</v>
      </c>
      <c r="AD16">
        <f t="shared" si="10"/>
        <v>0.60150901621345931</v>
      </c>
      <c r="AE16">
        <f t="shared" si="11"/>
        <v>2.4501209357537084</v>
      </c>
      <c r="AF16">
        <f t="shared" si="12"/>
        <v>0.86300181068927218</v>
      </c>
      <c r="AG16">
        <f t="shared" si="13"/>
        <v>0.84720348886056918</v>
      </c>
      <c r="AH16">
        <f t="shared" si="14"/>
        <v>0.92245136085419233</v>
      </c>
    </row>
    <row r="17" spans="1:34">
      <c r="A17">
        <v>1983</v>
      </c>
      <c r="B17">
        <f t="shared" si="0"/>
        <v>3.039617456755682</v>
      </c>
      <c r="D17">
        <f t="shared" si="1"/>
        <v>2.1156087658232212</v>
      </c>
      <c r="E17">
        <f t="shared" si="2"/>
        <v>0.70850079738685079</v>
      </c>
      <c r="F17">
        <v>186312.35530034601</v>
      </c>
      <c r="H17">
        <v>1985</v>
      </c>
      <c r="I17">
        <v>2993.1395519123798</v>
      </c>
      <c r="T17">
        <v>866.34265594726503</v>
      </c>
      <c r="U17">
        <v>493.855045867093</v>
      </c>
      <c r="V17">
        <v>954.593226604763</v>
      </c>
      <c r="W17">
        <v>111.618432656533</v>
      </c>
      <c r="X17">
        <v>178.51293400474901</v>
      </c>
      <c r="Y17">
        <f t="shared" si="5"/>
        <v>290.13136666128202</v>
      </c>
      <c r="Z17">
        <f t="shared" si="6"/>
        <v>2.1156087658232212</v>
      </c>
      <c r="AA17">
        <f t="shared" si="7"/>
        <v>1.2059940220074412</v>
      </c>
      <c r="AB17">
        <f t="shared" si="8"/>
        <v>2.3311166593688313</v>
      </c>
      <c r="AC17">
        <f t="shared" si="9"/>
        <v>0.90961474381578</v>
      </c>
      <c r="AD17">
        <f t="shared" si="10"/>
        <v>0.70850079738685079</v>
      </c>
      <c r="AE17">
        <f t="shared" si="11"/>
        <v>3.039617456755682</v>
      </c>
      <c r="AF17">
        <f t="shared" si="12"/>
        <v>1.2405989485660356</v>
      </c>
      <c r="AG17">
        <f t="shared" si="13"/>
        <v>0.97826218360305672</v>
      </c>
      <c r="AH17">
        <f t="shared" si="14"/>
        <v>1.1778722816939837</v>
      </c>
    </row>
    <row r="18" spans="1:34">
      <c r="A18">
        <v>1984</v>
      </c>
      <c r="B18">
        <f t="shared" si="0"/>
        <v>4.0141367893719879</v>
      </c>
      <c r="D18">
        <f t="shared" si="1"/>
        <v>2.1256992832064738</v>
      </c>
      <c r="E18">
        <f t="shared" si="2"/>
        <v>0.93708805777280746</v>
      </c>
      <c r="F18">
        <v>163423.621443265</v>
      </c>
      <c r="H18">
        <v>1986</v>
      </c>
      <c r="I18">
        <v>2577.96058874955</v>
      </c>
      <c r="T18">
        <v>870.47472694777798</v>
      </c>
      <c r="U18">
        <v>497.17890374350998</v>
      </c>
      <c r="V18">
        <v>1260.0527156425801</v>
      </c>
      <c r="W18">
        <v>143.991247868518</v>
      </c>
      <c r="X18">
        <v>239.74669552738999</v>
      </c>
      <c r="Y18">
        <f t="shared" si="5"/>
        <v>383.73794339590802</v>
      </c>
      <c r="Z18">
        <f t="shared" si="6"/>
        <v>2.1256992832064738</v>
      </c>
      <c r="AA18">
        <f t="shared" si="7"/>
        <v>1.2141108829416514</v>
      </c>
      <c r="AB18">
        <f t="shared" si="8"/>
        <v>3.0770487315991808</v>
      </c>
      <c r="AC18">
        <f t="shared" si="9"/>
        <v>0.91158840026482246</v>
      </c>
      <c r="AD18">
        <f t="shared" si="10"/>
        <v>0.93708805777280746</v>
      </c>
      <c r="AE18">
        <f t="shared" si="11"/>
        <v>4.0141367893719879</v>
      </c>
      <c r="AF18">
        <f t="shared" si="12"/>
        <v>1.3206059138956432</v>
      </c>
      <c r="AG18">
        <f t="shared" si="13"/>
        <v>1.0047695573710322</v>
      </c>
      <c r="AH18">
        <f t="shared" si="14"/>
        <v>1.322635149076826</v>
      </c>
    </row>
    <row r="19" spans="1:34">
      <c r="A19">
        <v>1985</v>
      </c>
      <c r="B19">
        <f t="shared" si="0"/>
        <v>3.5199086759854477</v>
      </c>
      <c r="D19">
        <f t="shared" si="1"/>
        <v>2.1808701315743715</v>
      </c>
      <c r="E19">
        <f t="shared" si="2"/>
        <v>0.90459317802263295</v>
      </c>
      <c r="F19">
        <v>129149.720747436</v>
      </c>
      <c r="H19">
        <v>1987</v>
      </c>
      <c r="I19">
        <v>2264.5912257365899</v>
      </c>
      <c r="T19">
        <v>893.06721194691704</v>
      </c>
      <c r="U19">
        <v>498.16095345597898</v>
      </c>
      <c r="V19">
        <v>1070.97276738854</v>
      </c>
      <c r="W19">
        <v>155.134331857093</v>
      </c>
      <c r="X19">
        <v>215.296944974452</v>
      </c>
      <c r="Y19">
        <f t="shared" si="5"/>
        <v>370.43127683154501</v>
      </c>
      <c r="Z19">
        <f t="shared" si="6"/>
        <v>2.1808701315743715</v>
      </c>
      <c r="AA19">
        <f t="shared" si="7"/>
        <v>1.2165090483395009</v>
      </c>
      <c r="AB19">
        <f t="shared" si="8"/>
        <v>2.6153154979628148</v>
      </c>
      <c r="AC19">
        <f t="shared" si="9"/>
        <v>0.96436108323487058</v>
      </c>
      <c r="AD19">
        <f t="shared" si="10"/>
        <v>0.90459317802263295</v>
      </c>
      <c r="AE19">
        <f t="shared" si="11"/>
        <v>3.5199086759854477</v>
      </c>
      <c r="AF19">
        <f t="shared" si="12"/>
        <v>0.87687810871441119</v>
      </c>
      <c r="AG19">
        <f t="shared" si="13"/>
        <v>1.0259542113053151</v>
      </c>
      <c r="AH19">
        <f t="shared" si="14"/>
        <v>0.96532355792965108</v>
      </c>
    </row>
    <row r="20" spans="1:34">
      <c r="A20">
        <v>1986</v>
      </c>
      <c r="B20">
        <f t="shared" si="0"/>
        <v>3.178253821724895</v>
      </c>
      <c r="D20">
        <f t="shared" si="1"/>
        <v>1.6945912228989413</v>
      </c>
      <c r="E20">
        <f t="shared" si="2"/>
        <v>0.85471638514988602</v>
      </c>
      <c r="F20">
        <v>222140.67187245499</v>
      </c>
      <c r="H20">
        <v>1988</v>
      </c>
      <c r="I20">
        <v>2439.2557848137699</v>
      </c>
      <c r="T20">
        <v>693.93579971291604</v>
      </c>
      <c r="U20">
        <v>397.60331795719202</v>
      </c>
      <c r="V20">
        <v>951.48953176699797</v>
      </c>
      <c r="W20">
        <v>159.14607524097201</v>
      </c>
      <c r="X20">
        <v>190.86063448461601</v>
      </c>
      <c r="Y20">
        <f t="shared" si="5"/>
        <v>350.00670972558805</v>
      </c>
      <c r="Z20">
        <f t="shared" si="6"/>
        <v>1.6945912228989413</v>
      </c>
      <c r="AA20">
        <f t="shared" si="7"/>
        <v>0.97094730245146299</v>
      </c>
      <c r="AB20">
        <f t="shared" si="8"/>
        <v>2.323537436575009</v>
      </c>
      <c r="AC20">
        <f t="shared" si="9"/>
        <v>0.72364392044747827</v>
      </c>
      <c r="AD20">
        <f t="shared" si="10"/>
        <v>0.85471638514988602</v>
      </c>
      <c r="AE20">
        <f t="shared" si="11"/>
        <v>3.178253821724895</v>
      </c>
      <c r="AF20">
        <f t="shared" si="12"/>
        <v>0.90293644360960545</v>
      </c>
      <c r="AG20">
        <f t="shared" si="13"/>
        <v>0.77702527920615561</v>
      </c>
      <c r="AH20">
        <f t="shared" si="14"/>
        <v>0.94486273599611537</v>
      </c>
    </row>
    <row r="21" spans="1:34">
      <c r="A21">
        <v>1987</v>
      </c>
      <c r="B21">
        <f t="shared" si="0"/>
        <v>3.1490100991865226</v>
      </c>
      <c r="D21">
        <f t="shared" si="1"/>
        <v>1.746257062689218</v>
      </c>
      <c r="E21">
        <f t="shared" si="2"/>
        <v>0.858271178370691</v>
      </c>
      <c r="F21">
        <v>312912.57146413001</v>
      </c>
      <c r="H21">
        <v>1989</v>
      </c>
      <c r="I21">
        <v>2587.2405260543001</v>
      </c>
      <c r="T21">
        <v>715.09298226421697</v>
      </c>
      <c r="U21">
        <v>457.17454974567801</v>
      </c>
      <c r="V21">
        <v>938.05852613260902</v>
      </c>
      <c r="W21">
        <v>158.00139619257001</v>
      </c>
      <c r="X21">
        <v>193.46100281262699</v>
      </c>
      <c r="Y21">
        <f t="shared" si="5"/>
        <v>351.46239900519697</v>
      </c>
      <c r="Z21">
        <f t="shared" si="6"/>
        <v>1.746257062689218</v>
      </c>
      <c r="AA21">
        <f t="shared" si="7"/>
        <v>1.1164202504789458</v>
      </c>
      <c r="AB21">
        <f t="shared" si="8"/>
        <v>2.2907389208158317</v>
      </c>
      <c r="AC21">
        <f t="shared" si="9"/>
        <v>0.62983681221027221</v>
      </c>
      <c r="AD21">
        <f t="shared" si="10"/>
        <v>0.858271178370691</v>
      </c>
      <c r="AE21">
        <f t="shared" si="11"/>
        <v>3.1490100991865226</v>
      </c>
      <c r="AF21">
        <f t="shared" si="12"/>
        <v>0.99079880834611844</v>
      </c>
      <c r="AG21">
        <f t="shared" si="13"/>
        <v>1.0304886742549579</v>
      </c>
      <c r="AH21">
        <f t="shared" si="14"/>
        <v>1.0041590324961205</v>
      </c>
    </row>
    <row r="22" spans="1:34">
      <c r="A22">
        <v>1988</v>
      </c>
      <c r="B22">
        <f t="shared" si="0"/>
        <v>3.6697057044250099</v>
      </c>
      <c r="D22">
        <f t="shared" si="1"/>
        <v>2.4222533325653024</v>
      </c>
      <c r="E22">
        <f t="shared" si="2"/>
        <v>0.97253863136799079</v>
      </c>
      <c r="F22">
        <v>356652.30754854198</v>
      </c>
      <c r="H22">
        <v>1990</v>
      </c>
      <c r="I22">
        <v>2713.8910231544601</v>
      </c>
      <c r="T22">
        <v>991.91373159922296</v>
      </c>
      <c r="U22">
        <v>487.33147774435298</v>
      </c>
      <c r="V22">
        <v>1104.4910209078701</v>
      </c>
      <c r="W22">
        <v>180.22151781332201</v>
      </c>
      <c r="X22">
        <v>218.03344998683801</v>
      </c>
      <c r="Y22">
        <f t="shared" si="5"/>
        <v>398.25496780015999</v>
      </c>
      <c r="Z22">
        <f t="shared" si="6"/>
        <v>2.4222533325653024</v>
      </c>
      <c r="AA22">
        <f t="shared" si="7"/>
        <v>1.19006346865171</v>
      </c>
      <c r="AB22">
        <f t="shared" si="8"/>
        <v>2.697167073057019</v>
      </c>
      <c r="AC22">
        <f t="shared" si="9"/>
        <v>1.2321898639135924</v>
      </c>
      <c r="AD22">
        <f t="shared" si="10"/>
        <v>0.97253863136799079</v>
      </c>
      <c r="AE22">
        <f t="shared" si="11"/>
        <v>3.6697057044250099</v>
      </c>
      <c r="AF22">
        <f t="shared" si="12"/>
        <v>1.1653521547526944</v>
      </c>
      <c r="AG22">
        <f t="shared" si="13"/>
        <v>1.3871115452126259</v>
      </c>
      <c r="AH22">
        <f t="shared" si="14"/>
        <v>1.1331367706116158</v>
      </c>
    </row>
    <row r="23" spans="1:34">
      <c r="A23">
        <v>1989</v>
      </c>
      <c r="B23">
        <f t="shared" si="0"/>
        <v>3.2201493943274198</v>
      </c>
      <c r="D23">
        <f t="shared" si="1"/>
        <v>2.3056372285107272</v>
      </c>
      <c r="E23">
        <f t="shared" si="2"/>
        <v>0.93227340609327825</v>
      </c>
      <c r="F23">
        <v>223892.254275641</v>
      </c>
      <c r="H23">
        <v>1991</v>
      </c>
      <c r="I23">
        <v>2646.3482952491099</v>
      </c>
      <c r="T23">
        <v>944.159389234532</v>
      </c>
      <c r="U23">
        <v>579.17790231352205</v>
      </c>
      <c r="V23">
        <v>936.88615406803501</v>
      </c>
      <c r="W23">
        <v>200.28581395922399</v>
      </c>
      <c r="X23">
        <v>181.48052760231499</v>
      </c>
      <c r="Y23">
        <f t="shared" si="5"/>
        <v>381.76634156153898</v>
      </c>
      <c r="Z23">
        <f t="shared" si="6"/>
        <v>2.3056372285107272</v>
      </c>
      <c r="AA23">
        <f t="shared" si="7"/>
        <v>1.414352437449621</v>
      </c>
      <c r="AB23">
        <f t="shared" si="8"/>
        <v>2.2878759882341413</v>
      </c>
      <c r="AC23">
        <f t="shared" si="9"/>
        <v>0.89128479106110614</v>
      </c>
      <c r="AD23">
        <f t="shared" si="10"/>
        <v>0.93227340609327825</v>
      </c>
      <c r="AE23">
        <f t="shared" si="11"/>
        <v>3.2201493943274198</v>
      </c>
      <c r="AF23">
        <f t="shared" si="12"/>
        <v>0.87749526901966401</v>
      </c>
      <c r="AG23">
        <f t="shared" si="13"/>
        <v>0.95185635520167822</v>
      </c>
      <c r="AH23">
        <f t="shared" si="14"/>
        <v>0.95859781403431277</v>
      </c>
    </row>
    <row r="24" spans="1:34">
      <c r="A24">
        <v>1990</v>
      </c>
      <c r="B24">
        <f t="shared" si="0"/>
        <v>3.2687727771678152</v>
      </c>
      <c r="D24">
        <f t="shared" si="1"/>
        <v>2.2824125075092225</v>
      </c>
      <c r="E24">
        <f t="shared" si="2"/>
        <v>0.953528340421678</v>
      </c>
      <c r="F24">
        <v>201273.34588722599</v>
      </c>
      <c r="H24">
        <v>1992</v>
      </c>
      <c r="I24">
        <v>2608.46785845862</v>
      </c>
      <c r="T24">
        <v>934.64885647388303</v>
      </c>
      <c r="U24">
        <v>593.16220030001296</v>
      </c>
      <c r="V24">
        <v>948.093544941088</v>
      </c>
      <c r="W24">
        <v>194.461954057935</v>
      </c>
      <c r="X24">
        <v>196.00829181498801</v>
      </c>
      <c r="Y24">
        <f t="shared" si="5"/>
        <v>390.47024587292299</v>
      </c>
      <c r="Z24">
        <f t="shared" si="6"/>
        <v>2.2824125075092225</v>
      </c>
      <c r="AA24">
        <f t="shared" si="7"/>
        <v>1.4485020931326316</v>
      </c>
      <c r="AB24">
        <f t="shared" si="8"/>
        <v>2.3152444367461373</v>
      </c>
      <c r="AC24">
        <f t="shared" si="9"/>
        <v>0.83391041437659097</v>
      </c>
      <c r="AD24">
        <f t="shared" si="10"/>
        <v>0.953528340421678</v>
      </c>
      <c r="AE24">
        <f t="shared" si="11"/>
        <v>3.2687727771678152</v>
      </c>
      <c r="AF24">
        <f t="shared" si="12"/>
        <v>1.0150997288902341</v>
      </c>
      <c r="AG24">
        <f t="shared" si="13"/>
        <v>0.9899269838661886</v>
      </c>
      <c r="AH24">
        <f t="shared" si="14"/>
        <v>1.0227990353360707</v>
      </c>
    </row>
    <row r="25" spans="1:34">
      <c r="A25">
        <v>1991</v>
      </c>
      <c r="B25">
        <f t="shared" si="0"/>
        <v>3.1212068800968953</v>
      </c>
      <c r="D25">
        <f t="shared" si="1"/>
        <v>2.2004102166610409</v>
      </c>
      <c r="E25">
        <f t="shared" si="2"/>
        <v>0.89437533754123588</v>
      </c>
      <c r="F25">
        <v>192149.46622367101</v>
      </c>
      <c r="H25">
        <v>1993</v>
      </c>
      <c r="I25">
        <v>2740.1294388122101</v>
      </c>
      <c r="T25">
        <v>901.06888479158101</v>
      </c>
      <c r="U25">
        <v>652.079104890385</v>
      </c>
      <c r="V25">
        <v>911.88842856497104</v>
      </c>
      <c r="W25">
        <v>184.863313514379</v>
      </c>
      <c r="X25">
        <v>181.38375345582401</v>
      </c>
      <c r="Y25">
        <f t="shared" si="5"/>
        <v>366.24706697020304</v>
      </c>
      <c r="Z25">
        <f t="shared" si="6"/>
        <v>2.2004102166610409</v>
      </c>
      <c r="AA25">
        <f t="shared" si="7"/>
        <v>1.5923771741423203</v>
      </c>
      <c r="AB25">
        <f t="shared" si="8"/>
        <v>2.2268315425556593</v>
      </c>
      <c r="AC25">
        <f t="shared" si="9"/>
        <v>0.60803304251872059</v>
      </c>
      <c r="AD25">
        <f t="shared" si="10"/>
        <v>0.89437533754123588</v>
      </c>
      <c r="AE25">
        <f t="shared" si="11"/>
        <v>3.1212068800968953</v>
      </c>
      <c r="AF25">
        <f t="shared" si="12"/>
        <v>0.95485587187287568</v>
      </c>
      <c r="AG25">
        <f t="shared" si="13"/>
        <v>0.96407209889606238</v>
      </c>
      <c r="AH25">
        <f t="shared" si="14"/>
        <v>0.93796408520560282</v>
      </c>
    </row>
    <row r="26" spans="1:34">
      <c r="A26">
        <v>1992</v>
      </c>
      <c r="B26">
        <f t="shared" si="0"/>
        <v>3.0614183137795483</v>
      </c>
      <c r="D26">
        <f t="shared" si="1"/>
        <v>1.542027596355531</v>
      </c>
      <c r="E26">
        <f t="shared" si="2"/>
        <v>0.8484227613116454</v>
      </c>
      <c r="F26">
        <v>187416.57793214</v>
      </c>
      <c r="H26">
        <v>1994</v>
      </c>
      <c r="I26">
        <v>2833.98650573124</v>
      </c>
      <c r="T26">
        <v>631.46093216852205</v>
      </c>
      <c r="U26">
        <v>480.24979262736503</v>
      </c>
      <c r="V26">
        <v>906.22258495819096</v>
      </c>
      <c r="W26">
        <v>161.02432156152801</v>
      </c>
      <c r="X26">
        <v>186.40514662505899</v>
      </c>
      <c r="Y26">
        <f t="shared" si="5"/>
        <v>347.42946818658697</v>
      </c>
      <c r="Z26">
        <f t="shared" si="6"/>
        <v>1.542027596355531</v>
      </c>
      <c r="AA26">
        <f t="shared" si="7"/>
        <v>1.1727699935960254</v>
      </c>
      <c r="AB26">
        <f t="shared" si="8"/>
        <v>2.2129955524679028</v>
      </c>
      <c r="AC26">
        <f t="shared" si="9"/>
        <v>0.36925760275950559</v>
      </c>
      <c r="AD26">
        <f t="shared" si="10"/>
        <v>0.8484227613116454</v>
      </c>
      <c r="AE26">
        <f t="shared" si="11"/>
        <v>3.0614183137795483</v>
      </c>
      <c r="AF26">
        <f t="shared" si="12"/>
        <v>0.98084440775182102</v>
      </c>
      <c r="AG26">
        <f t="shared" si="13"/>
        <v>0.70079096373922645</v>
      </c>
      <c r="AH26">
        <f t="shared" si="14"/>
        <v>0.94862047923199599</v>
      </c>
    </row>
    <row r="27" spans="1:34">
      <c r="A27">
        <v>1993</v>
      </c>
      <c r="B27">
        <f t="shared" si="0"/>
        <v>3.4225731445044123</v>
      </c>
      <c r="D27">
        <f t="shared" si="1"/>
        <v>1.2696134657816236</v>
      </c>
      <c r="E27">
        <f t="shared" si="2"/>
        <v>0.91446764322328844</v>
      </c>
      <c r="F27">
        <v>188782.37459316701</v>
      </c>
      <c r="H27">
        <v>1995</v>
      </c>
      <c r="I27">
        <v>3193.56136798955</v>
      </c>
      <c r="T27">
        <v>519.90723414480897</v>
      </c>
      <c r="U27">
        <v>366.958692588362</v>
      </c>
      <c r="V27">
        <v>1027.07022984485</v>
      </c>
      <c r="W27">
        <v>159.08551804599699</v>
      </c>
      <c r="X27">
        <v>215.38935632881399</v>
      </c>
      <c r="Y27">
        <f t="shared" si="5"/>
        <v>374.47487437481095</v>
      </c>
      <c r="Z27">
        <f t="shared" si="6"/>
        <v>1.2696134657816236</v>
      </c>
      <c r="AA27">
        <f t="shared" si="7"/>
        <v>0.89611312730078008</v>
      </c>
      <c r="AB27">
        <f t="shared" si="8"/>
        <v>2.5081055012811238</v>
      </c>
      <c r="AC27">
        <f t="shared" si="9"/>
        <v>0.37350033848084352</v>
      </c>
      <c r="AD27">
        <f t="shared" si="10"/>
        <v>0.91446764322328844</v>
      </c>
      <c r="AE27">
        <f t="shared" si="11"/>
        <v>3.4225731445044123</v>
      </c>
      <c r="AF27">
        <f t="shared" si="12"/>
        <v>1.1179697753486657</v>
      </c>
      <c r="AG27">
        <f t="shared" si="13"/>
        <v>0.82334030129049685</v>
      </c>
      <c r="AH27">
        <f t="shared" si="14"/>
        <v>1.0778443070168684</v>
      </c>
    </row>
    <row r="28" spans="1:34">
      <c r="A28">
        <v>1994</v>
      </c>
      <c r="B28">
        <f t="shared" si="0"/>
        <v>3.4105764160838712</v>
      </c>
      <c r="D28">
        <f t="shared" si="1"/>
        <v>1.558775724928775</v>
      </c>
      <c r="E28">
        <f t="shared" si="2"/>
        <v>0.94577427951999826</v>
      </c>
      <c r="F28">
        <v>204410.92421508499</v>
      </c>
      <c r="H28">
        <v>1996</v>
      </c>
      <c r="I28">
        <v>3644.8391243708202</v>
      </c>
      <c r="T28">
        <v>638.31929767763097</v>
      </c>
      <c r="U28">
        <v>407.43368020338102</v>
      </c>
      <c r="V28">
        <v>1009.3374842603901</v>
      </c>
      <c r="W28">
        <v>163.92318480394599</v>
      </c>
      <c r="X28">
        <v>223.37176995444801</v>
      </c>
      <c r="Y28">
        <f t="shared" si="5"/>
        <v>387.294954758394</v>
      </c>
      <c r="Z28">
        <f t="shared" si="6"/>
        <v>1.558775724928775</v>
      </c>
      <c r="AA28">
        <f t="shared" si="7"/>
        <v>0.99495304705665644</v>
      </c>
      <c r="AB28">
        <f t="shared" si="8"/>
        <v>2.4648021365638728</v>
      </c>
      <c r="AC28">
        <f t="shared" si="9"/>
        <v>0.56382267787211859</v>
      </c>
      <c r="AD28">
        <f t="shared" si="10"/>
        <v>0.94577427951999826</v>
      </c>
      <c r="AE28">
        <f t="shared" si="11"/>
        <v>3.4105764160838712</v>
      </c>
      <c r="AF28">
        <f t="shared" si="12"/>
        <v>0.99649482190327943</v>
      </c>
      <c r="AG28">
        <f t="shared" si="13"/>
        <v>1.227756137549417</v>
      </c>
      <c r="AH28">
        <f t="shared" si="14"/>
        <v>1.0342348212413084</v>
      </c>
    </row>
    <row r="29" spans="1:34">
      <c r="A29">
        <v>1995</v>
      </c>
      <c r="B29">
        <f t="shared" si="0"/>
        <v>3.705206318395633</v>
      </c>
      <c r="D29">
        <f t="shared" si="1"/>
        <v>1.7117010791264327</v>
      </c>
      <c r="E29">
        <f t="shared" si="2"/>
        <v>1.0384403972429992</v>
      </c>
      <c r="F29">
        <v>196772.688000216</v>
      </c>
      <c r="H29">
        <v>1997</v>
      </c>
      <c r="I29">
        <v>4533.4238209073901</v>
      </c>
      <c r="T29">
        <v>700.94229284456696</v>
      </c>
      <c r="U29">
        <v>446.76175509309701</v>
      </c>
      <c r="V29">
        <v>1092.04173675374</v>
      </c>
      <c r="W29">
        <v>179.88523743366699</v>
      </c>
      <c r="X29">
        <v>245.35653047910901</v>
      </c>
      <c r="Y29">
        <f t="shared" si="5"/>
        <v>425.24176791277603</v>
      </c>
      <c r="Z29">
        <f t="shared" si="6"/>
        <v>1.7117010791264327</v>
      </c>
      <c r="AA29">
        <f t="shared" si="7"/>
        <v>1.0909922059373429</v>
      </c>
      <c r="AB29">
        <f t="shared" si="8"/>
        <v>2.6667659211526336</v>
      </c>
      <c r="AC29">
        <f t="shared" si="9"/>
        <v>0.62070887318908974</v>
      </c>
      <c r="AD29">
        <f t="shared" si="10"/>
        <v>1.0384403972429992</v>
      </c>
      <c r="AE29">
        <f t="shared" si="11"/>
        <v>3.705206318395633</v>
      </c>
      <c r="AF29">
        <f t="shared" si="12"/>
        <v>1.0863871282643962</v>
      </c>
      <c r="AG29">
        <f t="shared" si="13"/>
        <v>1.0981060660311766</v>
      </c>
      <c r="AH29">
        <f t="shared" si="14"/>
        <v>1.0979791052998724</v>
      </c>
    </row>
    <row r="30" spans="1:34">
      <c r="A30">
        <v>1996</v>
      </c>
      <c r="B30">
        <f t="shared" si="0"/>
        <v>3.5780422868277082</v>
      </c>
      <c r="D30">
        <f t="shared" si="1"/>
        <v>1.9301999176268119</v>
      </c>
      <c r="E30">
        <f t="shared" si="2"/>
        <v>1.0311045498608367</v>
      </c>
      <c r="F30">
        <v>189348.04979607099</v>
      </c>
      <c r="H30">
        <v>1998</v>
      </c>
      <c r="I30">
        <v>3976.5372804513099</v>
      </c>
      <c r="T30">
        <v>790.41765668583605</v>
      </c>
      <c r="U30">
        <v>522.37287734125096</v>
      </c>
      <c r="V30">
        <v>1042.9720462599801</v>
      </c>
      <c r="W30">
        <v>172.67985471763001</v>
      </c>
      <c r="X30">
        <v>249.55788068811799</v>
      </c>
      <c r="Y30">
        <f t="shared" si="5"/>
        <v>422.23773540574803</v>
      </c>
      <c r="Z30">
        <f t="shared" si="6"/>
        <v>1.9301999176268119</v>
      </c>
      <c r="AA30">
        <f t="shared" si="7"/>
        <v>1.275634566467335</v>
      </c>
      <c r="AB30">
        <f t="shared" si="8"/>
        <v>2.5469377369668713</v>
      </c>
      <c r="AC30">
        <f t="shared" si="9"/>
        <v>0.65456535115947689</v>
      </c>
      <c r="AD30">
        <f t="shared" si="10"/>
        <v>1.0311045498608367</v>
      </c>
      <c r="AE30">
        <f t="shared" si="11"/>
        <v>3.5780422868277082</v>
      </c>
      <c r="AF30">
        <f t="shared" si="12"/>
        <v>0.96567963545334035</v>
      </c>
      <c r="AG30">
        <f t="shared" si="13"/>
        <v>1.1276501143598567</v>
      </c>
      <c r="AH30">
        <f t="shared" si="14"/>
        <v>0.99293570685266208</v>
      </c>
    </row>
    <row r="31" spans="1:34">
      <c r="A31">
        <v>1997</v>
      </c>
      <c r="B31">
        <f t="shared" si="0"/>
        <v>4.0959785287763788</v>
      </c>
      <c r="D31">
        <f t="shared" si="1"/>
        <v>2.281852765172399</v>
      </c>
      <c r="E31">
        <f t="shared" si="2"/>
        <v>1.107757628944736</v>
      </c>
      <c r="F31">
        <v>221865.73469108299</v>
      </c>
      <c r="H31">
        <v>1999</v>
      </c>
      <c r="I31">
        <v>5027.1312568698204</v>
      </c>
      <c r="T31">
        <v>934.41964175773899</v>
      </c>
      <c r="U31">
        <v>636.79469601758001</v>
      </c>
      <c r="V31">
        <v>1223.67768215874</v>
      </c>
      <c r="W31">
        <v>169.77770820090399</v>
      </c>
      <c r="X31">
        <v>283.84949447916802</v>
      </c>
      <c r="Y31">
        <f t="shared" si="5"/>
        <v>453.627202680072</v>
      </c>
      <c r="Z31">
        <f t="shared" si="6"/>
        <v>2.281852765172399</v>
      </c>
      <c r="AA31">
        <f t="shared" si="7"/>
        <v>1.5550526476749305</v>
      </c>
      <c r="AB31">
        <f t="shared" si="8"/>
        <v>2.9882208998316431</v>
      </c>
      <c r="AC31">
        <f t="shared" si="9"/>
        <v>0.72680011749746853</v>
      </c>
      <c r="AD31">
        <f t="shared" si="10"/>
        <v>1.107757628944736</v>
      </c>
      <c r="AE31">
        <f t="shared" si="11"/>
        <v>4.0959785287763788</v>
      </c>
      <c r="AF31">
        <f t="shared" si="12"/>
        <v>1.1447540862933381</v>
      </c>
      <c r="AG31">
        <f t="shared" si="13"/>
        <v>1.1821846764857111</v>
      </c>
      <c r="AH31">
        <f t="shared" si="14"/>
        <v>1.0743407437143448</v>
      </c>
    </row>
    <row r="32" spans="1:34">
      <c r="A32">
        <v>1998</v>
      </c>
      <c r="B32">
        <f t="shared" si="0"/>
        <v>4.1552529878265076</v>
      </c>
      <c r="D32">
        <f t="shared" si="1"/>
        <v>2.8625943043267648</v>
      </c>
      <c r="E32">
        <f t="shared" si="2"/>
        <v>1.0947156245159912</v>
      </c>
      <c r="F32">
        <v>298500.52688479098</v>
      </c>
      <c r="H32">
        <v>2000</v>
      </c>
      <c r="I32">
        <v>6280.8397562896998</v>
      </c>
      <c r="T32">
        <v>1172.23353985535</v>
      </c>
      <c r="U32">
        <v>847.31603392141596</v>
      </c>
      <c r="V32">
        <v>1253.2913035669601</v>
      </c>
      <c r="W32">
        <v>170.425511823053</v>
      </c>
      <c r="X32">
        <v>277.86098470274197</v>
      </c>
      <c r="Y32">
        <f t="shared" si="5"/>
        <v>448.28649652579497</v>
      </c>
      <c r="Z32">
        <f t="shared" si="6"/>
        <v>2.8625943043267648</v>
      </c>
      <c r="AA32">
        <f t="shared" si="7"/>
        <v>2.0691457548360983</v>
      </c>
      <c r="AB32">
        <f t="shared" si="8"/>
        <v>3.0605373633105168</v>
      </c>
      <c r="AC32">
        <f t="shared" si="9"/>
        <v>0.79344854949066645</v>
      </c>
      <c r="AD32">
        <f t="shared" si="10"/>
        <v>1.0947156245159912</v>
      </c>
      <c r="AE32">
        <f t="shared" si="11"/>
        <v>4.1552529878265076</v>
      </c>
      <c r="AF32">
        <f t="shared" si="12"/>
        <v>1.0144713793379763</v>
      </c>
      <c r="AG32">
        <f t="shared" si="13"/>
        <v>1.2545043869692836</v>
      </c>
      <c r="AH32">
        <f t="shared" si="14"/>
        <v>0.98822666250453295</v>
      </c>
    </row>
    <row r="33" spans="1:34">
      <c r="A33">
        <v>1999</v>
      </c>
      <c r="B33">
        <f t="shared" si="0"/>
        <v>4.6703426137549338</v>
      </c>
      <c r="D33">
        <f t="shared" si="1"/>
        <v>2.7059113661278569</v>
      </c>
      <c r="E33">
        <f t="shared" si="2"/>
        <v>1.2440488750777638</v>
      </c>
      <c r="F33">
        <v>915460.32504730497</v>
      </c>
      <c r="H33">
        <v>2001</v>
      </c>
      <c r="I33">
        <v>4363.5344668327598</v>
      </c>
      <c r="T33">
        <v>1108.0718125011699</v>
      </c>
      <c r="U33">
        <v>746.43051456478202</v>
      </c>
      <c r="V33">
        <v>1403.06868905699</v>
      </c>
      <c r="W33">
        <v>165.68588323068099</v>
      </c>
      <c r="X33">
        <v>343.75264055218702</v>
      </c>
      <c r="Y33">
        <f t="shared" si="5"/>
        <v>509.438523782868</v>
      </c>
      <c r="Z33">
        <f t="shared" si="6"/>
        <v>2.7059113661278569</v>
      </c>
      <c r="AA33">
        <f t="shared" si="7"/>
        <v>1.8227833165671978</v>
      </c>
      <c r="AB33">
        <f t="shared" si="8"/>
        <v>3.4262937386771699</v>
      </c>
      <c r="AC33">
        <f t="shared" si="9"/>
        <v>0.88312804956065905</v>
      </c>
      <c r="AD33">
        <f t="shared" si="10"/>
        <v>1.2440488750777638</v>
      </c>
      <c r="AE33">
        <f t="shared" si="11"/>
        <v>4.6703426137549338</v>
      </c>
      <c r="AF33">
        <f t="shared" si="12"/>
        <v>1.1239610746776347</v>
      </c>
      <c r="AG33">
        <f t="shared" si="13"/>
        <v>0.94526540559307193</v>
      </c>
      <c r="AH33">
        <f t="shared" si="14"/>
        <v>1.1364128246801972</v>
      </c>
    </row>
    <row r="34" spans="1:34">
      <c r="A34">
        <v>2000</v>
      </c>
      <c r="B34">
        <f t="shared" si="0"/>
        <v>5.5116812832957081</v>
      </c>
      <c r="D34">
        <f t="shared" si="1"/>
        <v>4.1043640330434625</v>
      </c>
      <c r="E34">
        <f>AD34</f>
        <v>1.4113918651356734</v>
      </c>
      <c r="F34">
        <v>715289.36412585503</v>
      </c>
      <c r="H34">
        <v>2002</v>
      </c>
      <c r="I34">
        <v>3585.6719274679399</v>
      </c>
      <c r="T34">
        <v>1680.7387522700501</v>
      </c>
      <c r="U34">
        <v>1130.8102090422001</v>
      </c>
      <c r="V34">
        <v>1679.07019580673</v>
      </c>
      <c r="W34">
        <v>178.961186600806</v>
      </c>
      <c r="X34">
        <v>399.00436013779898</v>
      </c>
      <c r="Y34">
        <f t="shared" si="5"/>
        <v>577.96554673860498</v>
      </c>
      <c r="Z34">
        <f t="shared" si="6"/>
        <v>4.1043640330434625</v>
      </c>
      <c r="AA34">
        <f t="shared" si="7"/>
        <v>2.7614385304810529</v>
      </c>
      <c r="AB34">
        <f t="shared" si="8"/>
        <v>4.1002894181600347</v>
      </c>
      <c r="AC34">
        <f t="shared" si="9"/>
        <v>1.3429255025624096</v>
      </c>
      <c r="AD34">
        <f t="shared" si="10"/>
        <v>1.4113918651356734</v>
      </c>
      <c r="AE34">
        <f t="shared" si="11"/>
        <v>5.5116812832957081</v>
      </c>
      <c r="AF34">
        <f t="shared" si="12"/>
        <v>1.1801449570450981</v>
      </c>
      <c r="AG34">
        <f t="shared" si="13"/>
        <v>1.5168139224444677</v>
      </c>
      <c r="AH34">
        <f t="shared" si="14"/>
        <v>1.134514803566258</v>
      </c>
    </row>
    <row r="35" spans="1:34">
      <c r="A35">
        <v>2001</v>
      </c>
      <c r="B35">
        <f t="shared" si="0"/>
        <v>5.3633866091913394</v>
      </c>
      <c r="D35">
        <f t="shared" si="1"/>
        <v>3.7579341913244928</v>
      </c>
      <c r="E35">
        <f t="shared" si="2"/>
        <v>1.4550395928103224</v>
      </c>
      <c r="F35">
        <v>184191.82201872399</v>
      </c>
      <c r="H35">
        <v>2003</v>
      </c>
      <c r="I35">
        <v>4778.7370369742503</v>
      </c>
      <c r="T35">
        <v>1538.87559022297</v>
      </c>
      <c r="U35">
        <v>1260.75760572896</v>
      </c>
      <c r="V35">
        <v>1600.46970367773</v>
      </c>
      <c r="W35">
        <v>218.84032605553699</v>
      </c>
      <c r="X35">
        <v>376.99898303959901</v>
      </c>
      <c r="Y35">
        <f t="shared" si="5"/>
        <v>595.83930909513606</v>
      </c>
      <c r="Z35">
        <f t="shared" si="6"/>
        <v>3.7579341913244928</v>
      </c>
      <c r="AA35">
        <f t="shared" si="7"/>
        <v>3.0787700731901206</v>
      </c>
      <c r="AB35">
        <f t="shared" si="8"/>
        <v>3.908347016381017</v>
      </c>
      <c r="AC35">
        <f t="shared" si="9"/>
        <v>0.67916411813437216</v>
      </c>
      <c r="AD35">
        <f t="shared" si="10"/>
        <v>1.4550395928103224</v>
      </c>
      <c r="AE35">
        <f t="shared" si="11"/>
        <v>5.3633866091913394</v>
      </c>
      <c r="AF35">
        <f t="shared" si="12"/>
        <v>0.97309447580835151</v>
      </c>
      <c r="AG35">
        <f t="shared" si="13"/>
        <v>0.91559475745086738</v>
      </c>
      <c r="AH35">
        <f t="shared" si="14"/>
        <v>1.0309253076716955</v>
      </c>
    </row>
    <row r="36" spans="1:34">
      <c r="A36">
        <v>2002</v>
      </c>
      <c r="B36">
        <f t="shared" si="0"/>
        <v>4.9916871158322129</v>
      </c>
      <c r="D36">
        <f t="shared" si="1"/>
        <v>4.1763628907509061</v>
      </c>
      <c r="E36">
        <f t="shared" si="2"/>
        <v>1.4018757763046996</v>
      </c>
      <c r="F36">
        <v>154828.49100685999</v>
      </c>
      <c r="H36">
        <v>2004</v>
      </c>
      <c r="I36">
        <v>5190.5532501917396</v>
      </c>
      <c r="T36">
        <v>1710.2223139848099</v>
      </c>
      <c r="U36">
        <v>1554.74197875699</v>
      </c>
      <c r="V36">
        <v>1470.0292135657301</v>
      </c>
      <c r="W36">
        <v>222.497167761204</v>
      </c>
      <c r="X36">
        <v>351.57153670427499</v>
      </c>
      <c r="Y36">
        <f t="shared" si="5"/>
        <v>574.06870446547896</v>
      </c>
      <c r="Z36">
        <f t="shared" si="6"/>
        <v>4.1763628907509061</v>
      </c>
      <c r="AA36">
        <f t="shared" si="7"/>
        <v>3.7966799121245698</v>
      </c>
      <c r="AB36">
        <f t="shared" si="8"/>
        <v>3.5898113395275133</v>
      </c>
      <c r="AC36">
        <f t="shared" si="9"/>
        <v>0.37968297862633626</v>
      </c>
      <c r="AD36">
        <f t="shared" si="10"/>
        <v>1.4018757763046996</v>
      </c>
      <c r="AE36">
        <f t="shared" si="11"/>
        <v>4.9916871158322129</v>
      </c>
      <c r="AF36">
        <f t="shared" si="12"/>
        <v>0.93069686740050817</v>
      </c>
      <c r="AG36">
        <f t="shared" si="13"/>
        <v>1.1113454036508652</v>
      </c>
      <c r="AH36">
        <f t="shared" si="14"/>
        <v>0.9634622887457378</v>
      </c>
    </row>
    <row r="37" spans="1:34">
      <c r="A37">
        <v>2003</v>
      </c>
      <c r="B37">
        <f t="shared" si="0"/>
        <v>5.2325200066508497</v>
      </c>
      <c r="D37">
        <f t="shared" si="1"/>
        <v>3.7982975089551276</v>
      </c>
      <c r="E37">
        <f t="shared" si="2"/>
        <v>1.4108937423517287</v>
      </c>
      <c r="F37">
        <v>133398.63952151901</v>
      </c>
      <c r="H37">
        <v>2005</v>
      </c>
      <c r="I37">
        <v>5292.2046924869501</v>
      </c>
      <c r="T37">
        <v>1555.4043853215101</v>
      </c>
      <c r="U37">
        <v>1419.24612773021</v>
      </c>
      <c r="V37">
        <v>1564.95752018801</v>
      </c>
      <c r="W37">
        <v>226.28818951725299</v>
      </c>
      <c r="X37">
        <v>351.47337573734501</v>
      </c>
      <c r="Y37">
        <f t="shared" si="5"/>
        <v>577.76156525459805</v>
      </c>
      <c r="Z37">
        <f t="shared" si="6"/>
        <v>3.7982975089551276</v>
      </c>
      <c r="AA37">
        <f t="shared" si="7"/>
        <v>3.4657990439171731</v>
      </c>
      <c r="AB37">
        <f t="shared" si="8"/>
        <v>3.8216262642991206</v>
      </c>
      <c r="AC37">
        <f t="shared" si="9"/>
        <v>0.33249846503795455</v>
      </c>
      <c r="AD37">
        <f t="shared" si="10"/>
        <v>1.4108937423517287</v>
      </c>
      <c r="AE37">
        <f t="shared" si="11"/>
        <v>5.2325200066508497</v>
      </c>
      <c r="AF37">
        <f t="shared" si="12"/>
        <v>1.0482467921626706</v>
      </c>
      <c r="AG37">
        <f t="shared" si="13"/>
        <v>0.90947496860652288</v>
      </c>
      <c r="AH37">
        <f t="shared" si="14"/>
        <v>1.0064327854146964</v>
      </c>
    </row>
    <row r="38" spans="1:34">
      <c r="A38">
        <v>2004</v>
      </c>
      <c r="B38">
        <f t="shared" si="0"/>
        <v>5.5558353128003697</v>
      </c>
      <c r="D38">
        <f t="shared" si="1"/>
        <v>4.3076086361580455</v>
      </c>
      <c r="E38">
        <f t="shared" si="2"/>
        <v>1.5213369750717283</v>
      </c>
      <c r="F38">
        <v>119721.522737199</v>
      </c>
      <c r="H38">
        <v>2006</v>
      </c>
      <c r="I38">
        <v>5386.70030876501</v>
      </c>
      <c r="T38">
        <v>1763.9675004742201</v>
      </c>
      <c r="U38">
        <v>1567.58074778685</v>
      </c>
      <c r="V38">
        <v>1652.1287214286001</v>
      </c>
      <c r="W38">
        <v>231.310667347574</v>
      </c>
      <c r="X38">
        <v>391.67744693241298</v>
      </c>
      <c r="Y38">
        <f t="shared" si="5"/>
        <v>622.98811427998703</v>
      </c>
      <c r="Z38">
        <f t="shared" si="6"/>
        <v>4.3076086361580455</v>
      </c>
      <c r="AA38">
        <f t="shared" si="7"/>
        <v>3.8280321860954878</v>
      </c>
      <c r="AB38">
        <f t="shared" si="8"/>
        <v>4.0344983377286416</v>
      </c>
      <c r="AC38">
        <f t="shared" si="9"/>
        <v>0.47957645006255767</v>
      </c>
      <c r="AD38">
        <f t="shared" si="10"/>
        <v>1.5213369750717283</v>
      </c>
      <c r="AE38">
        <f t="shared" si="11"/>
        <v>5.5558353128003697</v>
      </c>
      <c r="AF38">
        <f t="shared" si="12"/>
        <v>1.0617895976964382</v>
      </c>
      <c r="AG38">
        <f t="shared" si="13"/>
        <v>1.134089319228452</v>
      </c>
      <c r="AH38">
        <f t="shared" si="14"/>
        <v>1.0782789159840689</v>
      </c>
    </row>
    <row r="39" spans="1:34">
      <c r="A39">
        <v>2005</v>
      </c>
      <c r="B39">
        <f t="shared" si="0"/>
        <v>5.6807037917615979</v>
      </c>
      <c r="D39">
        <f t="shared" si="1"/>
        <v>4.1459197553433764</v>
      </c>
      <c r="E39">
        <f t="shared" si="2"/>
        <v>1.705927301012075</v>
      </c>
      <c r="F39">
        <v>99399.638530944401</v>
      </c>
      <c r="H39">
        <v>2007</v>
      </c>
      <c r="I39">
        <v>5791.3795418850696</v>
      </c>
      <c r="T39">
        <v>1697.75583756895</v>
      </c>
      <c r="U39">
        <v>1536.1203366553</v>
      </c>
      <c r="V39">
        <v>1627.67260063453</v>
      </c>
      <c r="W39">
        <v>220.18021513351101</v>
      </c>
      <c r="X39">
        <v>478.397713208862</v>
      </c>
      <c r="Y39">
        <f t="shared" si="5"/>
        <v>698.57792834237307</v>
      </c>
      <c r="Z39">
        <f t="shared" si="6"/>
        <v>4.1459197553433764</v>
      </c>
      <c r="AA39">
        <f t="shared" si="7"/>
        <v>3.7512058621122426</v>
      </c>
      <c r="AB39">
        <f t="shared" si="8"/>
        <v>3.9747764907495227</v>
      </c>
      <c r="AC39">
        <f t="shared" si="9"/>
        <v>0.39471389323113382</v>
      </c>
      <c r="AD39">
        <f t="shared" si="10"/>
        <v>1.705927301012075</v>
      </c>
      <c r="AE39">
        <f t="shared" si="11"/>
        <v>5.6807037917615979</v>
      </c>
      <c r="AF39">
        <f t="shared" si="12"/>
        <v>1.0224751944452957</v>
      </c>
      <c r="AG39">
        <f t="shared" si="13"/>
        <v>0.96246435215644865</v>
      </c>
      <c r="AH39">
        <f t="shared" si="14"/>
        <v>1.1213342796270653</v>
      </c>
    </row>
    <row r="40" spans="1:34">
      <c r="A40">
        <v>2006</v>
      </c>
      <c r="B40">
        <f t="shared" si="0"/>
        <v>5.8271958650993287</v>
      </c>
      <c r="D40">
        <f t="shared" si="1"/>
        <v>3.2441260601133091</v>
      </c>
      <c r="E40">
        <f t="shared" si="2"/>
        <v>1.733516747380855</v>
      </c>
      <c r="F40">
        <v>90360.715014546193</v>
      </c>
      <c r="H40">
        <v>2008</v>
      </c>
      <c r="I40">
        <v>5423.9507368530003</v>
      </c>
      <c r="T40">
        <v>1328.47095008735</v>
      </c>
      <c r="U40">
        <v>1127.9098219667801</v>
      </c>
      <c r="V40">
        <v>1676.3632750689901</v>
      </c>
      <c r="W40">
        <v>214.226725779069</v>
      </c>
      <c r="X40">
        <v>495.64909214920903</v>
      </c>
      <c r="Y40">
        <f t="shared" si="5"/>
        <v>709.87581792827802</v>
      </c>
      <c r="Z40">
        <f t="shared" si="6"/>
        <v>3.2441260601133091</v>
      </c>
      <c r="AA40">
        <f t="shared" si="7"/>
        <v>2.7543557852428773</v>
      </c>
      <c r="AB40">
        <f t="shared" si="8"/>
        <v>4.0936791177184739</v>
      </c>
      <c r="AC40">
        <f t="shared" si="9"/>
        <v>0.48977027487043179</v>
      </c>
      <c r="AD40">
        <f t="shared" si="10"/>
        <v>1.733516747380855</v>
      </c>
      <c r="AE40">
        <f t="shared" si="11"/>
        <v>5.8271958650993287</v>
      </c>
      <c r="AF40">
        <f t="shared" si="12"/>
        <v>1.0257876627100642</v>
      </c>
      <c r="AG40">
        <f t="shared" si="13"/>
        <v>0.78248645693930508</v>
      </c>
      <c r="AH40">
        <f t="shared" si="14"/>
        <v>1.0161726976011298</v>
      </c>
    </row>
    <row r="41" spans="1:34">
      <c r="A41">
        <v>2007</v>
      </c>
      <c r="B41">
        <f t="shared" si="0"/>
        <v>5.7249949555945241</v>
      </c>
      <c r="D41">
        <f t="shared" si="1"/>
        <v>3.8485604715301611</v>
      </c>
      <c r="E41">
        <f t="shared" si="2"/>
        <v>1.7114659753182133</v>
      </c>
      <c r="F41">
        <v>99775.109768758906</v>
      </c>
      <c r="H41">
        <v>2009</v>
      </c>
      <c r="I41">
        <v>3371.94927309999</v>
      </c>
      <c r="T41">
        <v>1575.9870890786899</v>
      </c>
      <c r="U41">
        <v>1452.1085190301401</v>
      </c>
      <c r="V41">
        <v>1643.5417609649101</v>
      </c>
      <c r="W41">
        <v>205.54200194540999</v>
      </c>
      <c r="X41">
        <v>495.304015793416</v>
      </c>
      <c r="Y41">
        <f t="shared" si="5"/>
        <v>700.84601773882605</v>
      </c>
      <c r="Z41">
        <f t="shared" si="6"/>
        <v>3.8485604715301611</v>
      </c>
      <c r="AA41">
        <f t="shared" si="7"/>
        <v>3.5460490034716021</v>
      </c>
      <c r="AB41">
        <f t="shared" si="8"/>
        <v>4.0135289802763108</v>
      </c>
      <c r="AC41">
        <f t="shared" si="9"/>
        <v>0.302511468058559</v>
      </c>
      <c r="AD41">
        <f t="shared" si="10"/>
        <v>1.7114659753182133</v>
      </c>
      <c r="AE41">
        <f t="shared" si="11"/>
        <v>5.7249949555945241</v>
      </c>
      <c r="AF41">
        <f t="shared" si="12"/>
        <v>0.98246139105827657</v>
      </c>
      <c r="AG41">
        <f t="shared" si="13"/>
        <v>1.1863165611374982</v>
      </c>
      <c r="AH41">
        <f t="shared" si="14"/>
        <v>0.98727974673682395</v>
      </c>
    </row>
    <row r="42" spans="1:34">
      <c r="A42">
        <v>2008</v>
      </c>
      <c r="B42">
        <f t="shared" si="0"/>
        <v>6.3320225664018155</v>
      </c>
      <c r="D42">
        <f t="shared" si="1"/>
        <v>4.8679198151471859</v>
      </c>
      <c r="E42">
        <f t="shared" si="2"/>
        <v>1.8240583551368834</v>
      </c>
      <c r="F42">
        <v>86158.813567168007</v>
      </c>
      <c r="H42">
        <v>2010</v>
      </c>
      <c r="I42">
        <v>5286.1981523036302</v>
      </c>
      <c r="T42">
        <v>1993.41515771793</v>
      </c>
      <c r="U42">
        <v>1818.1763581149</v>
      </c>
      <c r="V42">
        <v>1846.0131905261801</v>
      </c>
      <c r="W42">
        <v>215.647297152725</v>
      </c>
      <c r="X42">
        <v>531.30534622847199</v>
      </c>
      <c r="Y42">
        <f t="shared" si="5"/>
        <v>746.95264338119705</v>
      </c>
      <c r="Z42">
        <f t="shared" si="6"/>
        <v>4.8679198151471859</v>
      </c>
      <c r="AA42">
        <f t="shared" si="7"/>
        <v>4.4399866665165861</v>
      </c>
      <c r="AB42">
        <f t="shared" si="8"/>
        <v>4.5079642112649321</v>
      </c>
      <c r="AC42">
        <f t="shared" si="9"/>
        <v>0.42793314863059972</v>
      </c>
      <c r="AD42">
        <f t="shared" si="10"/>
        <v>1.8240583551368834</v>
      </c>
      <c r="AE42">
        <f t="shared" si="11"/>
        <v>6.3320225664018155</v>
      </c>
      <c r="AF42">
        <f t="shared" si="12"/>
        <v>1.1060311171478148</v>
      </c>
      <c r="AG42">
        <f t="shared" si="13"/>
        <v>1.2648676956378275</v>
      </c>
      <c r="AH42">
        <f t="shared" si="14"/>
        <v>1.0657870979864124</v>
      </c>
    </row>
    <row r="43" spans="1:34">
      <c r="A43">
        <v>2009</v>
      </c>
      <c r="B43">
        <f t="shared" si="0"/>
        <v>3.9999137979744903</v>
      </c>
      <c r="D43">
        <f t="shared" si="1"/>
        <v>3.2036453896436168</v>
      </c>
      <c r="E43">
        <f t="shared" si="2"/>
        <v>1.2512137212832011</v>
      </c>
      <c r="F43">
        <v>128032.44819415901</v>
      </c>
      <c r="H43">
        <v>2011</v>
      </c>
      <c r="I43">
        <v>5929.0110653228603</v>
      </c>
      <c r="T43">
        <v>1311.89409895316</v>
      </c>
      <c r="U43">
        <v>1190.7032138611601</v>
      </c>
      <c r="V43">
        <v>1125.5938069988899</v>
      </c>
      <c r="W43">
        <v>186.18732752441201</v>
      </c>
      <c r="X43">
        <v>326.18520371359</v>
      </c>
      <c r="Y43">
        <f t="shared" si="5"/>
        <v>512.37253123800201</v>
      </c>
      <c r="Z43">
        <f t="shared" si="6"/>
        <v>3.2036453896436168</v>
      </c>
      <c r="AA43">
        <f t="shared" si="7"/>
        <v>2.9076972482489531</v>
      </c>
      <c r="AB43">
        <f t="shared" si="8"/>
        <v>2.7487000766912892</v>
      </c>
      <c r="AC43">
        <f t="shared" si="9"/>
        <v>0.29594814139466363</v>
      </c>
      <c r="AD43">
        <f t="shared" si="10"/>
        <v>1.2512137212832011</v>
      </c>
      <c r="AE43">
        <f t="shared" si="11"/>
        <v>3.9999137979744903</v>
      </c>
      <c r="AF43">
        <f t="shared" si="12"/>
        <v>0.6316960743630845</v>
      </c>
      <c r="AG43">
        <f t="shared" si="13"/>
        <v>0.65811383738800389</v>
      </c>
      <c r="AH43">
        <f t="shared" si="14"/>
        <v>0.68595048933580083</v>
      </c>
    </row>
    <row r="44" spans="1:34">
      <c r="A44">
        <v>2010</v>
      </c>
      <c r="B44">
        <f t="shared" si="0"/>
        <v>5.9839871782927299</v>
      </c>
      <c r="D44">
        <f t="shared" si="1"/>
        <v>2.9955728165242856</v>
      </c>
      <c r="E44">
        <f t="shared" si="2"/>
        <v>1.6947110696749352</v>
      </c>
      <c r="F44">
        <v>195451.11611056299</v>
      </c>
      <c r="H44">
        <v>2012</v>
      </c>
      <c r="I44">
        <v>5657.6558670565901</v>
      </c>
      <c r="T44">
        <v>1226.68829505499</v>
      </c>
      <c r="U44">
        <v>948.10131416575405</v>
      </c>
      <c r="V44">
        <v>1756.4603229393099</v>
      </c>
      <c r="W44">
        <v>185.56056274724801</v>
      </c>
      <c r="X44">
        <v>508.42431426951498</v>
      </c>
      <c r="Y44">
        <f t="shared" si="5"/>
        <v>693.98487701676299</v>
      </c>
      <c r="Z44">
        <f t="shared" si="6"/>
        <v>2.9955728165242856</v>
      </c>
      <c r="AA44">
        <f t="shared" si="7"/>
        <v>2.3152634091927715</v>
      </c>
      <c r="AB44">
        <f t="shared" si="8"/>
        <v>4.2892761086177948</v>
      </c>
      <c r="AC44">
        <f t="shared" si="9"/>
        <v>0.68030940733151413</v>
      </c>
      <c r="AD44">
        <f t="shared" si="10"/>
        <v>1.6947110696749352</v>
      </c>
      <c r="AE44">
        <f t="shared" si="11"/>
        <v>5.9839871782927299</v>
      </c>
      <c r="AF44">
        <f t="shared" si="12"/>
        <v>1.4960290347564369</v>
      </c>
      <c r="AG44">
        <f t="shared" si="13"/>
        <v>0.93505130942645376</v>
      </c>
      <c r="AH44">
        <f t="shared" si="14"/>
        <v>1.354453712301763</v>
      </c>
    </row>
    <row r="45" spans="1:34">
      <c r="A45">
        <v>2011</v>
      </c>
      <c r="B45">
        <f t="shared" si="0"/>
        <v>5.7578257439144789</v>
      </c>
      <c r="D45">
        <f t="shared" si="1"/>
        <v>3.4375424610945413</v>
      </c>
      <c r="E45">
        <f t="shared" si="2"/>
        <v>1.7030612275336483</v>
      </c>
      <c r="F45">
        <v>312714.73530161398</v>
      </c>
      <c r="T45">
        <v>1407.6750454932601</v>
      </c>
      <c r="U45">
        <v>1138.19698641274</v>
      </c>
      <c r="V45">
        <v>1660.42772988568</v>
      </c>
      <c r="W45">
        <v>198.26909654032099</v>
      </c>
      <c r="X45">
        <v>499.13517353897799</v>
      </c>
      <c r="Y45">
        <f t="shared" si="5"/>
        <v>697.40427007929895</v>
      </c>
      <c r="Z45">
        <f t="shared" si="6"/>
        <v>3.4375424610945413</v>
      </c>
      <c r="AA45">
        <f t="shared" si="7"/>
        <v>2.779477040819911</v>
      </c>
      <c r="AB45">
        <f t="shared" si="8"/>
        <v>4.054764516380831</v>
      </c>
      <c r="AC45">
        <f t="shared" si="9"/>
        <v>0.65806542027463033</v>
      </c>
      <c r="AD45">
        <f t="shared" si="10"/>
        <v>1.7030612275336483</v>
      </c>
      <c r="AE45">
        <f t="shared" si="11"/>
        <v>5.7578257439144789</v>
      </c>
      <c r="AF45">
        <f t="shared" si="12"/>
        <v>0.9622055616698737</v>
      </c>
      <c r="AG45">
        <f t="shared" si="13"/>
        <v>1.1475409451348493</v>
      </c>
      <c r="AH45">
        <f t="shared" si="14"/>
        <v>1.0049271867093632</v>
      </c>
    </row>
    <row r="46" spans="1:34">
      <c r="A46">
        <v>2012</v>
      </c>
      <c r="B46">
        <f t="shared" si="0"/>
        <v>5.7661581238212554</v>
      </c>
      <c r="D46">
        <f t="shared" si="1"/>
        <v>3.5939477506491193</v>
      </c>
      <c r="E46">
        <f t="shared" si="2"/>
        <v>1.6706840899023396</v>
      </c>
      <c r="F46">
        <v>267750.56930199399</v>
      </c>
      <c r="T46">
        <v>1471.7230756138899</v>
      </c>
      <c r="U46">
        <v>1311.3848060745499</v>
      </c>
      <c r="V46">
        <v>1677.0982939880901</v>
      </c>
      <c r="W46">
        <v>203.24022181720699</v>
      </c>
      <c r="X46">
        <v>480.90559714362001</v>
      </c>
      <c r="Y46">
        <f t="shared" si="5"/>
        <v>684.145818960827</v>
      </c>
      <c r="Z46">
        <f t="shared" si="6"/>
        <v>3.5939477506491193</v>
      </c>
      <c r="AA46">
        <f t="shared" si="7"/>
        <v>3.2024016964340514</v>
      </c>
      <c r="AB46">
        <f t="shared" si="8"/>
        <v>4.095474033918916</v>
      </c>
      <c r="AC46">
        <f t="shared" si="9"/>
        <v>0.39154605421506794</v>
      </c>
      <c r="AD46">
        <f t="shared" si="10"/>
        <v>1.6706840899023396</v>
      </c>
      <c r="AE46">
        <f t="shared" si="11"/>
        <v>5.7661581238212554</v>
      </c>
      <c r="AF46">
        <f t="shared" si="12"/>
        <v>1.0014471399930056</v>
      </c>
      <c r="AG46">
        <f t="shared" si="13"/>
        <v>1.0454991585776012</v>
      </c>
      <c r="AH46">
        <f t="shared" si="14"/>
        <v>0.98098885870462993</v>
      </c>
    </row>
    <row r="47" spans="1:34">
      <c r="A47">
        <v>2013</v>
      </c>
      <c r="B47">
        <f t="shared" si="0"/>
        <v>5.7621303453008554</v>
      </c>
      <c r="D47">
        <f>Z47</f>
        <v>3.7505894952005758</v>
      </c>
      <c r="E47">
        <f t="shared" si="2"/>
        <v>1.7175457171306512</v>
      </c>
      <c r="F47">
        <v>264149.68983555201</v>
      </c>
      <c r="T47">
        <v>1535.8679341525699</v>
      </c>
      <c r="U47">
        <v>1377.55144395247</v>
      </c>
      <c r="V47">
        <v>1656.2590614947601</v>
      </c>
      <c r="W47">
        <v>210.25447467777701</v>
      </c>
      <c r="X47">
        <v>493.08119982289901</v>
      </c>
      <c r="Y47">
        <f t="shared" si="5"/>
        <v>703.33567450067608</v>
      </c>
      <c r="Z47">
        <f t="shared" si="6"/>
        <v>3.7505894952005758</v>
      </c>
      <c r="AA47">
        <f t="shared" si="7"/>
        <v>3.3639806261319318</v>
      </c>
      <c r="AB47">
        <f t="shared" si="8"/>
        <v>4.0445846281702043</v>
      </c>
      <c r="AC47">
        <f t="shared" si="9"/>
        <v>0.386608869068644</v>
      </c>
      <c r="AD47">
        <f t="shared" si="10"/>
        <v>1.7175457171306512</v>
      </c>
      <c r="AE47">
        <f t="shared" si="11"/>
        <v>5.7621303453008554</v>
      </c>
      <c r="AF47">
        <f t="shared" si="12"/>
        <v>0.99930147969689553</v>
      </c>
      <c r="AG47">
        <f t="shared" si="13"/>
        <v>1.0435848697363963</v>
      </c>
      <c r="AH47">
        <f t="shared" si="14"/>
        <v>1.0280493646354476</v>
      </c>
    </row>
    <row r="48" spans="1:34">
      <c r="A48">
        <v>2014</v>
      </c>
      <c r="B48">
        <f t="shared" si="0"/>
        <v>5.9935341477818227</v>
      </c>
      <c r="D48">
        <f t="shared" si="1"/>
        <v>4.0434616523896647</v>
      </c>
      <c r="E48">
        <f t="shared" si="2"/>
        <v>1.7865978512599814</v>
      </c>
      <c r="F48">
        <v>207625.800655217</v>
      </c>
      <c r="T48">
        <v>1655.79920245277</v>
      </c>
      <c r="U48">
        <v>1508.0252743216899</v>
      </c>
      <c r="V48">
        <v>1722.74213616783</v>
      </c>
      <c r="W48">
        <v>212.130167640227</v>
      </c>
      <c r="X48">
        <v>519.48238406328699</v>
      </c>
      <c r="Y48">
        <f t="shared" si="5"/>
        <v>731.61255170351399</v>
      </c>
      <c r="Z48">
        <f t="shared" si="6"/>
        <v>4.0434616523896647</v>
      </c>
      <c r="AA48">
        <f t="shared" si="7"/>
        <v>3.6825977198935669</v>
      </c>
      <c r="AB48">
        <f t="shared" si="8"/>
        <v>4.2069362965218415</v>
      </c>
      <c r="AC48">
        <f t="shared" si="9"/>
        <v>0.36086393249609783</v>
      </c>
      <c r="AD48">
        <f t="shared" si="10"/>
        <v>1.7865978512599814</v>
      </c>
      <c r="AE48">
        <f t="shared" si="11"/>
        <v>5.9935341477818227</v>
      </c>
      <c r="AF48">
        <f t="shared" si="12"/>
        <v>1.0401594182383747</v>
      </c>
      <c r="AG48">
        <f t="shared" si="13"/>
        <v>1.0780869667458572</v>
      </c>
      <c r="AH48">
        <f t="shared" si="14"/>
        <v>1.0402039569838579</v>
      </c>
    </row>
    <row r="49" spans="1:34">
      <c r="A49">
        <v>2015</v>
      </c>
      <c r="B49">
        <f t="shared" si="0"/>
        <v>6.2983784579171047</v>
      </c>
      <c r="D49">
        <f t="shared" si="1"/>
        <v>3.4298815989521141</v>
      </c>
      <c r="E49">
        <f t="shared" si="2"/>
        <v>1.8792195294972043</v>
      </c>
      <c r="F49">
        <v>291003.98529113899</v>
      </c>
      <c r="T49">
        <v>1404.5379193088099</v>
      </c>
      <c r="U49">
        <v>1275.26132404181</v>
      </c>
      <c r="V49">
        <v>1809.64739083534</v>
      </c>
      <c r="W49">
        <v>216.666666666666</v>
      </c>
      <c r="X49">
        <v>552.87450020360598</v>
      </c>
      <c r="Y49">
        <f t="shared" si="5"/>
        <v>769.54116687027204</v>
      </c>
      <c r="Z49">
        <f t="shared" si="6"/>
        <v>3.4298815989521141</v>
      </c>
      <c r="AA49">
        <f t="shared" si="7"/>
        <v>3.1141881533101001</v>
      </c>
      <c r="AB49">
        <f t="shared" si="8"/>
        <v>4.4191589284199004</v>
      </c>
      <c r="AC49">
        <f t="shared" si="9"/>
        <v>0.31569344564201396</v>
      </c>
      <c r="AD49">
        <f t="shared" si="10"/>
        <v>1.8792195294972043</v>
      </c>
      <c r="AE49">
        <f t="shared" si="11"/>
        <v>6.2983784579171047</v>
      </c>
      <c r="AF49">
        <f t="shared" si="12"/>
        <v>1.050862196263302</v>
      </c>
      <c r="AG49">
        <f t="shared" si="13"/>
        <v>0.84825377209279873</v>
      </c>
      <c r="AH49">
        <f t="shared" si="14"/>
        <v>1.0518424883204143</v>
      </c>
    </row>
    <row r="50" spans="1:34">
      <c r="A50">
        <v>2016</v>
      </c>
      <c r="B50">
        <f>AVERAGE($AF$45:$AF$49)*B49</f>
        <v>6.3663704558976448</v>
      </c>
      <c r="D50">
        <f>AVERAGE($AG$45:$AG$49)*D49</f>
        <v>3.5416722185191207</v>
      </c>
      <c r="E50">
        <f>AVERAGE($AH$45:$AH$49)*E49</f>
        <v>1.9190634392849897</v>
      </c>
      <c r="F50">
        <v>260630.35285328</v>
      </c>
    </row>
    <row r="51" spans="1:34">
      <c r="A51">
        <v>2017</v>
      </c>
      <c r="B51">
        <f>AVERAGE($AF$45:$AF$49)*B50</f>
        <v>6.4350964383188263</v>
      </c>
      <c r="D51">
        <f>AVERAGE($AG$45:$AG$49)*D50</f>
        <v>3.6571064456750872</v>
      </c>
      <c r="E51">
        <f>AVERAGE($AH$45:$AH$49)*E50</f>
        <v>1.9597521344330049</v>
      </c>
      <c r="F51">
        <v>262582.40069088101</v>
      </c>
    </row>
    <row r="52" spans="1:34">
      <c r="A52">
        <v>2018</v>
      </c>
      <c r="B52">
        <f>AVERAGE($AF$45:$AF$49)*B51</f>
        <v>6.5045643286595167</v>
      </c>
      <c r="D52">
        <f>AVERAGE($AG$45:$AG$49)*D51</f>
        <v>3.7763030370412198</v>
      </c>
      <c r="E52">
        <f>AVERAGE($AH$45:$AH$49)*E51</f>
        <v>2.0013035263939325</v>
      </c>
      <c r="F52">
        <v>276630.04703836801</v>
      </c>
    </row>
    <row r="53" spans="1:34">
      <c r="A53">
        <v>2019</v>
      </c>
      <c r="B53">
        <f>AVERAGE($AF$45:$AF$49)*B52</f>
        <v>6.5747821359337983</v>
      </c>
      <c r="D53">
        <f>AVERAGE($AG$45:$AG$49)*D52</f>
        <v>3.8993846198901974</v>
      </c>
      <c r="E53">
        <f>AVERAGE($AH$45:$AH$49)*E52</f>
        <v>2.0437359063857219</v>
      </c>
      <c r="F53">
        <v>216288.23927218901</v>
      </c>
    </row>
    <row r="54" spans="1:34">
      <c r="A54">
        <v>2020</v>
      </c>
      <c r="F54">
        <v>286313.42575992399</v>
      </c>
    </row>
    <row r="55" spans="1:34">
      <c r="A55">
        <v>2021</v>
      </c>
      <c r="F55">
        <v>201691.00568007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E71" sqref="D71:E71"/>
    </sheetView>
  </sheetViews>
  <sheetFormatPr baseColWidth="10" defaultColWidth="8.83203125" defaultRowHeight="15"/>
  <sheetData>
    <row r="1" spans="1:5">
      <c r="B1" t="s">
        <v>176</v>
      </c>
      <c r="C1" t="s">
        <v>180</v>
      </c>
      <c r="D1" t="s">
        <v>181</v>
      </c>
      <c r="E1" t="s">
        <v>187</v>
      </c>
    </row>
    <row r="2" spans="1:5">
      <c r="A2" t="s">
        <v>173</v>
      </c>
      <c r="B2" t="s">
        <v>296</v>
      </c>
      <c r="D2" t="s">
        <v>299</v>
      </c>
      <c r="E2" t="s">
        <v>295</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G28"/>
  <sheetViews>
    <sheetView workbookViewId="0">
      <selection activeCell="B2" sqref="B2"/>
    </sheetView>
  </sheetViews>
  <sheetFormatPr baseColWidth="10" defaultColWidth="8.83203125" defaultRowHeight="15"/>
  <sheetData>
    <row r="1" spans="1:7">
      <c r="B1" t="s">
        <v>176</v>
      </c>
      <c r="C1" t="s">
        <v>180</v>
      </c>
      <c r="D1" t="s">
        <v>181</v>
      </c>
      <c r="E1" t="s">
        <v>187</v>
      </c>
      <c r="F1" t="s">
        <v>452</v>
      </c>
      <c r="G1" t="s">
        <v>454</v>
      </c>
    </row>
    <row r="2" spans="1:7">
      <c r="A2" t="s">
        <v>173</v>
      </c>
      <c r="B2" s="1" t="s">
        <v>297</v>
      </c>
      <c r="D2" s="1" t="s">
        <v>333</v>
      </c>
      <c r="E2" s="1" t="s">
        <v>297</v>
      </c>
      <c r="F2" s="1" t="s">
        <v>453</v>
      </c>
      <c r="G2" s="1" t="s">
        <v>455</v>
      </c>
    </row>
    <row r="3" spans="1:7" ht="16">
      <c r="A3">
        <v>1995</v>
      </c>
      <c r="B3">
        <v>1469.917875310188</v>
      </c>
      <c r="C3" s="2"/>
      <c r="D3">
        <v>1022.922</v>
      </c>
      <c r="E3">
        <v>461.47509857472789</v>
      </c>
    </row>
    <row r="4" spans="1:7">
      <c r="A4">
        <v>1996</v>
      </c>
      <c r="B4">
        <v>1432.5767347969486</v>
      </c>
      <c r="D4">
        <v>1061.732</v>
      </c>
      <c r="E4">
        <v>461.65741021908769</v>
      </c>
    </row>
    <row r="5" spans="1:7">
      <c r="A5">
        <v>1997</v>
      </c>
      <c r="B5">
        <v>1558.8604356972196</v>
      </c>
      <c r="D5">
        <v>1096.1959999999999</v>
      </c>
      <c r="E5">
        <v>508.20377528446966</v>
      </c>
    </row>
    <row r="6" spans="1:7">
      <c r="A6">
        <v>1998</v>
      </c>
      <c r="B6">
        <v>1566.6470888700878</v>
      </c>
      <c r="D6">
        <v>1130.6079999999999</v>
      </c>
      <c r="E6">
        <v>530.06172301643778</v>
      </c>
      <c r="G6">
        <v>1180</v>
      </c>
    </row>
    <row r="7" spans="1:7">
      <c r="A7">
        <v>1999</v>
      </c>
      <c r="B7">
        <v>1635.0227035488601</v>
      </c>
      <c r="D7">
        <v>1104.134</v>
      </c>
      <c r="E7">
        <v>523.39043338001011</v>
      </c>
      <c r="G7">
        <v>1170</v>
      </c>
    </row>
    <row r="8" spans="1:7">
      <c r="A8">
        <v>2000</v>
      </c>
      <c r="B8">
        <v>1661.7302002671909</v>
      </c>
      <c r="D8">
        <v>1226.5060000000001</v>
      </c>
      <c r="E8">
        <v>507.88404642104092</v>
      </c>
      <c r="F8" s="4">
        <v>1169.4915249999999</v>
      </c>
      <c r="G8">
        <v>1290</v>
      </c>
    </row>
    <row r="9" spans="1:7">
      <c r="A9">
        <v>2001</v>
      </c>
      <c r="B9">
        <v>1646.5508055892237</v>
      </c>
      <c r="D9">
        <v>1280.5909999999999</v>
      </c>
      <c r="E9">
        <v>506.77594630217362</v>
      </c>
      <c r="F9" s="4"/>
      <c r="G9">
        <v>1350</v>
      </c>
    </row>
    <row r="10" spans="1:7">
      <c r="A10">
        <v>2002</v>
      </c>
      <c r="B10">
        <v>1828.5151622065189</v>
      </c>
      <c r="D10">
        <v>1291.55</v>
      </c>
      <c r="E10">
        <v>623.07426164366882</v>
      </c>
      <c r="F10" s="4"/>
      <c r="G10">
        <v>1350</v>
      </c>
    </row>
    <row r="11" spans="1:7">
      <c r="A11">
        <v>2003</v>
      </c>
      <c r="B11">
        <v>1852.2122080473666</v>
      </c>
      <c r="D11">
        <v>1320.856</v>
      </c>
      <c r="E11">
        <v>599.86699228751672</v>
      </c>
      <c r="F11" s="4"/>
      <c r="G11">
        <v>1330</v>
      </c>
    </row>
    <row r="12" spans="1:7">
      <c r="A12">
        <v>2004</v>
      </c>
      <c r="B12">
        <v>1918.1720841064041</v>
      </c>
      <c r="D12">
        <v>1389.83</v>
      </c>
      <c r="E12">
        <v>637.68427922835428</v>
      </c>
      <c r="F12" s="4"/>
      <c r="G12">
        <v>1370</v>
      </c>
    </row>
    <row r="13" spans="1:7">
      <c r="A13">
        <v>2005</v>
      </c>
      <c r="B13">
        <v>1807.1371119820149</v>
      </c>
      <c r="D13">
        <v>1432.046</v>
      </c>
      <c r="E13">
        <v>526.64930710397505</v>
      </c>
      <c r="F13" s="4">
        <v>1381.3559319999999</v>
      </c>
      <c r="G13">
        <v>1460</v>
      </c>
    </row>
    <row r="14" spans="1:7">
      <c r="A14">
        <v>2006</v>
      </c>
      <c r="B14">
        <v>2007.3552125204042</v>
      </c>
      <c r="D14">
        <v>1562.2090000000001</v>
      </c>
      <c r="E14">
        <v>572.08316749226424</v>
      </c>
      <c r="F14" s="4"/>
      <c r="G14">
        <v>1570</v>
      </c>
    </row>
    <row r="15" spans="1:7">
      <c r="A15">
        <v>2007</v>
      </c>
      <c r="B15">
        <v>1863.4250041489902</v>
      </c>
      <c r="D15">
        <v>1584.009</v>
      </c>
      <c r="E15">
        <v>512.58072647544986</v>
      </c>
      <c r="F15" s="4"/>
      <c r="G15">
        <v>1740</v>
      </c>
    </row>
    <row r="16" spans="1:7">
      <c r="A16">
        <v>2008</v>
      </c>
      <c r="B16">
        <v>1854.4805365204747</v>
      </c>
      <c r="D16">
        <v>1551.0530000000001</v>
      </c>
      <c r="E16">
        <v>536.46927948483471</v>
      </c>
      <c r="F16" s="4"/>
      <c r="G16">
        <v>1630</v>
      </c>
    </row>
    <row r="17" spans="1:7">
      <c r="A17">
        <v>2009</v>
      </c>
      <c r="B17">
        <v>1773.6215012491273</v>
      </c>
      <c r="D17">
        <v>1351.752</v>
      </c>
      <c r="E17">
        <v>502.5145594104772</v>
      </c>
      <c r="F17" s="4"/>
      <c r="G17">
        <v>1410</v>
      </c>
    </row>
    <row r="18" spans="1:7">
      <c r="A18">
        <v>2010</v>
      </c>
      <c r="B18">
        <v>2070.5609888925214</v>
      </c>
      <c r="D18">
        <v>1605.13</v>
      </c>
      <c r="E18">
        <v>574.31333410828154</v>
      </c>
      <c r="F18" s="4">
        <v>1573.446328</v>
      </c>
      <c r="G18">
        <v>1690</v>
      </c>
    </row>
    <row r="19" spans="1:7">
      <c r="A19">
        <v>2011</v>
      </c>
      <c r="B19">
        <v>2253.2043546584018</v>
      </c>
      <c r="D19">
        <v>2129.2730000000001</v>
      </c>
      <c r="E19">
        <v>611.5533227634719</v>
      </c>
      <c r="F19" s="4">
        <v>2197.7401129999998</v>
      </c>
      <c r="G19">
        <v>2340</v>
      </c>
    </row>
    <row r="20" spans="1:7">
      <c r="A20">
        <v>2012</v>
      </c>
      <c r="B20">
        <v>2317.9463444890989</v>
      </c>
      <c r="D20">
        <v>2709.4760000000001</v>
      </c>
      <c r="E20">
        <v>615.31970283806891</v>
      </c>
      <c r="F20" s="4">
        <v>2355.9322029999998</v>
      </c>
      <c r="G20">
        <v>2420</v>
      </c>
    </row>
    <row r="21" spans="1:7">
      <c r="A21">
        <v>2013</v>
      </c>
      <c r="B21">
        <v>2457.656878677687</v>
      </c>
      <c r="D21">
        <v>3090.2919999999999</v>
      </c>
      <c r="E21">
        <v>637.76944903416688</v>
      </c>
      <c r="F21" s="4">
        <v>2511.2994349999999</v>
      </c>
      <c r="G21">
        <v>2610</v>
      </c>
    </row>
    <row r="22" spans="1:7">
      <c r="A22">
        <v>2014</v>
      </c>
      <c r="B22">
        <v>2551.1525244544005</v>
      </c>
      <c r="D22">
        <v>2074.3649999999998</v>
      </c>
      <c r="E22">
        <v>646.83732745628015</v>
      </c>
      <c r="F22" s="4">
        <v>2158.19209</v>
      </c>
      <c r="G22">
        <v>2130</v>
      </c>
    </row>
    <row r="23" spans="1:7">
      <c r="A23">
        <v>2015</v>
      </c>
      <c r="B23">
        <v>2543.4257897672492</v>
      </c>
      <c r="D23">
        <v>2163.6880000000001</v>
      </c>
      <c r="E23">
        <v>629.729729729729</v>
      </c>
      <c r="F23" s="4">
        <v>2149.7175139999999</v>
      </c>
      <c r="G23">
        <v>2110</v>
      </c>
    </row>
    <row r="24" spans="1:7">
      <c r="A24">
        <v>2016</v>
      </c>
      <c r="B24">
        <v>2727.9397596470685</v>
      </c>
      <c r="D24">
        <v>1993.057</v>
      </c>
      <c r="E24">
        <v>659.45945945945903</v>
      </c>
      <c r="F24" s="4">
        <v>1997.1751409999999</v>
      </c>
      <c r="G24">
        <v>2010</v>
      </c>
    </row>
    <row r="25" spans="1:7">
      <c r="A25">
        <v>2017</v>
      </c>
      <c r="B25">
        <v>2940.1957304396319</v>
      </c>
      <c r="D25">
        <v>2136.8220000000001</v>
      </c>
      <c r="E25">
        <v>721.62162162162201</v>
      </c>
      <c r="F25" s="4">
        <v>2127.1186440000001</v>
      </c>
      <c r="G25">
        <v>2200</v>
      </c>
    </row>
    <row r="26" spans="1:7">
      <c r="A26">
        <v>2018</v>
      </c>
      <c r="B26">
        <v>3118.0315399827541</v>
      </c>
      <c r="D26">
        <v>2383.8649999999998</v>
      </c>
      <c r="E26">
        <v>754.05405405405395</v>
      </c>
      <c r="F26" s="4">
        <v>2316.3841809999999</v>
      </c>
      <c r="G26">
        <v>2400</v>
      </c>
    </row>
    <row r="27" spans="1:7">
      <c r="A27">
        <v>2019</v>
      </c>
      <c r="B27">
        <v>3226.8622280817385</v>
      </c>
      <c r="D27">
        <v>2673.57</v>
      </c>
      <c r="E27">
        <v>787.83783783783804</v>
      </c>
      <c r="F27" s="4">
        <v>2511.2994349999999</v>
      </c>
      <c r="G27">
        <v>2610</v>
      </c>
    </row>
    <row r="28" spans="1:7">
      <c r="A28">
        <v>2020</v>
      </c>
      <c r="B28">
        <v>3190.6115308554304</v>
      </c>
      <c r="D28">
        <v>2510.1309999999999</v>
      </c>
      <c r="E28">
        <v>779.72972972973002</v>
      </c>
      <c r="F28" s="4">
        <v>2387.0056500000001</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 ref="F2" r:id="rId4" display="https://insg.org/wp-content/uploads/2022/02/publist_The-World-Nickel-Factbook-2021.pdf" xr:uid="{D5257CF3-F04C-D649-BE0C-7DB39E2CC142}"/>
    <hyperlink ref="G2" r:id="rId5" xr:uid="{441B5B3C-D9B1-3340-A12C-DF86329AF9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Al</vt:lpstr>
      <vt:lpstr>Steel</vt:lpstr>
      <vt:lpstr>Au</vt:lpstr>
      <vt:lpstr>W</vt:lpstr>
      <vt:lpstr>Sn</vt:lpstr>
      <vt:lpstr>Ta</vt:lpstr>
      <vt:lpstr>Cu</vt:lpstr>
      <vt:lpstr>Ni</vt:lpstr>
      <vt:lpstr>Ag</vt:lpstr>
      <vt:lpstr>Zn</vt:lpstr>
      <vt:lpstr>Pb</vt:lpstr>
      <vt:lpstr>Mo</vt:lpstr>
      <vt:lpstr>Pt</vt:lpstr>
      <vt:lpstr>Li</vt:lpstr>
      <vt:lpstr>Ore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2023-03-05T19:33:26Z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