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input_files/user_defined/"/>
    </mc:Choice>
  </mc:AlternateContent>
  <xr:revisionPtr revIDLastSave="0" documentId="13_ncr:1_{53D691F9-34E3-0348-9051-91FFC6C9A5A9}" xr6:coauthVersionLast="47" xr6:coauthVersionMax="47" xr10:uidLastSave="{00000000-0000-0000-0000-000000000000}"/>
  <bookViews>
    <workbookView xWindow="0" yWindow="500" windowWidth="28800" windowHeight="16080" activeTab="15"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 name="Ore grade" sheetId="18" r:id="rId16"/>
  </sheets>
  <externalReferences>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7" i="17" l="1"/>
  <c r="L40" i="17"/>
  <c r="L37" i="17"/>
  <c r="L36" i="17"/>
  <c r="L25" i="17"/>
  <c r="O22" i="17"/>
  <c r="O23" i="17"/>
  <c r="O24" i="17"/>
  <c r="O25" i="17"/>
  <c r="O26" i="17"/>
  <c r="F22" i="17"/>
  <c r="T22" i="17"/>
  <c r="G22" i="17"/>
  <c r="H22" i="17"/>
  <c r="I22" i="17"/>
  <c r="J22" i="17"/>
  <c r="K22" i="17"/>
  <c r="U22" i="17"/>
  <c r="L22" i="17"/>
  <c r="M22" i="17"/>
  <c r="N22" i="17"/>
  <c r="F23" i="17"/>
  <c r="T23" i="17"/>
  <c r="G23" i="17"/>
  <c r="H23" i="17"/>
  <c r="I23" i="17"/>
  <c r="J23" i="17"/>
  <c r="K23" i="17"/>
  <c r="U23" i="17"/>
  <c r="L23" i="17"/>
  <c r="M23" i="17"/>
  <c r="N23" i="17"/>
  <c r="F24" i="17"/>
  <c r="T24" i="17"/>
  <c r="G24" i="17"/>
  <c r="H24" i="17"/>
  <c r="I24" i="17"/>
  <c r="J24" i="17"/>
  <c r="K24" i="17"/>
  <c r="U24" i="17"/>
  <c r="L24" i="17"/>
  <c r="M24" i="17"/>
  <c r="N24" i="17"/>
  <c r="F25" i="17"/>
  <c r="T25" i="17"/>
  <c r="G25" i="17"/>
  <c r="H25" i="17"/>
  <c r="I25" i="17"/>
  <c r="J25" i="17"/>
  <c r="K25" i="17"/>
  <c r="N25" i="17"/>
  <c r="F26" i="17"/>
  <c r="T26" i="17"/>
  <c r="G26" i="17"/>
  <c r="H26" i="17"/>
  <c r="I26" i="17"/>
  <c r="J26" i="17"/>
  <c r="K26" i="17"/>
  <c r="U26" i="17"/>
  <c r="L26" i="17"/>
  <c r="M26" i="17"/>
  <c r="N26" i="17"/>
  <c r="S23" i="17"/>
  <c r="S24" i="17"/>
  <c r="S25" i="17"/>
  <c r="S26" i="17"/>
  <c r="S22" i="17"/>
  <c r="E22" i="17"/>
  <c r="E23" i="17"/>
  <c r="E24" i="17"/>
  <c r="E25" i="17"/>
  <c r="E26" i="17"/>
  <c r="D23" i="17"/>
  <c r="D24" i="17"/>
  <c r="D25" i="17"/>
  <c r="D26" i="17"/>
  <c r="D22" i="17"/>
  <c r="F32" i="13"/>
  <c r="F40" i="17"/>
  <c r="F23" i="12" l="1"/>
  <c r="F22" i="12"/>
  <c r="F21" i="12"/>
  <c r="F20" i="12"/>
  <c r="F14" i="12"/>
  <c r="F13" i="12"/>
  <c r="F12" i="12"/>
  <c r="F9" i="12"/>
  <c r="F5" i="12"/>
  <c r="F4" i="12"/>
  <c r="F6" i="12"/>
  <c r="F7" i="12"/>
  <c r="F8" i="12"/>
  <c r="F10" i="12"/>
  <c r="F11" i="12"/>
  <c r="F15" i="12"/>
  <c r="F16" i="12"/>
  <c r="F17" i="12"/>
  <c r="F18" i="12"/>
  <c r="F19" i="12"/>
  <c r="F3" i="12"/>
  <c r="D4" i="6"/>
  <c r="D7" i="6"/>
  <c r="D12" i="6"/>
  <c r="D14" i="6"/>
  <c r="D15" i="6"/>
  <c r="D16" i="6"/>
  <c r="D19" i="6"/>
  <c r="D20" i="6"/>
  <c r="D22" i="6"/>
  <c r="D23" i="6"/>
  <c r="D24" i="6"/>
  <c r="D27" i="6"/>
  <c r="D28" i="6"/>
  <c r="D30" i="6"/>
  <c r="D31" i="6"/>
  <c r="D32" i="6"/>
  <c r="L3" i="6"/>
  <c r="L4" i="6"/>
  <c r="D5" i="6" s="1"/>
  <c r="L5" i="6"/>
  <c r="D6" i="6" s="1"/>
  <c r="L6" i="6"/>
  <c r="L7" i="6"/>
  <c r="D8" i="6" s="1"/>
  <c r="L8" i="6"/>
  <c r="D9" i="6" s="1"/>
  <c r="L9" i="6"/>
  <c r="D10" i="6" s="1"/>
  <c r="L10" i="6"/>
  <c r="D11" i="6" s="1"/>
  <c r="L11" i="6"/>
  <c r="L12" i="6"/>
  <c r="D13" i="6" s="1"/>
  <c r="L13" i="6"/>
  <c r="L14" i="6"/>
  <c r="L15" i="6"/>
  <c r="L16" i="6"/>
  <c r="D17" i="6" s="1"/>
  <c r="L17" i="6"/>
  <c r="D18" i="6" s="1"/>
  <c r="L18" i="6"/>
  <c r="L19" i="6"/>
  <c r="L20" i="6"/>
  <c r="D21" i="6" s="1"/>
  <c r="L21" i="6"/>
  <c r="L22" i="6"/>
  <c r="L23" i="6"/>
  <c r="L24" i="6"/>
  <c r="D25" i="6" s="1"/>
  <c r="L25" i="6"/>
  <c r="D26" i="6" s="1"/>
  <c r="L26" i="6"/>
  <c r="L27" i="6"/>
  <c r="L28" i="6"/>
  <c r="D29" i="6" s="1"/>
  <c r="L29" i="6"/>
  <c r="L30" i="6"/>
  <c r="L31" i="6"/>
  <c r="L2" i="6"/>
  <c r="D3" i="6" s="1"/>
  <c r="F4" i="3"/>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L44" i="17"/>
  <c r="U44" i="17"/>
  <c r="K44" i="17"/>
  <c r="J44" i="17"/>
  <c r="I44" i="17"/>
  <c r="H44" i="17"/>
  <c r="G44" i="17"/>
  <c r="E44" i="17"/>
  <c r="L46" i="17"/>
  <c r="U46" i="17"/>
  <c r="K46" i="17"/>
  <c r="J46" i="17"/>
  <c r="I46" i="17"/>
  <c r="E37" i="17"/>
  <c r="E36" i="17"/>
  <c r="K10" i="17"/>
  <c r="F11" i="17"/>
  <c r="F10" i="17"/>
  <c r="F9" i="17"/>
  <c r="F8" i="17"/>
  <c r="T7" i="17"/>
  <c r="I7" i="17"/>
  <c r="I11" i="17"/>
  <c r="I37" i="17" s="1"/>
  <c r="I10" i="17"/>
  <c r="I9" i="17"/>
  <c r="I47" i="17"/>
  <c r="I48" i="17" s="1"/>
  <c r="K6" i="17"/>
  <c r="C45" i="17"/>
  <c r="F7" i="17" l="1"/>
  <c r="I36" i="17"/>
  <c r="C21" i="5"/>
  <c r="M21" i="5"/>
  <c r="L48" i="17" l="1"/>
  <c r="K48" i="17"/>
  <c r="J48" i="17"/>
  <c r="E48" i="17"/>
  <c r="C43" i="17"/>
  <c r="N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<sst xmlns="http://schemas.openxmlformats.org/spreadsheetml/2006/main" count="930" uniqueCount="476">
  <si>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</si>
  <si>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</si>
  <si>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</si>
  <si>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</si>
  <si>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</si>
  <si>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</si>
  <si>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</si>
  <si>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</si>
  <si>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</si>
  <si>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</si>
  <si>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</si>
  <si>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</si>
  <si>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</si>
  <si>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</si>
  <si>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</si>
  <si>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</si>
  <si>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</si>
  <si>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</si>
  <si>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</si>
  <si>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</si>
  <si>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</si>
  <si>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</si>
  <si>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</si>
  <si>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</si>
  <si>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</si>
  <si>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</si>
  <si>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</si>
  <si>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</si>
  <si>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</si>
  <si>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</si>
  <si>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</si>
  <si>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</si>
  <si>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</si>
  <si>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</si>
  <si>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</si>
  <si>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</si>
  <si>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</si>
  <si>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</si>
  <si>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</si>
  <si>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</si>
  <si>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</si>
  <si>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</si>
  <si>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</si>
  <si>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</si>
  <si>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</si>
  <si>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</si>
  <si>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</si>
  <si>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</si>
  <si>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</si>
  <si>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</si>
  <si>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</si>
  <si>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</si>
  <si>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</si>
  <si>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</si>
  <si>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</si>
  <si>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</si>
  <si>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</si>
  <si>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</si>
  <si>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</si>
  <si>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</si>
  <si>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</si>
  <si>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</si>
  <si>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</si>
  <si>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</si>
  <si>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</si>
  <si>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</si>
  <si>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</si>
  <si>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</si>
  <si>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</si>
  <si>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</si>
  <si>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</si>
  <si>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</si>
  <si>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</si>
  <si>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</si>
  <si>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</si>
  <si>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</si>
  <si>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</si>
  <si>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</si>
  <si>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</si>
  <si>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</si>
  <si>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</si>
  <si>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</si>
  <si>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</si>
  <si>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</si>
  <si>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</si>
  <si>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</si>
  <si>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</si>
  <si>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</si>
  <si>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</si>
  <si>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</si>
  <si>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</si>
  <si>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</si>
  <si>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</si>
  <si>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</si>
  <si>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</si>
  <si>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</si>
  <si>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</si>
  <si>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</si>
  <si>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</si>
  <si>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</si>
  <si>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</si>
  <si>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</si>
  <si>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</si>
  <si>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</si>
  <si>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</si>
  <si>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</si>
  <si>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</si>
  <si>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</si>
  <si>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</si>
  <si>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</si>
  <si>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</si>
  <si>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</si>
  <si>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</si>
  <si>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</si>
  <si>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</si>
  <si>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</si>
  <si>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</si>
  <si>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</si>
  <si>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</si>
  <si>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</si>
  <si>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</si>
  <si>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</si>
  <si>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</si>
  <si>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</si>
  <si>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</si>
  <si>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</si>
  <si>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</si>
  <si>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</si>
  <si>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</si>
  <si>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</si>
  <si>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</si>
  <si>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</si>
  <si>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</si>
  <si>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</si>
  <si>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</si>
  <si>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</si>
  <si>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</si>
  <si>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</si>
  <si>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</si>
  <si>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</si>
  <si>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</si>
  <si>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</si>
  <si>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</si>
  <si>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</si>
  <si>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</si>
  <si>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</si>
  <si>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</si>
  <si>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</si>
  <si>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</si>
  <si>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</si>
  <si>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</si>
  <si>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</si>
  <si>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</si>
  <si>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</si>
  <si>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</si>
  <si>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</si>
  <si>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</si>
  <si>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</si>
  <si>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</si>
  <si>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</si>
  <si>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</si>
  <si>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</si>
  <si>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</si>
  <si>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</si>
  <si>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</si>
  <si>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</si>
  <si>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</si>
  <si>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</si>
  <si>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</si>
  <si>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</si>
  <si>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</si>
  <si>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</si>
  <si>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</si>
  <si>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</si>
  <si>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</si>
  <si>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</si>
  <si>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</si>
  <si>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</si>
  <si>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</si>
  <si>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</si>
  <si>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</si>
  <si>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</si>
  <si>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</si>
  <si>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</si>
  <si>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</si>
  <si>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</si>
  <si>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</si>
  <si>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</si>
  <si>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</si>
  <si>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</si>
  <si>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</si>
  <si>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</si>
  <si>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</si>
  <si>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</si>
  <si>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</si>
  <si>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</si>
  <si>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</si>
  <si>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</si>
  <si>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</si>
  <si>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</si>
  <si>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</si>
  <si>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</si>
  <si>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</si>
  <si>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</si>
  <si>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</si>
  <si>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</si>
  <si>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</si>
  <si>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</si>
  <si>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</si>
  <si>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</si>
  <si>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</si>
  <si>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</si>
  <si>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</si>
  <si>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</si>
  <si>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</si>
  <si>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</si>
  <si>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</si>
  <si>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</si>
  <si>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</si>
  <si>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</si>
  <si>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</si>
  <si>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</si>
  <si>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</si>
  <si>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</si>
  <si>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</si>
  <si>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</si>
  <si>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</si>
  <si>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</si>
  <si>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</si>
  <si>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</si>
  <si>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</si>
  <si>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</si>
  <si>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</si>
  <si>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</si>
  <si>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</si>
  <si>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</si>
  <si>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</si>
  <si>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</si>
  <si>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</si>
  <si>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</si>
  <si>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</si>
  <si>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</si>
  <si>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</si>
  <si>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</si>
  <si>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</si>
  <si>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</si>
  <si>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</si>
  <si>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</si>
  <si>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</si>
  <si>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</si>
  <si>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</si>
  <si>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</si>
  <si>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</si>
  <si>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</si>
  <si>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</si>
  <si>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</si>
  <si>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</si>
  <si>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</si>
  <si>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</si>
  <si>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</si>
  <si>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</si>
  <si>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</si>
  <si>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</si>
  <si>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</si>
  <si>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</si>
  <si>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</si>
  <si>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</si>
  <si>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</si>
  <si>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</si>
  <si>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</si>
  <si>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</si>
  <si>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</si>
  <si>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</si>
  <si>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</si>
  <si>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</si>
  <si>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</si>
  <si>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</si>
  <si>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</si>
  <si>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</si>
  <si>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</si>
  <si>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</si>
  <si>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</si>
  <si>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</si>
  <si>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</si>
  <si>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</si>
  <si>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</si>
  <si>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</si>
  <si>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</si>
  <si>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</si>
  <si>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</si>
  <si>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</si>
  <si>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</si>
  <si>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</si>
  <si>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</si>
  <si>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</si>
  <si>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</si>
  <si>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</si>
  <si>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</si>
  <si>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</si>
  <si>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</si>
  <si>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</si>
  <si>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</si>
  <si>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</si>
  <si>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</si>
  <si>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</si>
  <si>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</si>
  <si>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</si>
  <si>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</si>
  <si>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</si>
  <si>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</si>
  <si>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</si>
  <si>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</si>
  <si>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</si>
  <si>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</si>
  <si>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</si>
  <si>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</si>
  <si>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</si>
  <si>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</si>
  <si>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</si>
  <si>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</si>
  <si>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</si>
  <si>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</si>
  <si>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</si>
  <si>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</si>
  <si>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</si>
  <si>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</si>
  <si>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</si>
  <si>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</si>
  <si>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</si>
  <si>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</si>
  <si>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</si>
  <si>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</si>
  <si>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</si>
  <si>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</si>
  <si>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</si>
  <si>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</si>
  <si>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</si>
  <si>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</si>
  <si>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</si>
  <si>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</si>
  <si>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</si>
  <si>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</si>
  <si>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</si>
  <si>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</si>
  <si>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</si>
  <si>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</si>
  <si>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</si>
  <si>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</si>
  <si>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</si>
  <si>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</si>
  <si>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</si>
  <si>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</si>
  <si>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</si>
  <si>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</si>
  <si>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</si>
  <si>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</si>
  <si>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</si>
  <si>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</si>
  <si>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</si>
  <si>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</si>
  <si>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</si>
  <si>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</si>
  <si>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</si>
  <si>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</si>
  <si>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</si>
  <si>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</si>
  <si>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</si>
  <si>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</si>
  <si>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</si>
  <si>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</si>
  <si>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</si>
  <si>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</si>
  <si>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</si>
  <si>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</si>
  <si>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</si>
  <si>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</si>
  <si>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</si>
  <si>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</si>
  <si>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</si>
  <si>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</si>
  <si>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</si>
  <si>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</si>
  <si>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</si>
  <si>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</si>
  <si>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</si>
  <si>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</si>
  <si>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</si>
  <si>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</si>
  <si>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</si>
  <si>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</si>
  <si>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</si>
  <si>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</si>
  <si>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</si>
  <si>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</si>
  <si>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</si>
  <si>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</si>
  <si>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</si>
  <si>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</si>
  <si>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</si>
  <si>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</si>
  <si>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</si>
  <si>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</si>
  <si>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</si>
  <si>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</si>
  <si>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</si>
  <si>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</si>
  <si>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</si>
  <si>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</si>
  <si>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t>
  </si>
  <si>
    <t>kt W</t>
  </si>
  <si>
    <t>kt WO3</t>
  </si>
  <si>
    <t>t W</t>
  </si>
  <si>
    <t>https://www.usgs.gov/media/files/tungsten-historical-statistics-data-series-140, using 0.793 W fraction of WO3 to convert from W content to WO3</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</si>
  <si>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t>
  </si>
  <si>
    <t>61% Cu, rem. Self</t>
  </si>
  <si>
    <t>20% Cu, 13% Au, 35% Pb/Zn, 32% Ag</t>
  </si>
  <si>
    <t>2% Pb, 5% Ni, 0.1% Ag, 92.9% Cu</t>
  </si>
  <si>
    <t>35% Cu, 50% Ni, 15% Co</t>
  </si>
  <si>
    <t>12% Cu, 0.5% Ag, 0.1% Ni, 1% Pb/Zn, 0.32% PGM, 86.08% Au</t>
  </si>
  <si>
    <t>33% Sn, 27% Nb, 40% Ta</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</si>
  <si>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</si>
  <si>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</si>
  <si>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</si>
  <si>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</si>
  <si>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</si>
  <si>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</si>
  <si>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</si>
  <si>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</si>
  <si>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</si>
  <si>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</si>
  <si>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</si>
  <si>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</si>
  <si>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</si>
  <si>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</si>
  <si>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</si>
  <si>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</si>
  <si>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</si>
  <si>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</si>
  <si>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</si>
  <si>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</si>
  <si>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</si>
  <si>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</si>
  <si>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</si>
  <si>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</si>
  <si>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</si>
  <si>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</si>
  <si>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</si>
  <si>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</si>
  <si>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</si>
  <si>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</si>
  <si>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</si>
  <si>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</si>
  <si>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</si>
  <si>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</si>
  <si>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</si>
  <si>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</si>
  <si>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</si>
  <si>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</si>
  <si>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</si>
  <si>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</si>
  <si>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</si>
  <si>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</si>
  <si>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</si>
  <si>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</si>
  <si>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</si>
  <si>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</si>
  <si>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</si>
  <si>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</si>
  <si>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</si>
  <si>
    <t>Year</t>
  </si>
  <si>
    <t>NaN</t>
  </si>
  <si>
    <t>Mine production - INSG</t>
  </si>
  <si>
    <t>THE WORLD NICKEL FACTBOOK 2021 (insg.org), page 11</t>
  </si>
  <si>
    <t>Mine production - USGS</t>
  </si>
  <si>
    <t>USGS Mineral Yearbooks, 2002-2019 using most recent year</t>
  </si>
  <si>
    <t>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</si>
</sst>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Te"/>
    <numFmt numFmtId="165" formatCode="0.0000"/>
    <numFmt numFmtId="166" formatCode="0.00000"/>
    <numFmt numFmtId="167" formatCode="#,##0.000"/>
  </numFmts>
  <fonts count="17">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
      <b/>
      <sz val="12"/>
      <color rgb="FF000000"/>
      <name val="Helvetica Neue"/>
      <family val="2"/>
    </font>
    <font>
      <sz val="12"/>
      <color rgb="FF000000"/>
      <name val="Helvetica Neue"/>
      <family val="2"/>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1">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xf numFmtId="0" fontId="15" fillId="0" borderId="0" xfId="0" applyFont="1"/>
    <xf numFmtId="0" fontId="16" fillId="0" borderId="0" xfId="0" applyFont="1"/>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79" totalsRowShown="0" headerRowDxfId="42" dataDxfId="41" tableBorderDxfId="40">
  <autoFilter ref="A1:AN79"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8" xr3:uid="{2C843D4E-B4BF-1B45-83BE-B63E46646133}" name="Sn" dataDxfId="34"/>
    <tableColumn id="10" xr3:uid="{57F0C03A-F849-764C-9937-672AC7FA7056}" name="Cu" dataDxfId="33"/>
    <tableColumn id="11" xr3:uid="{58BB8033-7C57-D848-942D-0BA35942A4E5}" name="Ni" dataDxfId="32"/>
    <tableColumn id="12" xr3:uid="{7D2E504B-DE0F-5048-8A9E-3349B8C91362}" name="Ag" dataDxfId="31"/>
    <tableColumn id="13" xr3:uid="{20ADECBC-5BD7-1F43-B665-1C03CE65BE68}" name="Zn" dataDxfId="30"/>
    <tableColumn id="14" xr3:uid="{F86548EA-FD6C-A542-8346-EE943D12FCEB}" name="Pb" dataDxfId="29"/>
    <tableColumn id="16" xr3:uid="{393A35BC-6237-DC47-B65B-B89C8241358C}" name="Pt" dataDxfId="28"/>
    <tableColumn id="17" xr3:uid="{05D2296D-799C-314E-8B01-0CF90882530E}" name="Te" dataDxfId="27"/>
    <tableColumn id="18" xr3:uid="{557B8136-A6CC-1240-B516-243DE5E1D903}" name="Li" dataDxfId="26"/>
    <tableColumn id="39" xr3:uid="{523A77EA-FE5C-7D48-A73A-9DFC1D5873F6}" name="Li2" dataDxfId="25"/>
    <tableColumn id="40" xr3:uid="{E8EA4472-4BAF-F842-971D-55B5841B5E06}" name="Si" dataDxfId="24"/>
    <tableColumn id="5" xr3:uid="{A6078A25-9A0C-A64B-9EE1-BA43315A365F}" name="Co" dataDxfId="23"/>
    <tableColumn id="6" xr3:uid="{E0CEDA03-DC55-3B44-A7E5-0053003CDB10}" name="REEs" dataDxfId="22"/>
    <tableColumn id="7" xr3:uid="{5865B79F-C134-2C40-BDEB-BBEAD1CBA704}" name="W" dataDxfId="21"/>
    <tableColumn id="9" xr3:uid="{A5579C27-C0E7-FB46-A381-F1A4B88888E9}" name="Ta" dataDxfId="20"/>
    <tableColumn id="15" xr3:uid="{D9E7B89D-2742-EE4A-A97B-9AA324E90CDA}" name="Mo"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0048969718312373" TargetMode="External"/><Relationship Id="rId21" Type="http://schemas.openxmlformats.org/officeDocument/2006/relationships/hyperlink" Target="https://www.sprott.com/media/2268/world-silver-survey-2019.pdf,%20using%20this%20sector%20as%20industrial;%20renamed%20as%20per%20gold"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63" Type="http://schemas.openxmlformats.org/officeDocument/2006/relationships/hyperlink" Target="https://ar2019.nornickel.com/pdf/ar/en/commodity-market-overview_platinum.pdf" TargetMode="External"/><Relationship Id="rId68" Type="http://schemas.openxmlformats.org/officeDocument/2006/relationships/hyperlink" Target="https://platinuminvestment.com/supply-and-demand/historic-data"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hyperlink" Target="https://www.electronicsweekly.com/news/now-alternative-solid-tantalum-capacitors-2017-03/" TargetMode="External"/><Relationship Id="rId58" Type="http://schemas.openxmlformats.org/officeDocument/2006/relationships/hyperlink" Target="https://www.sciencedirect.com/science/article/pii/S0921344917301817,%20table%202" TargetMode="External"/><Relationship Id="rId66" Type="http://schemas.openxmlformats.org/officeDocument/2006/relationships/hyperlink" Target="https://ar2019.nornickel.com/pdf/ar/en/commodity-market-overview_platinum.pdf" TargetMode="External"/><Relationship Id="rId5" Type="http://schemas.openxmlformats.org/officeDocument/2006/relationships/hyperlink" Target="https://www.sciencedirect.com/science/article/pii/S0263436821000780" TargetMode="External"/><Relationship Id="rId61" Type="http://schemas.openxmlformats.org/officeDocument/2006/relationships/hyperlink" Target="https://insg.org/wp-content/uploads/2022/02/publist_The-World-Nickel-Factbook-2021.pdf"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56" Type="http://schemas.openxmlformats.org/officeDocument/2006/relationships/hyperlink" Target="https://www.sciencedirect.com/science/article/pii/S0921344917301817,%20table%202" TargetMode="External"/><Relationship Id="rId64" Type="http://schemas.openxmlformats.org/officeDocument/2006/relationships/hyperlink" Target="https://ar2019.nornickel.com/pdf/ar/en/commodity-market-overview_platinum.pdf" TargetMode="External"/><Relationship Id="rId69" Type="http://schemas.openxmlformats.org/officeDocument/2006/relationships/printerSettings" Target="../printerSettings/printerSettings1.bin"/><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9" Type="http://schemas.openxmlformats.org/officeDocument/2006/relationships/hyperlink" Target="https://www.sciencedirect.com/science/article/pii/S0921344917301817,%20table%202" TargetMode="External"/><Relationship Id="rId67" Type="http://schemas.openxmlformats.org/officeDocument/2006/relationships/hyperlink" Target="https://platinuminvestment.com/about/60-seconds-in-platinum/2020/06/24"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54" Type="http://schemas.openxmlformats.org/officeDocument/2006/relationships/hyperlink" Target="https://www.mdpi.com/2079-9276/10/9/93/pdf" TargetMode="External"/><Relationship Id="rId62" Type="http://schemas.openxmlformats.org/officeDocument/2006/relationships/hyperlink" Target="https://ar2019.nornickel.com/pdf/ar/en/commodity-market-overview_platinum.pdf" TargetMode="External"/><Relationship Id="rId70" Type="http://schemas.openxmlformats.org/officeDocument/2006/relationships/table" Target="../tables/table1.xm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 Id="rId57" Type="http://schemas.openxmlformats.org/officeDocument/2006/relationships/hyperlink" Target="https://www.sciencedirect.com/science/article/pii/S0921344917301817,%20table%202" TargetMode="External"/><Relationship Id="rId10" Type="http://schemas.openxmlformats.org/officeDocument/2006/relationships/hyperlink" Target="https://www.argusmedia.com/en/news/2222244-eu-tantalum-prices-rebound-on-higher-input-costs,%20reported%20135%20USD/lb"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hyperlink" Target="https://www.sciencedirect.com/topics/social-sciences/tungsten" TargetMode="External"/><Relationship Id="rId60" Type="http://schemas.openxmlformats.org/officeDocument/2006/relationships/hyperlink" Target="https://insg.org/wp-content/uploads/2022/02/publist_The-World-Nickel-Factbook-2021.pdf" TargetMode="External"/><Relationship Id="rId65" Type="http://schemas.openxmlformats.org/officeDocument/2006/relationships/hyperlink" Target="https://ar2019.nornickel.com/pdf/ar/en/commodity-market-overview_platinum.pdf"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9" Type="http://schemas.openxmlformats.org/officeDocument/2006/relationships/hyperlink" Target="https://www.sciencedirect.com/science/article/pii/S0921344917301817,%20table%202" TargetMode="External"/><Relationship Id="rId34"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55" Type="http://schemas.openxmlformats.org/officeDocument/2006/relationships/hyperlink" Target="https://www.sciencedirect.com/science/article/pii/S0921344917301817,%20table%20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s.gov/media/files/tungsten-historical-statistics-data-series-140,%20using%200.793%20W%20fraction%20of%20WO3%20to%20convert%20from%20W%20content%20to%20WO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 Id="rId5" Type="http://schemas.openxmlformats.org/officeDocument/2006/relationships/hyperlink" Target="https://www.usgs.gov/centers/national-minerals-information-center/nickel-statistics-and-information" TargetMode="External"/><Relationship Id="rId4"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N79"/>
  <sheetViews>
    <sheetView zoomScale="114" workbookViewId="0">
      <pane ySplit="1" topLeftCell="A6" activePane="bottomLeft" state="frozen"/>
      <selection pane="bottomLeft" activeCell="C42" sqref="C42"/>
    </sheetView>
  </sheetViews>
  <sheetFormatPr baseColWidth="10" defaultColWidth="8.83203125" defaultRowHeight="15"/>
  <cols>
    <col min="1" max="1" width="47.1640625" bestFit="1" customWidth="1"/>
    <col min="2" max="2" width="47.1640625" customWidth="1"/>
    <col min="3" max="5" width="8.83203125" customWidth="1"/>
    <col min="9" max="11" width="8.83203125" customWidth="1"/>
    <col min="13" max="18" width="8.83203125" customWidth="1"/>
    <col min="19" max="21" width="12.33203125" customWidth="1"/>
    <col min="22" max="22" width="8.83203125" customWidth="1"/>
    <col min="24" max="26" width="8.83203125" customWidth="1"/>
    <col min="27" max="27" width="9.6640625" customWidth="1"/>
    <col min="28" max="28" width="8.83203125" customWidth="1"/>
    <col min="29" max="29" width="9.83203125" customWidth="1"/>
    <col min="30" max="30" width="12.1640625" customWidth="1"/>
    <col min="31" max="31" width="10.33203125" customWidth="1"/>
    <col min="32" max="32" width="10.1640625" customWidth="1"/>
    <col min="33" max="33" width="11.5" customWidth="1"/>
    <col min="34" max="34" width="9.83203125" customWidth="1"/>
    <col min="35" max="35" width="10" customWidth="1"/>
    <col min="36" max="36" width="9.83203125" customWidth="1"/>
    <col min="37" max="37" width="10.1640625" customWidth="1"/>
    <col min="38" max="38" width="9.83203125" customWidth="1"/>
    <col min="39" max="39" width="10.1640625" customWidth="1"/>
    <col min="40" max="40" width="10" customWidth="1"/>
    <col min="41" max="41" width="10.1640625" customWidth="1"/>
    <col min="42" max="42" width="10.83203125" customWidth="1"/>
    <col min="43" max="43" width="9.83203125" customWidth="1"/>
    <col min="44" max="44" width="9.5" customWidth="1"/>
    <col min="45" max="45" width="10" customWidth="1"/>
  </cols>
  <sheetData>
    <row r="1" spans="1:40" s="28" customFormat="1" ht="34" customHeight="1">
      <c r="A1" s="28" t="s">
        <v>406</v>
      </c>
      <c r="B1" s="28" t="s">
        <v>355</v>
      </c>
      <c r="C1" s="28" t="s">
        <v>0</v>
      </c>
      <c r="D1" s="28" t="s">
        <v>1</v>
      </c>
      <c r="E1" s="28" t="s">
        <v>2</v>
      </c>
      <c r="F1" s="28" t="s">
        <v>6</v>
      </c>
      <c r="G1" s="28" t="s">
        <v>8</v>
      </c>
      <c r="H1" s="28" t="s">
        <v>112</v>
      </c>
      <c r="I1" s="28" t="s">
        <v>114</v>
      </c>
      <c r="J1" s="28" t="s">
        <v>115</v>
      </c>
      <c r="K1" s="28" t="s">
        <v>113</v>
      </c>
      <c r="L1" s="28" t="s">
        <v>94</v>
      </c>
      <c r="M1" s="29" t="s">
        <v>297</v>
      </c>
      <c r="N1" s="28" t="s">
        <v>95</v>
      </c>
      <c r="O1" s="28" t="s">
        <v>445</v>
      </c>
      <c r="P1" s="28" t="s">
        <v>455</v>
      </c>
      <c r="Q1" s="28" t="s">
        <v>3</v>
      </c>
      <c r="R1" s="28" t="s">
        <v>4</v>
      </c>
      <c r="S1" s="28" t="s">
        <v>5</v>
      </c>
      <c r="T1" s="28" t="s">
        <v>7</v>
      </c>
      <c r="U1" s="28" t="s">
        <v>121</v>
      </c>
      <c r="V1" s="28" t="s">
        <v>23</v>
      </c>
      <c r="W1" s="30" t="s">
        <v>12</v>
      </c>
      <c r="X1" s="28" t="s">
        <v>79</v>
      </c>
      <c r="Y1" s="28" t="s">
        <v>80</v>
      </c>
      <c r="Z1" s="28" t="s">
        <v>81</v>
      </c>
      <c r="AA1" s="28" t="s">
        <v>82</v>
      </c>
      <c r="AB1" s="28" t="s">
        <v>83</v>
      </c>
      <c r="AC1" s="28" t="s">
        <v>84</v>
      </c>
      <c r="AD1" s="28" t="s">
        <v>85</v>
      </c>
      <c r="AE1" s="28" t="s">
        <v>86</v>
      </c>
      <c r="AF1" s="28" t="s">
        <v>87</v>
      </c>
      <c r="AG1" s="28" t="s">
        <v>116</v>
      </c>
      <c r="AH1" s="28" t="s">
        <v>117</v>
      </c>
      <c r="AI1" s="28" t="s">
        <v>118</v>
      </c>
      <c r="AJ1" s="28" t="s">
        <v>119</v>
      </c>
      <c r="AK1" s="28" t="s">
        <v>120</v>
      </c>
      <c r="AL1" s="28" t="s">
        <v>107</v>
      </c>
      <c r="AM1" s="28" t="s">
        <v>108</v>
      </c>
      <c r="AN1" s="28" t="s">
        <v>298</v>
      </c>
    </row>
    <row r="2" spans="1:40" ht="14.5" customHeight="1">
      <c r="A2" s="5" t="s">
        <v>9</v>
      </c>
      <c r="B2" s="5" t="s">
        <v>382</v>
      </c>
      <c r="C2" s="5" t="s">
        <v>10</v>
      </c>
      <c r="D2" s="5" t="s">
        <v>10</v>
      </c>
      <c r="E2" s="5" t="s">
        <v>418</v>
      </c>
      <c r="F2" s="5" t="s">
        <v>10</v>
      </c>
      <c r="G2" s="5" t="s">
        <v>416</v>
      </c>
      <c r="H2" s="5" t="s">
        <v>10</v>
      </c>
      <c r="I2" s="5" t="s">
        <v>415</v>
      </c>
      <c r="J2" s="5" t="s">
        <v>421</v>
      </c>
      <c r="K2" s="5"/>
      <c r="L2" s="5" t="s">
        <v>457</v>
      </c>
      <c r="M2" s="14" t="s">
        <v>420</v>
      </c>
      <c r="N2" s="5" t="s">
        <v>10</v>
      </c>
      <c r="O2" s="14" t="s">
        <v>10</v>
      </c>
      <c r="P2" s="14"/>
      <c r="Q2" s="5" t="s">
        <v>417</v>
      </c>
      <c r="R2" s="5" t="s">
        <v>11</v>
      </c>
      <c r="S2" s="5" t="s">
        <v>10</v>
      </c>
      <c r="T2" s="5" t="s">
        <v>419</v>
      </c>
      <c r="U2" s="5" t="s">
        <v>414</v>
      </c>
      <c r="V2" s="5"/>
      <c r="W2" s="6" t="s">
        <v>13</v>
      </c>
      <c r="X2" s="6"/>
      <c r="Y2" s="6"/>
      <c r="Z2" s="6" t="s">
        <v>422</v>
      </c>
      <c r="AA2" s="6" t="s">
        <v>422</v>
      </c>
      <c r="AB2" s="6"/>
      <c r="AC2" s="6"/>
      <c r="AD2" s="6"/>
      <c r="AE2" s="6" t="s">
        <v>422</v>
      </c>
      <c r="AF2" s="6" t="s">
        <v>422</v>
      </c>
      <c r="AG2" s="6"/>
      <c r="AH2" s="6" t="s">
        <v>422</v>
      </c>
      <c r="AI2" s="6" t="s">
        <v>422</v>
      </c>
      <c r="AJ2" s="6"/>
      <c r="AK2" s="6" t="s">
        <v>422</v>
      </c>
      <c r="AL2" s="6" t="s">
        <v>456</v>
      </c>
      <c r="AM2" s="14"/>
      <c r="AN2" s="6" t="s">
        <v>422</v>
      </c>
    </row>
    <row r="3" spans="1:40" ht="14.5" customHeight="1">
      <c r="A3" t="s">
        <v>17</v>
      </c>
      <c r="B3" t="s">
        <v>358</v>
      </c>
      <c r="C3">
        <v>85768.388145129153</v>
      </c>
      <c r="D3">
        <v>1767000</v>
      </c>
      <c r="E3">
        <v>4.3593999999999999</v>
      </c>
      <c r="F3">
        <v>371.81700000000001</v>
      </c>
      <c r="G3">
        <v>30046.0829493087</v>
      </c>
      <c r="H3">
        <v>3226.8622280817385</v>
      </c>
      <c r="I3">
        <v>26.704941782475718</v>
      </c>
      <c r="J3">
        <v>17448.642054092597</v>
      </c>
      <c r="K3">
        <v>12244</v>
      </c>
      <c r="L3">
        <v>0.24299999999999999</v>
      </c>
      <c r="M3" s="16">
        <v>0.52</v>
      </c>
      <c r="N3">
        <v>298.08800000000002</v>
      </c>
      <c r="O3" s="43">
        <v>298.08800000000002</v>
      </c>
      <c r="P3" s="43"/>
      <c r="S3">
        <v>97.8</v>
      </c>
      <c r="T3">
        <v>2.4049999999999998</v>
      </c>
      <c r="U3">
        <v>261.40530000000001</v>
      </c>
      <c r="V3" t="s">
        <v>24</v>
      </c>
      <c r="W3" s="7" t="s">
        <v>18</v>
      </c>
      <c r="X3" s="7" t="s">
        <v>162</v>
      </c>
      <c r="Y3" s="7" t="s">
        <v>133</v>
      </c>
      <c r="Z3" s="6" t="s">
        <v>146</v>
      </c>
      <c r="AA3" s="7"/>
      <c r="AB3" s="7"/>
      <c r="AC3" s="17" t="s">
        <v>197</v>
      </c>
      <c r="AD3" s="7" t="s">
        <v>198</v>
      </c>
      <c r="AE3" s="17" t="s">
        <v>199</v>
      </c>
      <c r="AF3" s="7"/>
      <c r="AG3" s="7" t="s">
        <v>200</v>
      </c>
      <c r="AH3" s="17" t="s">
        <v>201</v>
      </c>
      <c r="AI3" s="7" t="s">
        <v>202</v>
      </c>
      <c r="AJ3" s="7" t="s">
        <v>203</v>
      </c>
      <c r="AK3" s="7" t="s">
        <v>204</v>
      </c>
      <c r="AL3" s="17" t="s">
        <v>205</v>
      </c>
      <c r="AM3" s="16"/>
      <c r="AN3" s="7"/>
    </row>
    <row r="4" spans="1:40" ht="14.5" customHeight="1">
      <c r="A4" s="5" t="s">
        <v>19</v>
      </c>
      <c r="B4" s="5" t="s">
        <v>356</v>
      </c>
      <c r="C4" s="5"/>
      <c r="D4" s="5"/>
      <c r="E4" s="5"/>
      <c r="F4" s="5"/>
      <c r="G4" s="5">
        <v>2.5399999999999999E-2</v>
      </c>
      <c r="H4" s="5"/>
      <c r="I4" s="5"/>
      <c r="J4" s="5"/>
      <c r="K4" s="5"/>
      <c r="L4" s="5"/>
      <c r="M4" s="14">
        <v>1</v>
      </c>
      <c r="N4" s="5"/>
      <c r="O4" s="44"/>
      <c r="P4" s="44"/>
      <c r="Q4" s="5"/>
      <c r="R4" s="5"/>
      <c r="S4" s="5"/>
      <c r="T4" s="5"/>
      <c r="U4" s="5"/>
      <c r="V4" s="5" t="s">
        <v>24</v>
      </c>
      <c r="W4" s="6" t="s">
        <v>20</v>
      </c>
      <c r="X4" s="6"/>
      <c r="Y4" s="6"/>
      <c r="Z4" s="6"/>
      <c r="AA4" s="6"/>
      <c r="AB4" s="6"/>
      <c r="AC4" s="6"/>
      <c r="AD4" s="6"/>
      <c r="AE4" s="6"/>
      <c r="AF4" s="6" t="s">
        <v>405</v>
      </c>
      <c r="AG4" s="6"/>
      <c r="AH4" s="6"/>
      <c r="AI4" s="6"/>
      <c r="AJ4" s="6"/>
      <c r="AK4" s="6"/>
      <c r="AL4" s="6"/>
      <c r="AM4" s="14"/>
      <c r="AN4" s="6"/>
    </row>
    <row r="5" spans="1:40" ht="14.5" customHeight="1">
      <c r="A5" t="s">
        <v>22</v>
      </c>
      <c r="B5" t="s">
        <v>357</v>
      </c>
      <c r="C5">
        <v>0.04</v>
      </c>
      <c r="D5">
        <v>3.3765999999999997E-2</v>
      </c>
      <c r="E5">
        <v>1.7332E-2</v>
      </c>
      <c r="F5">
        <v>0.02</v>
      </c>
      <c r="G5">
        <v>0.03</v>
      </c>
      <c r="H5">
        <v>0.06</v>
      </c>
      <c r="I5">
        <v>2.4E-2</v>
      </c>
      <c r="J5">
        <v>2.8000000000000001E-2</v>
      </c>
      <c r="K5">
        <v>7.4999999999999997E-2</v>
      </c>
      <c r="L5">
        <v>1.4999999999999999E-2</v>
      </c>
      <c r="M5" s="16">
        <v>0.08</v>
      </c>
      <c r="O5" s="43">
        <v>0.1</v>
      </c>
      <c r="P5" s="43"/>
      <c r="S5">
        <v>0.08</v>
      </c>
      <c r="T5">
        <v>7.2999999999999995E-2</v>
      </c>
      <c r="U5">
        <v>0.05</v>
      </c>
      <c r="V5" t="s">
        <v>24</v>
      </c>
      <c r="W5" s="7" t="s">
        <v>21</v>
      </c>
      <c r="X5" s="7" t="s">
        <v>206</v>
      </c>
      <c r="Y5" s="7" t="s">
        <v>132</v>
      </c>
      <c r="Z5" s="7" t="s">
        <v>305</v>
      </c>
      <c r="AA5" s="7"/>
      <c r="AB5" s="7"/>
      <c r="AC5" s="7" t="s">
        <v>207</v>
      </c>
      <c r="AD5" s="17" t="s">
        <v>208</v>
      </c>
      <c r="AE5" s="7" t="s">
        <v>209</v>
      </c>
      <c r="AF5" s="7"/>
      <c r="AG5" s="7" t="s">
        <v>210</v>
      </c>
      <c r="AH5" s="7" t="s">
        <v>211</v>
      </c>
      <c r="AI5" s="35" t="s">
        <v>330</v>
      </c>
      <c r="AJ5" s="7" t="s">
        <v>212</v>
      </c>
      <c r="AK5" s="7" t="s">
        <v>213</v>
      </c>
      <c r="AL5" s="7" t="s">
        <v>214</v>
      </c>
      <c r="AM5" s="46" t="s">
        <v>454</v>
      </c>
      <c r="AN5" s="7"/>
    </row>
    <row r="6" spans="1:40" ht="14.5" customHeight="1">
      <c r="A6" s="5" t="s">
        <v>25</v>
      </c>
      <c r="B6" s="5" t="s">
        <v>359</v>
      </c>
      <c r="C6" s="5">
        <v>0.45100000000000001</v>
      </c>
      <c r="D6" s="5">
        <v>0.51300000000000001</v>
      </c>
      <c r="E6" s="5">
        <v>0.41267999999999999</v>
      </c>
      <c r="F6" s="5">
        <v>0.56000000000000005</v>
      </c>
      <c r="G6" s="5">
        <v>0.52644999999999997</v>
      </c>
      <c r="H6" s="5">
        <v>0.53</v>
      </c>
      <c r="I6" s="5">
        <v>0.17499999999999999</v>
      </c>
      <c r="J6" s="5">
        <v>0.48980000000000001</v>
      </c>
      <c r="K6" s="5">
        <f>5.08/12.162</f>
        <v>0.41769445814833084</v>
      </c>
      <c r="L6" s="5">
        <v>0.26</v>
      </c>
      <c r="M6" s="14">
        <v>0.625</v>
      </c>
      <c r="N6" s="5">
        <v>0</v>
      </c>
      <c r="O6" s="44">
        <v>0.4</v>
      </c>
      <c r="P6" s="44"/>
      <c r="Q6" s="5"/>
      <c r="R6" s="5"/>
      <c r="S6" s="5">
        <v>0.6</v>
      </c>
      <c r="T6" s="5"/>
      <c r="U6" s="5">
        <v>0.35589999999999999</v>
      </c>
      <c r="V6" s="5" t="s">
        <v>24</v>
      </c>
      <c r="W6" s="6"/>
      <c r="X6" s="6" t="s">
        <v>159</v>
      </c>
      <c r="Y6" s="6" t="s">
        <v>131</v>
      </c>
      <c r="Z6" s="6" t="s">
        <v>149</v>
      </c>
      <c r="AA6" s="6"/>
      <c r="AB6" s="6"/>
      <c r="AC6" s="6" t="s">
        <v>215</v>
      </c>
      <c r="AD6" s="6" t="s">
        <v>216</v>
      </c>
      <c r="AE6" s="6" t="s">
        <v>217</v>
      </c>
      <c r="AF6" s="6" t="s">
        <v>78</v>
      </c>
      <c r="AG6" s="6" t="s">
        <v>218</v>
      </c>
      <c r="AH6" s="6" t="s">
        <v>331</v>
      </c>
      <c r="AI6" s="6" t="s">
        <v>219</v>
      </c>
      <c r="AJ6" s="19" t="s">
        <v>320</v>
      </c>
      <c r="AK6" s="6" t="s">
        <v>220</v>
      </c>
      <c r="AL6" s="1" t="s">
        <v>328</v>
      </c>
      <c r="AM6" s="14"/>
      <c r="AN6" s="35" t="s">
        <v>329</v>
      </c>
    </row>
    <row r="7" spans="1:40" ht="14.5" customHeight="1">
      <c r="A7" t="s">
        <v>26</v>
      </c>
      <c r="B7" t="s">
        <v>383</v>
      </c>
      <c r="C7">
        <v>0.251</v>
      </c>
      <c r="D7">
        <v>0.52</v>
      </c>
      <c r="E7" s="10">
        <v>9.9999999999999995E-7</v>
      </c>
      <c r="F7">
        <f>1-SUM(F8:F11)</f>
        <v>0.19100000000000006</v>
      </c>
      <c r="G7">
        <v>0.3</v>
      </c>
      <c r="H7" s="5">
        <v>0.17605633802816922</v>
      </c>
      <c r="I7">
        <f>(578.6/1033.5)-0.000001</f>
        <v>0.55984418626028054</v>
      </c>
      <c r="J7">
        <v>0.33</v>
      </c>
      <c r="K7">
        <v>0.05</v>
      </c>
      <c r="L7">
        <v>0.06</v>
      </c>
      <c r="M7" s="16">
        <v>0.4</v>
      </c>
      <c r="N7">
        <v>0.14000000000000001</v>
      </c>
      <c r="O7" s="43">
        <v>0.14000000000000001</v>
      </c>
      <c r="P7" s="43"/>
      <c r="S7">
        <v>0.65</v>
      </c>
      <c r="T7">
        <f>14.5/100</f>
        <v>0.14499999999999999</v>
      </c>
      <c r="U7">
        <v>0.71</v>
      </c>
      <c r="V7" t="s">
        <v>24</v>
      </c>
      <c r="W7" s="7"/>
      <c r="X7" s="7" t="s">
        <v>160</v>
      </c>
      <c r="Y7" s="7" t="s">
        <v>131</v>
      </c>
      <c r="Z7" s="7" t="s">
        <v>141</v>
      </c>
      <c r="AA7" s="7"/>
      <c r="AB7" s="7"/>
      <c r="AC7" s="7" t="s">
        <v>221</v>
      </c>
      <c r="AD7" s="1" t="s">
        <v>336</v>
      </c>
      <c r="AE7" s="7" t="s">
        <v>222</v>
      </c>
      <c r="AF7" s="7" t="s">
        <v>78</v>
      </c>
      <c r="AG7" s="1" t="s">
        <v>335</v>
      </c>
      <c r="AH7" s="17" t="s">
        <v>338</v>
      </c>
      <c r="AI7" s="17" t="s">
        <v>334</v>
      </c>
      <c r="AJ7" s="17" t="s">
        <v>339</v>
      </c>
      <c r="AK7" s="7" t="s">
        <v>220</v>
      </c>
      <c r="AL7" s="17" t="s">
        <v>205</v>
      </c>
      <c r="AM7" s="16"/>
      <c r="AN7" s="7" t="s">
        <v>224</v>
      </c>
    </row>
    <row r="8" spans="1:40" ht="14.5" customHeight="1">
      <c r="A8" s="5" t="s">
        <v>27</v>
      </c>
      <c r="B8" t="s">
        <v>384</v>
      </c>
      <c r="C8" s="5">
        <v>0.11899999999999999</v>
      </c>
      <c r="D8" s="5">
        <v>0.03</v>
      </c>
      <c r="E8" s="5">
        <v>0.09</v>
      </c>
      <c r="F8">
        <f>(48.3/2+1+5.2/2)/100</f>
        <v>0.27750000000000002</v>
      </c>
      <c r="G8" s="5">
        <v>0.24</v>
      </c>
      <c r="H8" s="5">
        <v>0.12103873239436645</v>
      </c>
      <c r="I8" s="11">
        <v>9.9999999999999995E-7</v>
      </c>
      <c r="J8" s="5">
        <v>0.19</v>
      </c>
      <c r="K8" s="11">
        <v>9.9999999999999995E-7</v>
      </c>
      <c r="L8" s="5">
        <v>0.03</v>
      </c>
      <c r="M8" s="14">
        <v>0.15</v>
      </c>
      <c r="N8" s="5">
        <v>0.05</v>
      </c>
      <c r="O8" s="44">
        <v>0.05</v>
      </c>
      <c r="P8" s="44"/>
      <c r="Q8" s="5"/>
      <c r="R8" s="5"/>
      <c r="S8" s="5">
        <v>0.1</v>
      </c>
      <c r="T8" s="5">
        <v>0.191</v>
      </c>
      <c r="U8" s="5">
        <v>0.05</v>
      </c>
      <c r="V8" s="5" t="s">
        <v>24</v>
      </c>
      <c r="W8" s="6"/>
      <c r="X8" s="6" t="s">
        <v>160</v>
      </c>
      <c r="Y8" s="6" t="s">
        <v>131</v>
      </c>
      <c r="Z8" s="6" t="s">
        <v>142</v>
      </c>
      <c r="AA8" s="6"/>
      <c r="AB8" s="6"/>
      <c r="AC8" s="6" t="s">
        <v>225</v>
      </c>
      <c r="AD8" s="1" t="s">
        <v>336</v>
      </c>
      <c r="AE8" s="6" t="s">
        <v>226</v>
      </c>
      <c r="AF8" s="6" t="s">
        <v>78</v>
      </c>
      <c r="AG8" s="6"/>
      <c r="AH8" s="6"/>
      <c r="AI8" s="6"/>
      <c r="AJ8" s="6"/>
      <c r="AK8" s="6" t="s">
        <v>227</v>
      </c>
      <c r="AL8" s="6"/>
      <c r="AM8" s="14"/>
      <c r="AN8" s="6"/>
    </row>
    <row r="9" spans="1:40" ht="14.5" customHeight="1">
      <c r="A9" t="s">
        <v>28</v>
      </c>
      <c r="B9" t="s">
        <v>385</v>
      </c>
      <c r="C9">
        <v>0.11899999999999999</v>
      </c>
      <c r="D9">
        <v>0.26</v>
      </c>
      <c r="E9">
        <v>0.27</v>
      </c>
      <c r="F9">
        <f>48.3/2/100</f>
        <v>0.24149999999999999</v>
      </c>
      <c r="G9">
        <v>0.1</v>
      </c>
      <c r="H9" s="5">
        <v>0.30589788732394352</v>
      </c>
      <c r="I9">
        <f>181.2/1033.5</f>
        <v>0.1753265602322206</v>
      </c>
      <c r="J9">
        <v>0.08</v>
      </c>
      <c r="K9" s="18">
        <v>0.09</v>
      </c>
      <c r="L9">
        <v>0.22</v>
      </c>
      <c r="M9" s="16">
        <v>0.2</v>
      </c>
      <c r="N9">
        <v>0</v>
      </c>
      <c r="O9" s="43">
        <v>0</v>
      </c>
      <c r="P9" s="43"/>
      <c r="S9">
        <v>0.08</v>
      </c>
      <c r="T9">
        <v>0.25919999999999999</v>
      </c>
      <c r="U9">
        <v>0.08</v>
      </c>
      <c r="V9" t="s">
        <v>24</v>
      </c>
      <c r="W9" s="7"/>
      <c r="X9" s="7" t="s">
        <v>160</v>
      </c>
      <c r="Y9" s="7" t="s">
        <v>131</v>
      </c>
      <c r="Z9" s="7" t="s">
        <v>143</v>
      </c>
      <c r="AA9" s="7"/>
      <c r="AB9" s="7"/>
      <c r="AC9" s="7" t="s">
        <v>228</v>
      </c>
      <c r="AD9" s="1" t="s">
        <v>336</v>
      </c>
      <c r="AE9" s="7" t="s">
        <v>229</v>
      </c>
      <c r="AF9" s="7" t="s">
        <v>78</v>
      </c>
      <c r="AG9" s="7"/>
      <c r="AH9" s="7" t="s">
        <v>332</v>
      </c>
      <c r="AI9" s="7"/>
      <c r="AJ9" s="7"/>
      <c r="AK9" s="7" t="s">
        <v>231</v>
      </c>
      <c r="AL9" s="7"/>
      <c r="AM9" s="16"/>
      <c r="AN9" s="7"/>
    </row>
    <row r="10" spans="1:40" ht="14.5" customHeight="1">
      <c r="A10" s="5" t="s">
        <v>29</v>
      </c>
      <c r="B10" t="s">
        <v>386</v>
      </c>
      <c r="C10" s="5">
        <f>1-C11-C7-C9-C8</f>
        <v>0.23799999999999999</v>
      </c>
      <c r="D10" s="5">
        <v>0.02</v>
      </c>
      <c r="E10" s="5">
        <f>1-E11-E9-E8</f>
        <v>0.11999999999999997</v>
      </c>
      <c r="F10">
        <f>(7+14.7)/100</f>
        <v>0.217</v>
      </c>
      <c r="G10" s="5">
        <v>0.25</v>
      </c>
      <c r="H10">
        <v>0.23019366197183075</v>
      </c>
      <c r="I10" s="5">
        <f>61.1/1033.5</f>
        <v>5.9119496855345913E-2</v>
      </c>
      <c r="J10" s="5">
        <v>0.15</v>
      </c>
      <c r="K10" s="36">
        <f>1-K11-K9-K8-K7</f>
        <v>5.9998999999999955E-2</v>
      </c>
      <c r="L10" s="5">
        <v>0.28000000000000003</v>
      </c>
      <c r="M10" s="14">
        <v>0.2</v>
      </c>
      <c r="N10" s="5">
        <f>1-N11-N7-N8</f>
        <v>0.31</v>
      </c>
      <c r="O10" s="44">
        <v>0.31</v>
      </c>
      <c r="P10" s="44"/>
      <c r="Q10" s="5"/>
      <c r="R10" s="5"/>
      <c r="S10" s="5">
        <v>1</v>
      </c>
      <c r="T10" s="5">
        <v>0.107</v>
      </c>
      <c r="U10" s="5">
        <v>0.13</v>
      </c>
      <c r="V10" s="5" t="s">
        <v>24</v>
      </c>
      <c r="W10" s="6"/>
      <c r="X10" s="6" t="s">
        <v>160</v>
      </c>
      <c r="Y10" s="6" t="s">
        <v>131</v>
      </c>
      <c r="Z10" s="6" t="s">
        <v>144</v>
      </c>
      <c r="AA10" s="6"/>
      <c r="AB10" s="6"/>
      <c r="AC10" s="6" t="s">
        <v>232</v>
      </c>
      <c r="AD10" s="1" t="s">
        <v>336</v>
      </c>
      <c r="AE10" s="6" t="s">
        <v>233</v>
      </c>
      <c r="AF10" s="6" t="s">
        <v>78</v>
      </c>
      <c r="AG10" s="6"/>
      <c r="AH10" s="7" t="s">
        <v>230</v>
      </c>
      <c r="AI10" s="6"/>
      <c r="AJ10" s="6"/>
      <c r="AK10" s="6" t="s">
        <v>234</v>
      </c>
      <c r="AL10" s="6" t="s">
        <v>223</v>
      </c>
      <c r="AM10" s="14"/>
      <c r="AN10" s="6"/>
    </row>
    <row r="11" spans="1:40" ht="14.5" customHeight="1">
      <c r="A11" t="s">
        <v>30</v>
      </c>
      <c r="B11" t="s">
        <v>387</v>
      </c>
      <c r="C11">
        <v>0.27300000000000002</v>
      </c>
      <c r="D11">
        <v>0.17</v>
      </c>
      <c r="E11">
        <v>0.52</v>
      </c>
      <c r="F11">
        <f>7.3/100</f>
        <v>7.2999999999999995E-2</v>
      </c>
      <c r="G11">
        <v>0.11</v>
      </c>
      <c r="H11">
        <v>0.16681338028169013</v>
      </c>
      <c r="I11">
        <f>212.5/1033.5</f>
        <v>0.20561199806482824</v>
      </c>
      <c r="J11">
        <v>0.25</v>
      </c>
      <c r="K11">
        <v>0.8</v>
      </c>
      <c r="L11">
        <v>0.41</v>
      </c>
      <c r="M11" s="16">
        <v>0.05</v>
      </c>
      <c r="N11">
        <v>0.5</v>
      </c>
      <c r="O11" s="43">
        <v>0.5</v>
      </c>
      <c r="P11" s="43"/>
      <c r="S11">
        <v>0.17</v>
      </c>
      <c r="T11">
        <v>0.29799999999999999</v>
      </c>
      <c r="U11">
        <v>0.03</v>
      </c>
      <c r="V11" t="s">
        <v>24</v>
      </c>
      <c r="W11" s="7"/>
      <c r="X11" s="7" t="s">
        <v>160</v>
      </c>
      <c r="Y11" s="7" t="s">
        <v>131</v>
      </c>
      <c r="Z11" s="7" t="s">
        <v>145</v>
      </c>
      <c r="AA11" s="7"/>
      <c r="AB11" s="7"/>
      <c r="AC11" s="7"/>
      <c r="AD11" s="1" t="s">
        <v>336</v>
      </c>
      <c r="AE11" s="7" t="s">
        <v>235</v>
      </c>
      <c r="AF11" s="7" t="s">
        <v>78</v>
      </c>
      <c r="AG11" s="7"/>
      <c r="AH11" s="7" t="s">
        <v>223</v>
      </c>
      <c r="AI11" s="7"/>
      <c r="AJ11" s="7"/>
      <c r="AK11" s="7" t="s">
        <v>237</v>
      </c>
      <c r="AL11" s="7"/>
      <c r="AM11" s="16"/>
      <c r="AN11" s="7"/>
    </row>
    <row r="12" spans="1:40" ht="14.5" customHeight="1">
      <c r="A12" s="5" t="s">
        <v>96</v>
      </c>
      <c r="B12" s="5" t="s">
        <v>396</v>
      </c>
      <c r="C12" s="5">
        <v>0.9</v>
      </c>
      <c r="D12" s="5">
        <v>0.9</v>
      </c>
      <c r="E12" s="5">
        <v>0.95</v>
      </c>
      <c r="F12" s="5">
        <v>0.9</v>
      </c>
      <c r="G12" s="5">
        <v>0.95</v>
      </c>
      <c r="H12" s="5">
        <v>0.996</v>
      </c>
      <c r="I12" s="5">
        <v>0.82399999999999995</v>
      </c>
      <c r="J12" s="5">
        <v>0.98799999999999999</v>
      </c>
      <c r="K12" s="5">
        <v>0.79700000000000004</v>
      </c>
      <c r="L12" s="5">
        <v>0.61</v>
      </c>
      <c r="M12" s="14">
        <v>1</v>
      </c>
      <c r="N12" s="5">
        <v>0.95</v>
      </c>
      <c r="O12" s="44">
        <v>0.95</v>
      </c>
      <c r="P12" s="44"/>
      <c r="Q12" s="5"/>
      <c r="R12" s="5"/>
      <c r="S12" s="5">
        <v>0.90300000000000002</v>
      </c>
      <c r="T12" s="5">
        <v>0.65</v>
      </c>
      <c r="U12" s="5">
        <v>0.96</v>
      </c>
      <c r="V12" s="5" t="s">
        <v>24</v>
      </c>
      <c r="W12" s="6"/>
      <c r="X12" s="6" t="s">
        <v>110</v>
      </c>
      <c r="Y12" s="6" t="s">
        <v>129</v>
      </c>
      <c r="Z12" s="6" t="s">
        <v>170</v>
      </c>
      <c r="AA12" s="6"/>
      <c r="AB12" s="6"/>
      <c r="AC12" s="6"/>
      <c r="AD12" s="6" t="s">
        <v>337</v>
      </c>
      <c r="AE12" s="6" t="s">
        <v>238</v>
      </c>
      <c r="AF12" s="6" t="s">
        <v>106</v>
      </c>
      <c r="AG12" s="6" t="s">
        <v>239</v>
      </c>
      <c r="AH12" s="6" t="s">
        <v>240</v>
      </c>
      <c r="AI12" s="6" t="s">
        <v>241</v>
      </c>
      <c r="AJ12" s="6" t="s">
        <v>242</v>
      </c>
      <c r="AK12" s="6" t="s">
        <v>243</v>
      </c>
      <c r="AL12" s="6" t="s">
        <v>205</v>
      </c>
      <c r="AM12" s="14" t="s">
        <v>446</v>
      </c>
      <c r="AN12" s="6" t="s">
        <v>244</v>
      </c>
    </row>
    <row r="13" spans="1:40" ht="14.5" customHeight="1">
      <c r="A13" t="s">
        <v>97</v>
      </c>
      <c r="B13" s="5" t="s">
        <v>393</v>
      </c>
      <c r="C13">
        <v>0.95</v>
      </c>
      <c r="D13">
        <v>0.95</v>
      </c>
      <c r="E13">
        <v>0.95</v>
      </c>
      <c r="F13">
        <v>0.95</v>
      </c>
      <c r="G13">
        <v>0.9</v>
      </c>
      <c r="H13">
        <v>0.996</v>
      </c>
      <c r="I13">
        <v>0.82399999999999995</v>
      </c>
      <c r="J13">
        <v>0.98799999999999999</v>
      </c>
      <c r="K13">
        <v>0.79700000000000004</v>
      </c>
      <c r="L13">
        <v>0.61</v>
      </c>
      <c r="M13" s="16">
        <v>1</v>
      </c>
      <c r="N13">
        <v>0.95</v>
      </c>
      <c r="O13" s="43">
        <v>0.95</v>
      </c>
      <c r="P13" s="43"/>
      <c r="S13">
        <v>0.90300000000000002</v>
      </c>
      <c r="T13">
        <v>0.65</v>
      </c>
      <c r="U13">
        <v>0.96</v>
      </c>
      <c r="V13" t="s">
        <v>24</v>
      </c>
      <c r="W13" s="7"/>
      <c r="X13" s="7" t="s">
        <v>110</v>
      </c>
      <c r="Y13" s="7" t="s">
        <v>129</v>
      </c>
      <c r="Z13" s="7" t="s">
        <v>170</v>
      </c>
      <c r="AA13" s="7"/>
      <c r="AB13" s="7"/>
      <c r="AC13" s="7"/>
      <c r="AD13" s="7"/>
      <c r="AE13" s="7"/>
      <c r="AF13" s="7" t="s">
        <v>106</v>
      </c>
      <c r="AG13" s="7" t="s">
        <v>245</v>
      </c>
      <c r="AH13" s="7" t="s">
        <v>236</v>
      </c>
      <c r="AI13" s="7"/>
      <c r="AJ13" s="7"/>
      <c r="AK13" s="7" t="s">
        <v>246</v>
      </c>
      <c r="AL13" s="7"/>
      <c r="AM13" s="16" t="s">
        <v>446</v>
      </c>
      <c r="AN13" s="7" t="s">
        <v>247</v>
      </c>
    </row>
    <row r="14" spans="1:40" ht="14.5" customHeight="1">
      <c r="A14" s="5" t="s">
        <v>98</v>
      </c>
      <c r="B14" s="5" t="s">
        <v>390</v>
      </c>
      <c r="C14" s="5">
        <v>0.9</v>
      </c>
      <c r="D14" s="5">
        <v>0.9</v>
      </c>
      <c r="E14" s="5">
        <v>0.95</v>
      </c>
      <c r="F14" s="5">
        <v>0.9</v>
      </c>
      <c r="G14" s="5">
        <v>0.85</v>
      </c>
      <c r="H14" s="5">
        <v>0.996</v>
      </c>
      <c r="I14" s="5">
        <v>0.82399999999999995</v>
      </c>
      <c r="J14" s="5">
        <v>0.98799999999999999</v>
      </c>
      <c r="K14" s="5">
        <v>0.79700000000000004</v>
      </c>
      <c r="L14" s="5">
        <v>0.61</v>
      </c>
      <c r="M14" s="14">
        <v>1</v>
      </c>
      <c r="N14" s="5">
        <v>0.95</v>
      </c>
      <c r="O14" s="44">
        <v>0.95</v>
      </c>
      <c r="P14" s="44"/>
      <c r="Q14" s="5"/>
      <c r="R14" s="5"/>
      <c r="S14" s="5">
        <v>0.90300000000000002</v>
      </c>
      <c r="T14" s="5">
        <v>0.65000000000000013</v>
      </c>
      <c r="U14" s="5">
        <v>0.96</v>
      </c>
      <c r="V14" s="5" t="s">
        <v>24</v>
      </c>
      <c r="W14" s="6"/>
      <c r="X14" s="6" t="s">
        <v>110</v>
      </c>
      <c r="Y14" s="6" t="s">
        <v>129</v>
      </c>
      <c r="Z14" s="6" t="s">
        <v>170</v>
      </c>
      <c r="AA14" s="6"/>
      <c r="AB14" s="6"/>
      <c r="AC14" s="6"/>
      <c r="AD14" s="6"/>
      <c r="AE14" s="6"/>
      <c r="AF14" s="6" t="s">
        <v>106</v>
      </c>
      <c r="AG14" s="6"/>
      <c r="AH14" s="6"/>
      <c r="AI14" s="6"/>
      <c r="AJ14" s="6"/>
      <c r="AK14" s="6"/>
      <c r="AL14" s="6"/>
      <c r="AM14" s="14" t="s">
        <v>446</v>
      </c>
      <c r="AN14" s="6" t="s">
        <v>248</v>
      </c>
    </row>
    <row r="15" spans="1:40" ht="14.5" customHeight="1">
      <c r="A15" t="s">
        <v>99</v>
      </c>
      <c r="B15" s="5" t="s">
        <v>361</v>
      </c>
      <c r="C15">
        <v>0.95</v>
      </c>
      <c r="D15">
        <v>0.95</v>
      </c>
      <c r="E15">
        <v>0.95</v>
      </c>
      <c r="F15">
        <v>0.95</v>
      </c>
      <c r="G15">
        <v>0.75</v>
      </c>
      <c r="H15">
        <v>0.996</v>
      </c>
      <c r="I15">
        <v>0.82399999999999995</v>
      </c>
      <c r="J15">
        <v>0.98799999999999999</v>
      </c>
      <c r="K15">
        <v>0.79700000000000004</v>
      </c>
      <c r="L15">
        <v>0.61</v>
      </c>
      <c r="M15" s="16">
        <v>1</v>
      </c>
      <c r="N15">
        <v>0.95</v>
      </c>
      <c r="O15" s="43">
        <v>0.95</v>
      </c>
      <c r="P15" s="43"/>
      <c r="R15" s="8"/>
      <c r="S15">
        <v>0.90300000000000002</v>
      </c>
      <c r="T15">
        <v>0.65</v>
      </c>
      <c r="U15">
        <v>0.96</v>
      </c>
      <c r="V15" t="s">
        <v>24</v>
      </c>
      <c r="W15" s="7"/>
      <c r="X15" s="7" t="s">
        <v>110</v>
      </c>
      <c r="Y15" s="7" t="s">
        <v>129</v>
      </c>
      <c r="Z15" s="7"/>
      <c r="AA15" s="7"/>
      <c r="AB15" s="7"/>
      <c r="AC15" s="7"/>
      <c r="AD15" s="7"/>
      <c r="AE15" s="7"/>
      <c r="AF15" s="7" t="s">
        <v>106</v>
      </c>
      <c r="AG15" s="7"/>
      <c r="AH15" s="7"/>
      <c r="AI15" s="7"/>
      <c r="AJ15" s="7"/>
      <c r="AK15" s="7"/>
      <c r="AL15" s="7"/>
      <c r="AM15" s="16" t="s">
        <v>446</v>
      </c>
      <c r="AN15" s="7"/>
    </row>
    <row r="16" spans="1:40" ht="14.5" customHeight="1">
      <c r="A16" s="5" t="s">
        <v>100</v>
      </c>
      <c r="B16" s="5" t="s">
        <v>360</v>
      </c>
      <c r="C16" s="5">
        <v>0.9</v>
      </c>
      <c r="D16" s="5">
        <v>0.9</v>
      </c>
      <c r="E16" s="5">
        <v>0.95</v>
      </c>
      <c r="F16" s="5">
        <v>0.9</v>
      </c>
      <c r="G16" s="5">
        <v>0.8</v>
      </c>
      <c r="H16" s="5">
        <v>0.996</v>
      </c>
      <c r="I16" s="5">
        <v>0.82399999999999995</v>
      </c>
      <c r="J16" s="5">
        <v>0.98799999999999999</v>
      </c>
      <c r="K16" s="5">
        <v>0.79700000000000004</v>
      </c>
      <c r="L16" s="5">
        <v>0.61</v>
      </c>
      <c r="M16" s="14">
        <v>1</v>
      </c>
      <c r="N16" s="5">
        <v>0.95</v>
      </c>
      <c r="O16" s="44">
        <v>0.95</v>
      </c>
      <c r="P16" s="44"/>
      <c r="Q16" s="5"/>
      <c r="R16" s="9"/>
      <c r="S16" s="5">
        <v>0.90300000000000002</v>
      </c>
      <c r="T16" s="5">
        <v>0.65</v>
      </c>
      <c r="U16" s="5">
        <v>0.96</v>
      </c>
      <c r="V16" s="5" t="s">
        <v>24</v>
      </c>
      <c r="W16" s="6"/>
      <c r="X16" s="6" t="s">
        <v>110</v>
      </c>
      <c r="Y16" s="6" t="s">
        <v>129</v>
      </c>
      <c r="Z16" s="6"/>
      <c r="AA16" s="6"/>
      <c r="AB16" s="6"/>
      <c r="AC16" s="6"/>
      <c r="AD16" s="6"/>
      <c r="AE16" s="6"/>
      <c r="AF16" s="6" t="s">
        <v>106</v>
      </c>
      <c r="AG16" s="6"/>
      <c r="AH16" s="6"/>
      <c r="AI16" s="6"/>
      <c r="AJ16" s="6"/>
      <c r="AK16" s="6"/>
      <c r="AL16" s="6"/>
      <c r="AM16" s="14" t="s">
        <v>446</v>
      </c>
      <c r="AN16" s="6" t="s">
        <v>249</v>
      </c>
    </row>
    <row r="17" spans="1:40" ht="14.5" customHeight="1">
      <c r="A17" t="s">
        <v>101</v>
      </c>
      <c r="B17" t="s">
        <v>397</v>
      </c>
      <c r="C17">
        <v>50</v>
      </c>
      <c r="D17">
        <v>50</v>
      </c>
      <c r="E17">
        <v>50</v>
      </c>
      <c r="F17">
        <v>50</v>
      </c>
      <c r="G17">
        <v>40</v>
      </c>
      <c r="H17">
        <v>50</v>
      </c>
      <c r="I17">
        <v>50</v>
      </c>
      <c r="J17">
        <v>50</v>
      </c>
      <c r="K17">
        <v>50</v>
      </c>
      <c r="L17">
        <v>50</v>
      </c>
      <c r="M17" s="16">
        <v>5</v>
      </c>
      <c r="N17">
        <v>0</v>
      </c>
      <c r="O17" s="43">
        <v>1</v>
      </c>
      <c r="P17" s="43"/>
      <c r="R17" s="8"/>
      <c r="S17">
        <v>1</v>
      </c>
      <c r="T17">
        <v>40</v>
      </c>
      <c r="U17">
        <v>75</v>
      </c>
      <c r="V17" t="s">
        <v>24</v>
      </c>
      <c r="W17" s="7"/>
      <c r="X17" s="7" t="s">
        <v>109</v>
      </c>
      <c r="Y17" s="7" t="s">
        <v>129</v>
      </c>
      <c r="Z17" s="7" t="s">
        <v>150</v>
      </c>
      <c r="AA17" s="7"/>
      <c r="AB17" s="7"/>
      <c r="AC17" s="7"/>
      <c r="AD17" s="7" t="s">
        <v>250</v>
      </c>
      <c r="AE17" s="7" t="s">
        <v>251</v>
      </c>
      <c r="AF17" s="7" t="s">
        <v>106</v>
      </c>
      <c r="AG17" s="17" t="s">
        <v>342</v>
      </c>
      <c r="AH17" s="7" t="s">
        <v>347</v>
      </c>
      <c r="AI17" s="7" t="s">
        <v>346</v>
      </c>
      <c r="AJ17" s="7" t="s">
        <v>252</v>
      </c>
      <c r="AK17" s="7" t="s">
        <v>253</v>
      </c>
      <c r="AL17" s="7" t="s">
        <v>463</v>
      </c>
      <c r="AM17" s="16" t="s">
        <v>447</v>
      </c>
      <c r="AN17" s="7"/>
    </row>
    <row r="18" spans="1:40" ht="14.5" customHeight="1">
      <c r="A18" s="5" t="s">
        <v>102</v>
      </c>
      <c r="B18" t="s">
        <v>394</v>
      </c>
      <c r="C18" s="5">
        <v>25</v>
      </c>
      <c r="D18" s="5">
        <v>25</v>
      </c>
      <c r="E18" s="5">
        <v>3</v>
      </c>
      <c r="F18" s="5">
        <v>15</v>
      </c>
      <c r="G18" s="5">
        <v>30</v>
      </c>
      <c r="H18" s="5">
        <v>15</v>
      </c>
      <c r="I18" s="5">
        <v>3</v>
      </c>
      <c r="J18" s="5">
        <v>25</v>
      </c>
      <c r="K18" s="5">
        <v>5</v>
      </c>
      <c r="L18" s="5">
        <v>25</v>
      </c>
      <c r="M18" s="14">
        <v>30</v>
      </c>
      <c r="N18" s="5">
        <v>0</v>
      </c>
      <c r="O18" s="44">
        <v>1</v>
      </c>
      <c r="P18" s="44"/>
      <c r="Q18" s="5"/>
      <c r="R18" s="9"/>
      <c r="S18" s="5">
        <v>3</v>
      </c>
      <c r="T18" s="5">
        <v>20</v>
      </c>
      <c r="U18" s="5">
        <v>50</v>
      </c>
      <c r="V18" s="5" t="s">
        <v>24</v>
      </c>
      <c r="W18" s="6"/>
      <c r="X18" s="6" t="s">
        <v>109</v>
      </c>
      <c r="Y18" s="6" t="s">
        <v>129</v>
      </c>
      <c r="Z18" s="6" t="s">
        <v>151</v>
      </c>
      <c r="AA18" s="6"/>
      <c r="AB18" s="6"/>
      <c r="AC18" s="19" t="s">
        <v>254</v>
      </c>
      <c r="AD18" s="6" t="s">
        <v>255</v>
      </c>
      <c r="AE18" s="19" t="s">
        <v>256</v>
      </c>
      <c r="AF18" s="6" t="s">
        <v>106</v>
      </c>
      <c r="AG18" s="17" t="s">
        <v>342</v>
      </c>
      <c r="AH18" s="7" t="s">
        <v>347</v>
      </c>
      <c r="AI18" s="6" t="s">
        <v>346</v>
      </c>
      <c r="AJ18" s="6"/>
      <c r="AK18" s="6" t="s">
        <v>258</v>
      </c>
      <c r="AL18" s="6" t="s">
        <v>463</v>
      </c>
      <c r="AM18" s="14" t="s">
        <v>447</v>
      </c>
      <c r="AN18" s="6"/>
    </row>
    <row r="19" spans="1:40" ht="14.5" customHeight="1">
      <c r="A19" t="s">
        <v>103</v>
      </c>
      <c r="B19" t="s">
        <v>391</v>
      </c>
      <c r="C19">
        <v>20</v>
      </c>
      <c r="D19">
        <v>20</v>
      </c>
      <c r="E19">
        <v>30</v>
      </c>
      <c r="F19">
        <v>50</v>
      </c>
      <c r="G19">
        <v>20</v>
      </c>
      <c r="H19">
        <v>25</v>
      </c>
      <c r="I19">
        <v>30</v>
      </c>
      <c r="J19">
        <v>20</v>
      </c>
      <c r="K19">
        <v>20</v>
      </c>
      <c r="L19">
        <v>20</v>
      </c>
      <c r="M19" s="16">
        <v>10</v>
      </c>
      <c r="N19">
        <v>0</v>
      </c>
      <c r="O19" s="43">
        <v>1</v>
      </c>
      <c r="P19" s="43"/>
      <c r="R19" s="8"/>
      <c r="S19">
        <v>25</v>
      </c>
      <c r="T19">
        <v>40</v>
      </c>
      <c r="U19">
        <v>25</v>
      </c>
      <c r="V19" t="s">
        <v>24</v>
      </c>
      <c r="W19" s="7"/>
      <c r="X19" s="7" t="s">
        <v>109</v>
      </c>
      <c r="Y19" s="7" t="s">
        <v>129</v>
      </c>
      <c r="Z19" s="7" t="s">
        <v>153</v>
      </c>
      <c r="AA19" s="7"/>
      <c r="AB19" s="7"/>
      <c r="AC19" s="7"/>
      <c r="AD19" s="7"/>
      <c r="AE19" s="7"/>
      <c r="AF19" s="7" t="s">
        <v>106</v>
      </c>
      <c r="AG19" s="17" t="s">
        <v>342</v>
      </c>
      <c r="AH19" s="7" t="s">
        <v>347</v>
      </c>
      <c r="AI19" s="7" t="s">
        <v>346</v>
      </c>
      <c r="AJ19" s="7" t="s">
        <v>259</v>
      </c>
      <c r="AK19" s="7" t="s">
        <v>260</v>
      </c>
      <c r="AL19" s="1" t="s">
        <v>463</v>
      </c>
      <c r="AM19" s="16" t="s">
        <v>447</v>
      </c>
      <c r="AN19" s="7"/>
    </row>
    <row r="20" spans="1:40" ht="14.5" customHeight="1">
      <c r="A20" s="5" t="s">
        <v>104</v>
      </c>
      <c r="B20" t="s">
        <v>458</v>
      </c>
      <c r="C20" s="5">
        <v>15</v>
      </c>
      <c r="D20" s="5">
        <v>15</v>
      </c>
      <c r="E20" s="5">
        <v>15</v>
      </c>
      <c r="F20" s="5">
        <v>15</v>
      </c>
      <c r="G20" s="5">
        <v>10</v>
      </c>
      <c r="H20" s="5">
        <v>15</v>
      </c>
      <c r="I20" s="5">
        <v>15</v>
      </c>
      <c r="J20" s="5">
        <v>15</v>
      </c>
      <c r="K20" s="5">
        <v>5</v>
      </c>
      <c r="L20" s="5">
        <v>35</v>
      </c>
      <c r="M20" s="14"/>
      <c r="N20" s="5">
        <v>4</v>
      </c>
      <c r="O20" s="44">
        <v>4</v>
      </c>
      <c r="P20" s="44"/>
      <c r="Q20" s="5"/>
      <c r="R20" s="9"/>
      <c r="S20" s="5">
        <v>1</v>
      </c>
      <c r="T20" s="5">
        <v>40</v>
      </c>
      <c r="U20" s="5"/>
      <c r="V20" s="5" t="s">
        <v>24</v>
      </c>
      <c r="W20" s="6"/>
      <c r="X20" s="6" t="s">
        <v>109</v>
      </c>
      <c r="Y20" s="6" t="s">
        <v>129</v>
      </c>
      <c r="Z20" s="6" t="s">
        <v>154</v>
      </c>
      <c r="AA20" s="6"/>
      <c r="AB20" s="6"/>
      <c r="AC20" s="6" t="s">
        <v>262</v>
      </c>
      <c r="AD20" s="6"/>
      <c r="AE20" s="6"/>
      <c r="AF20" s="6" t="s">
        <v>106</v>
      </c>
      <c r="AG20" s="17" t="s">
        <v>342</v>
      </c>
      <c r="AH20" s="7" t="s">
        <v>347</v>
      </c>
      <c r="AI20" s="6" t="s">
        <v>346</v>
      </c>
      <c r="AJ20" s="6" t="s">
        <v>257</v>
      </c>
      <c r="AK20" s="6"/>
      <c r="AL20" s="6" t="s">
        <v>462</v>
      </c>
      <c r="AM20" s="14"/>
      <c r="AN20" s="6"/>
    </row>
    <row r="21" spans="1:40" ht="14.5" customHeight="1">
      <c r="A21" t="s">
        <v>105</v>
      </c>
      <c r="B21" t="s">
        <v>388</v>
      </c>
      <c r="C21">
        <v>15</v>
      </c>
      <c r="D21">
        <v>15</v>
      </c>
      <c r="E21">
        <v>35</v>
      </c>
      <c r="F21">
        <v>15</v>
      </c>
      <c r="G21">
        <v>15</v>
      </c>
      <c r="H21">
        <v>22</v>
      </c>
      <c r="I21">
        <v>35</v>
      </c>
      <c r="J21">
        <v>15</v>
      </c>
      <c r="K21">
        <v>17</v>
      </c>
      <c r="L21">
        <v>15</v>
      </c>
      <c r="M21" s="16">
        <v>20</v>
      </c>
      <c r="N21">
        <v>16</v>
      </c>
      <c r="O21" s="43">
        <v>16</v>
      </c>
      <c r="P21" s="43"/>
      <c r="R21" s="42"/>
      <c r="S21">
        <v>20</v>
      </c>
      <c r="T21">
        <v>20</v>
      </c>
      <c r="U21">
        <v>5</v>
      </c>
      <c r="V21" t="s">
        <v>24</v>
      </c>
      <c r="W21" s="7"/>
      <c r="X21" s="7" t="s">
        <v>109</v>
      </c>
      <c r="Y21" s="7" t="s">
        <v>129</v>
      </c>
      <c r="Z21" s="7" t="s">
        <v>152</v>
      </c>
      <c r="AA21" s="7"/>
      <c r="AB21" s="7"/>
      <c r="AC21" s="7"/>
      <c r="AD21" s="7" t="s">
        <v>263</v>
      </c>
      <c r="AF21" s="7" t="s">
        <v>106</v>
      </c>
      <c r="AG21" s="17" t="s">
        <v>342</v>
      </c>
      <c r="AH21" s="7" t="s">
        <v>347</v>
      </c>
      <c r="AI21" s="7" t="s">
        <v>346</v>
      </c>
      <c r="AJ21" s="7" t="s">
        <v>264</v>
      </c>
      <c r="AK21" s="7" t="s">
        <v>265</v>
      </c>
      <c r="AL21" s="7" t="s">
        <v>463</v>
      </c>
      <c r="AM21" s="16" t="s">
        <v>448</v>
      </c>
      <c r="AN21" s="7"/>
    </row>
    <row r="22" spans="1:40" ht="14.5" customHeight="1">
      <c r="A22" t="s">
        <v>433</v>
      </c>
      <c r="B22" t="s">
        <v>438</v>
      </c>
      <c r="C22">
        <v>15</v>
      </c>
      <c r="D22">
        <f>$C22/$C17*D17</f>
        <v>15</v>
      </c>
      <c r="E22">
        <f>$C22/$C17*E17</f>
        <v>15</v>
      </c>
      <c r="F22">
        <f t="shared" ref="F22:N22" si="0">$C22/$C17*F17</f>
        <v>15</v>
      </c>
      <c r="G22">
        <f t="shared" si="0"/>
        <v>12</v>
      </c>
      <c r="H22">
        <f t="shared" si="0"/>
        <v>15</v>
      </c>
      <c r="I22">
        <f t="shared" si="0"/>
        <v>15</v>
      </c>
      <c r="J22">
        <f t="shared" si="0"/>
        <v>15</v>
      </c>
      <c r="K22">
        <f t="shared" si="0"/>
        <v>15</v>
      </c>
      <c r="L22">
        <f t="shared" si="0"/>
        <v>15</v>
      </c>
      <c r="M22">
        <f t="shared" si="0"/>
        <v>1.5</v>
      </c>
      <c r="N22">
        <f t="shared" si="0"/>
        <v>0</v>
      </c>
      <c r="O22">
        <f t="shared" ref="O22" si="1">$C22/$C17*O17</f>
        <v>0.3</v>
      </c>
      <c r="R22" s="8"/>
      <c r="S22">
        <f t="shared" ref="S22:U24" si="2">$C22/$C17*S17</f>
        <v>0.3</v>
      </c>
      <c r="T22">
        <f t="shared" si="2"/>
        <v>12</v>
      </c>
      <c r="U22">
        <f t="shared" si="2"/>
        <v>22.5</v>
      </c>
      <c r="V22" t="s">
        <v>24</v>
      </c>
      <c r="W22" s="7" t="s">
        <v>443</v>
      </c>
      <c r="X22" s="7" t="s">
        <v>109</v>
      </c>
      <c r="Y22" s="7" t="s">
        <v>129</v>
      </c>
      <c r="Z22" s="7" t="s">
        <v>150</v>
      </c>
      <c r="AA22" s="7"/>
      <c r="AB22" s="7"/>
      <c r="AC22" s="7"/>
      <c r="AD22" s="7" t="s">
        <v>250</v>
      </c>
      <c r="AE22" s="7" t="s">
        <v>251</v>
      </c>
      <c r="AF22" s="7" t="s">
        <v>106</v>
      </c>
      <c r="AG22" s="17" t="s">
        <v>342</v>
      </c>
      <c r="AH22" s="7" t="s">
        <v>347</v>
      </c>
      <c r="AI22" s="7" t="s">
        <v>346</v>
      </c>
      <c r="AJ22" s="7" t="s">
        <v>252</v>
      </c>
      <c r="AK22" s="7" t="s">
        <v>253</v>
      </c>
      <c r="AL22" s="7"/>
      <c r="AM22" s="6"/>
      <c r="AN22" s="7"/>
    </row>
    <row r="23" spans="1:40" ht="14.5" customHeight="1">
      <c r="A23" s="5" t="s">
        <v>434</v>
      </c>
      <c r="B23" t="s">
        <v>439</v>
      </c>
      <c r="C23" s="5">
        <v>7.5</v>
      </c>
      <c r="D23">
        <f t="shared" ref="D23:E26" si="3">$C23/$C18*D18</f>
        <v>7.5</v>
      </c>
      <c r="E23">
        <f t="shared" si="3"/>
        <v>0.89999999999999991</v>
      </c>
      <c r="F23">
        <f t="shared" ref="F23:N26" si="4">$C23/$C18*F18</f>
        <v>4.5</v>
      </c>
      <c r="G23">
        <f t="shared" si="4"/>
        <v>9</v>
      </c>
      <c r="H23">
        <f t="shared" si="4"/>
        <v>4.5</v>
      </c>
      <c r="I23">
        <f t="shared" si="4"/>
        <v>0.89999999999999991</v>
      </c>
      <c r="J23">
        <f t="shared" si="4"/>
        <v>7.5</v>
      </c>
      <c r="K23">
        <f t="shared" si="4"/>
        <v>1.5</v>
      </c>
      <c r="L23">
        <f t="shared" si="4"/>
        <v>7.5</v>
      </c>
      <c r="M23">
        <f t="shared" si="4"/>
        <v>9</v>
      </c>
      <c r="N23">
        <f t="shared" si="4"/>
        <v>0</v>
      </c>
      <c r="O23">
        <f t="shared" ref="O23" si="5">$C23/$C18*O18</f>
        <v>0.3</v>
      </c>
      <c r="Q23" s="5"/>
      <c r="R23" s="8"/>
      <c r="S23">
        <f t="shared" si="2"/>
        <v>0.89999999999999991</v>
      </c>
      <c r="T23">
        <f t="shared" si="2"/>
        <v>6</v>
      </c>
      <c r="U23">
        <f t="shared" si="2"/>
        <v>15</v>
      </c>
      <c r="V23" s="5" t="s">
        <v>24</v>
      </c>
      <c r="W23" s="7" t="s">
        <v>443</v>
      </c>
      <c r="X23" s="6" t="s">
        <v>109</v>
      </c>
      <c r="Y23" s="6" t="s">
        <v>129</v>
      </c>
      <c r="Z23" s="6" t="s">
        <v>151</v>
      </c>
      <c r="AA23" s="6"/>
      <c r="AB23" s="6"/>
      <c r="AC23" s="19" t="s">
        <v>254</v>
      </c>
      <c r="AD23" s="6" t="s">
        <v>255</v>
      </c>
      <c r="AE23" s="19" t="s">
        <v>256</v>
      </c>
      <c r="AF23" s="6" t="s">
        <v>106</v>
      </c>
      <c r="AG23" s="17" t="s">
        <v>342</v>
      </c>
      <c r="AH23" s="7" t="s">
        <v>347</v>
      </c>
      <c r="AI23" s="6" t="s">
        <v>346</v>
      </c>
      <c r="AJ23" s="6"/>
      <c r="AK23" s="6" t="s">
        <v>258</v>
      </c>
      <c r="AL23" s="6"/>
      <c r="AM23" s="6"/>
      <c r="AN23" s="6"/>
    </row>
    <row r="24" spans="1:40" ht="14.5" customHeight="1">
      <c r="A24" t="s">
        <v>435</v>
      </c>
      <c r="B24" t="s">
        <v>440</v>
      </c>
      <c r="C24">
        <v>6</v>
      </c>
      <c r="D24">
        <f t="shared" si="3"/>
        <v>6</v>
      </c>
      <c r="E24">
        <f t="shared" si="3"/>
        <v>9</v>
      </c>
      <c r="F24">
        <f t="shared" si="4"/>
        <v>15</v>
      </c>
      <c r="G24">
        <f t="shared" si="4"/>
        <v>6</v>
      </c>
      <c r="H24">
        <f t="shared" si="4"/>
        <v>7.5</v>
      </c>
      <c r="I24">
        <f t="shared" si="4"/>
        <v>9</v>
      </c>
      <c r="J24">
        <f t="shared" si="4"/>
        <v>6</v>
      </c>
      <c r="K24">
        <f t="shared" si="4"/>
        <v>6</v>
      </c>
      <c r="L24">
        <f t="shared" si="4"/>
        <v>6</v>
      </c>
      <c r="M24">
        <f t="shared" si="4"/>
        <v>3</v>
      </c>
      <c r="N24">
        <f t="shared" si="4"/>
        <v>0</v>
      </c>
      <c r="O24">
        <f t="shared" ref="O24" si="6">$C24/$C19*O19</f>
        <v>0.3</v>
      </c>
      <c r="R24" s="8"/>
      <c r="S24">
        <f t="shared" si="2"/>
        <v>7.5</v>
      </c>
      <c r="T24">
        <f t="shared" si="2"/>
        <v>12</v>
      </c>
      <c r="U24">
        <f t="shared" si="2"/>
        <v>7.5</v>
      </c>
      <c r="V24" t="s">
        <v>24</v>
      </c>
      <c r="W24" s="7" t="s">
        <v>443</v>
      </c>
      <c r="X24" s="7" t="s">
        <v>109</v>
      </c>
      <c r="Y24" s="7" t="s">
        <v>129</v>
      </c>
      <c r="Z24" s="7" t="s">
        <v>153</v>
      </c>
      <c r="AA24" s="7"/>
      <c r="AB24" s="7"/>
      <c r="AC24" s="7"/>
      <c r="AD24" s="7"/>
      <c r="AE24" s="7"/>
      <c r="AF24" s="7" t="s">
        <v>106</v>
      </c>
      <c r="AG24" s="17" t="s">
        <v>342</v>
      </c>
      <c r="AH24" s="7" t="s">
        <v>347</v>
      </c>
      <c r="AI24" s="7" t="s">
        <v>346</v>
      </c>
      <c r="AJ24" s="7" t="s">
        <v>259</v>
      </c>
      <c r="AK24" s="7" t="s">
        <v>260</v>
      </c>
      <c r="AL24" s="1" t="s">
        <v>261</v>
      </c>
      <c r="AM24" s="6"/>
      <c r="AN24" s="7"/>
    </row>
    <row r="25" spans="1:40" ht="14.5" customHeight="1">
      <c r="A25" s="5" t="s">
        <v>436</v>
      </c>
      <c r="B25" t="s">
        <v>441</v>
      </c>
      <c r="C25" s="5">
        <v>3</v>
      </c>
      <c r="D25">
        <f t="shared" si="3"/>
        <v>3</v>
      </c>
      <c r="E25">
        <f t="shared" si="3"/>
        <v>3</v>
      </c>
      <c r="F25">
        <f t="shared" si="4"/>
        <v>3</v>
      </c>
      <c r="G25">
        <f t="shared" si="4"/>
        <v>2</v>
      </c>
      <c r="H25">
        <f t="shared" si="4"/>
        <v>3</v>
      </c>
      <c r="I25">
        <f t="shared" si="4"/>
        <v>3</v>
      </c>
      <c r="J25">
        <f t="shared" si="4"/>
        <v>3</v>
      </c>
      <c r="K25">
        <f t="shared" si="4"/>
        <v>1</v>
      </c>
      <c r="L25">
        <f t="shared" si="4"/>
        <v>7</v>
      </c>
      <c r="N25">
        <f t="shared" si="4"/>
        <v>0.8</v>
      </c>
      <c r="O25">
        <f t="shared" ref="O25" si="7">$C25/$C20*O20</f>
        <v>0.8</v>
      </c>
      <c r="Q25" s="5"/>
      <c r="R25" s="8"/>
      <c r="S25">
        <f>$C25/$C20*S20</f>
        <v>0.2</v>
      </c>
      <c r="T25">
        <f>$C25/$C20*T20</f>
        <v>8</v>
      </c>
      <c r="V25" s="5" t="s">
        <v>24</v>
      </c>
      <c r="W25" s="7" t="s">
        <v>443</v>
      </c>
      <c r="X25" s="6" t="s">
        <v>109</v>
      </c>
      <c r="Y25" s="6" t="s">
        <v>129</v>
      </c>
      <c r="Z25" s="6" t="s">
        <v>154</v>
      </c>
      <c r="AA25" s="6"/>
      <c r="AB25" s="6"/>
      <c r="AC25" s="6" t="s">
        <v>262</v>
      </c>
      <c r="AD25" s="6"/>
      <c r="AE25" s="6"/>
      <c r="AF25" s="6" t="s">
        <v>106</v>
      </c>
      <c r="AG25" s="17" t="s">
        <v>342</v>
      </c>
      <c r="AH25" s="7" t="s">
        <v>347</v>
      </c>
      <c r="AI25" s="6" t="s">
        <v>346</v>
      </c>
      <c r="AJ25" s="6" t="s">
        <v>257</v>
      </c>
      <c r="AK25" s="6"/>
      <c r="AL25" s="6"/>
      <c r="AM25" s="6"/>
      <c r="AN25" s="6"/>
    </row>
    <row r="26" spans="1:40" ht="14.5" customHeight="1">
      <c r="A26" t="s">
        <v>437</v>
      </c>
      <c r="B26" t="s">
        <v>442</v>
      </c>
      <c r="C26">
        <v>4.5</v>
      </c>
      <c r="D26">
        <f t="shared" si="3"/>
        <v>4.5</v>
      </c>
      <c r="E26">
        <f t="shared" si="3"/>
        <v>10.5</v>
      </c>
      <c r="F26">
        <f t="shared" si="4"/>
        <v>4.5</v>
      </c>
      <c r="G26">
        <f t="shared" si="4"/>
        <v>4.5</v>
      </c>
      <c r="H26">
        <f t="shared" si="4"/>
        <v>6.6</v>
      </c>
      <c r="I26">
        <f t="shared" si="4"/>
        <v>10.5</v>
      </c>
      <c r="J26">
        <f t="shared" si="4"/>
        <v>4.5</v>
      </c>
      <c r="K26">
        <f t="shared" si="4"/>
        <v>5.0999999999999996</v>
      </c>
      <c r="L26">
        <f t="shared" si="4"/>
        <v>4.5</v>
      </c>
      <c r="M26">
        <f t="shared" si="4"/>
        <v>6</v>
      </c>
      <c r="N26">
        <f t="shared" si="4"/>
        <v>4.8</v>
      </c>
      <c r="O26">
        <f t="shared" ref="O26" si="8">$C26/$C21*O21</f>
        <v>4.8</v>
      </c>
      <c r="R26" s="8"/>
      <c r="S26">
        <f>$C26/$C21*S21</f>
        <v>6</v>
      </c>
      <c r="T26">
        <f>$C26/$C21*T21</f>
        <v>6</v>
      </c>
      <c r="U26">
        <f>$C26/$C21*U21</f>
        <v>1.5</v>
      </c>
      <c r="V26" t="s">
        <v>24</v>
      </c>
      <c r="W26" s="7" t="s">
        <v>443</v>
      </c>
      <c r="X26" s="7" t="s">
        <v>109</v>
      </c>
      <c r="Y26" s="7" t="s">
        <v>129</v>
      </c>
      <c r="Z26" s="7" t="s">
        <v>152</v>
      </c>
      <c r="AA26" s="7"/>
      <c r="AB26" s="7"/>
      <c r="AC26" s="7"/>
      <c r="AD26" s="7" t="s">
        <v>263</v>
      </c>
      <c r="AF26" s="7" t="s">
        <v>106</v>
      </c>
      <c r="AG26" s="17" t="s">
        <v>342</v>
      </c>
      <c r="AH26" s="7" t="s">
        <v>347</v>
      </c>
      <c r="AI26" s="7" t="s">
        <v>346</v>
      </c>
      <c r="AJ26" s="7" t="s">
        <v>264</v>
      </c>
      <c r="AK26" s="7" t="s">
        <v>265</v>
      </c>
      <c r="AL26" s="7" t="s">
        <v>266</v>
      </c>
      <c r="AM26" s="6"/>
      <c r="AN26" s="7"/>
    </row>
    <row r="27" spans="1:40" ht="14.5" customHeight="1">
      <c r="A27" s="5" t="s">
        <v>134</v>
      </c>
      <c r="B27" s="5" t="s">
        <v>398</v>
      </c>
      <c r="C27" s="5">
        <v>0.64749999999999996</v>
      </c>
      <c r="D27" s="5">
        <v>0.64749999999999996</v>
      </c>
      <c r="E27" s="5">
        <v>0.8</v>
      </c>
      <c r="F27" s="5">
        <v>0.25</v>
      </c>
      <c r="G27" s="5">
        <v>0.64800000000000002</v>
      </c>
      <c r="H27" s="5">
        <v>0.87</v>
      </c>
      <c r="I27" s="5">
        <v>0.5</v>
      </c>
      <c r="J27" s="5">
        <v>0.23</v>
      </c>
      <c r="K27" s="5">
        <v>0.1</v>
      </c>
      <c r="L27" s="11">
        <v>9.9999999999999995E-7</v>
      </c>
      <c r="M27" s="20"/>
      <c r="N27" s="5">
        <v>0</v>
      </c>
      <c r="O27" s="11">
        <v>9.9999999999999995E-7</v>
      </c>
      <c r="P27" s="11"/>
      <c r="Q27" s="5"/>
      <c r="R27" s="5"/>
      <c r="S27" s="5">
        <v>0.46</v>
      </c>
      <c r="T27" s="5"/>
      <c r="U27" s="5"/>
      <c r="V27" s="5" t="s">
        <v>24</v>
      </c>
      <c r="W27" s="6"/>
      <c r="X27" s="6" t="s">
        <v>174</v>
      </c>
      <c r="Y27" s="6"/>
      <c r="Z27" s="6" t="s">
        <v>403</v>
      </c>
      <c r="AA27" s="6"/>
      <c r="AC27" s="7"/>
      <c r="AD27" s="17" t="s">
        <v>343</v>
      </c>
      <c r="AE27" s="5"/>
      <c r="AF27" s="6" t="s">
        <v>175</v>
      </c>
      <c r="AG27" s="17" t="s">
        <v>342</v>
      </c>
      <c r="AH27" s="6" t="s">
        <v>404</v>
      </c>
      <c r="AI27" s="19" t="s">
        <v>334</v>
      </c>
      <c r="AJ27" s="6" t="s">
        <v>340</v>
      </c>
      <c r="AK27" s="6"/>
      <c r="AL27" s="6" t="s">
        <v>465</v>
      </c>
      <c r="AM27" s="6"/>
      <c r="AN27" s="5"/>
    </row>
    <row r="28" spans="1:40" ht="14.5" customHeight="1">
      <c r="A28" t="s">
        <v>135</v>
      </c>
      <c r="B28" s="5" t="s">
        <v>395</v>
      </c>
      <c r="C28">
        <v>0.72899999999999998</v>
      </c>
      <c r="D28">
        <v>0.72899999999999998</v>
      </c>
      <c r="E28">
        <v>0.125</v>
      </c>
      <c r="F28">
        <v>0.75</v>
      </c>
      <c r="G28">
        <v>0.495</v>
      </c>
      <c r="H28">
        <v>0.87</v>
      </c>
      <c r="I28">
        <v>0.125</v>
      </c>
      <c r="J28">
        <v>0.22</v>
      </c>
      <c r="K28">
        <v>0.1</v>
      </c>
      <c r="L28">
        <v>0.125</v>
      </c>
      <c r="M28" s="21"/>
      <c r="N28">
        <v>0</v>
      </c>
      <c r="O28" s="11">
        <v>9.9999999999999995E-7</v>
      </c>
      <c r="P28" s="11"/>
      <c r="S28">
        <v>0.22</v>
      </c>
      <c r="V28" t="s">
        <v>24</v>
      </c>
      <c r="W28" s="7"/>
      <c r="X28" s="7" t="s">
        <v>174</v>
      </c>
      <c r="Y28" s="7"/>
      <c r="Z28" s="7" t="s">
        <v>402</v>
      </c>
      <c r="AA28" s="7"/>
      <c r="AC28" s="6"/>
      <c r="AD28" s="17" t="s">
        <v>343</v>
      </c>
      <c r="AE28" s="7"/>
      <c r="AF28" s="7" t="s">
        <v>175</v>
      </c>
      <c r="AG28" s="17" t="s">
        <v>342</v>
      </c>
      <c r="AH28" s="6" t="s">
        <v>404</v>
      </c>
      <c r="AI28" s="19" t="s">
        <v>334</v>
      </c>
      <c r="AJ28" s="6" t="s">
        <v>340</v>
      </c>
      <c r="AK28" s="7"/>
      <c r="AL28" s="7" t="s">
        <v>464</v>
      </c>
      <c r="AM28" s="47"/>
    </row>
    <row r="29" spans="1:40" ht="14.5" customHeight="1">
      <c r="A29" s="5" t="s">
        <v>136</v>
      </c>
      <c r="B29" s="5" t="s">
        <v>392</v>
      </c>
      <c r="C29" s="5">
        <v>0.76690000000000003</v>
      </c>
      <c r="D29" s="5">
        <v>0.76690000000000003</v>
      </c>
      <c r="E29" s="5">
        <v>0.95</v>
      </c>
      <c r="F29" s="5">
        <v>0.05</v>
      </c>
      <c r="G29" s="5">
        <v>0.13600000000000001</v>
      </c>
      <c r="H29" s="5">
        <v>0.87</v>
      </c>
      <c r="I29" s="5">
        <v>0.95</v>
      </c>
      <c r="J29" s="5">
        <v>0.19</v>
      </c>
      <c r="K29" s="5">
        <v>0.1</v>
      </c>
      <c r="L29" s="11">
        <v>9.9999999999999995E-7</v>
      </c>
      <c r="M29" s="20"/>
      <c r="N29" s="5">
        <v>0</v>
      </c>
      <c r="O29" s="11">
        <v>9.9999999999999995E-7</v>
      </c>
      <c r="P29" s="11"/>
      <c r="Q29" s="5"/>
      <c r="R29" s="5"/>
      <c r="S29" s="5">
        <v>0.05</v>
      </c>
      <c r="T29" s="5"/>
      <c r="U29" s="5"/>
      <c r="V29" s="5" t="s">
        <v>24</v>
      </c>
      <c r="W29" s="6"/>
      <c r="X29" s="6" t="s">
        <v>174</v>
      </c>
      <c r="Y29" s="6"/>
      <c r="Z29" s="6" t="s">
        <v>401</v>
      </c>
      <c r="AA29" s="6"/>
      <c r="AC29" s="7"/>
      <c r="AD29" s="17" t="s">
        <v>343</v>
      </c>
      <c r="AE29" s="5"/>
      <c r="AF29" s="6" t="s">
        <v>175</v>
      </c>
      <c r="AG29" s="17" t="s">
        <v>342</v>
      </c>
      <c r="AH29" s="6" t="s">
        <v>404</v>
      </c>
      <c r="AI29" s="19" t="s">
        <v>334</v>
      </c>
      <c r="AJ29" s="6" t="s">
        <v>340</v>
      </c>
      <c r="AK29" s="6"/>
      <c r="AL29" s="6" t="s">
        <v>465</v>
      </c>
      <c r="AM29" s="47"/>
      <c r="AN29" s="5"/>
    </row>
    <row r="30" spans="1:40" ht="14.5" customHeight="1">
      <c r="A30" t="s">
        <v>137</v>
      </c>
      <c r="B30" s="5" t="s">
        <v>362</v>
      </c>
      <c r="C30">
        <v>0.46850000000000003</v>
      </c>
      <c r="D30">
        <v>0.46850000000000003</v>
      </c>
      <c r="E30">
        <v>0.2</v>
      </c>
      <c r="F30">
        <v>0.75</v>
      </c>
      <c r="G30">
        <v>0.34649999999999997</v>
      </c>
      <c r="H30">
        <v>0.48</v>
      </c>
      <c r="I30">
        <v>0.2</v>
      </c>
      <c r="J30">
        <v>0.11</v>
      </c>
      <c r="K30">
        <v>0.1</v>
      </c>
      <c r="L30">
        <v>0.95</v>
      </c>
      <c r="M30" s="21"/>
      <c r="N30">
        <v>0</v>
      </c>
      <c r="O30" s="11">
        <v>9.9999999999999995E-7</v>
      </c>
      <c r="P30" s="11"/>
      <c r="S30" s="10">
        <v>9.9999999999999995E-7</v>
      </c>
      <c r="V30" t="s">
        <v>24</v>
      </c>
      <c r="W30" s="7"/>
      <c r="X30" s="7" t="s">
        <v>174</v>
      </c>
      <c r="Y30" s="7"/>
      <c r="Z30" s="7" t="s">
        <v>400</v>
      </c>
      <c r="AA30" s="7"/>
      <c r="AC30" s="6"/>
      <c r="AD30" s="17" t="s">
        <v>343</v>
      </c>
      <c r="AF30" s="7" t="s">
        <v>175</v>
      </c>
      <c r="AG30" s="17" t="s">
        <v>342</v>
      </c>
      <c r="AH30" s="6" t="s">
        <v>404</v>
      </c>
      <c r="AI30" s="19" t="s">
        <v>334</v>
      </c>
      <c r="AJ30" s="6" t="s">
        <v>340</v>
      </c>
      <c r="AK30" s="7"/>
      <c r="AL30" s="7" t="s">
        <v>462</v>
      </c>
      <c r="AM30" s="47"/>
    </row>
    <row r="31" spans="1:40" ht="14.5" customHeight="1">
      <c r="A31" s="5" t="s">
        <v>138</v>
      </c>
      <c r="B31" s="5" t="s">
        <v>389</v>
      </c>
      <c r="C31" s="5">
        <v>0.75</v>
      </c>
      <c r="D31" s="5">
        <v>0.75</v>
      </c>
      <c r="E31" s="5">
        <v>0.95</v>
      </c>
      <c r="F31" s="5">
        <v>0.5</v>
      </c>
      <c r="G31" s="5">
        <v>0.63700000000000001</v>
      </c>
      <c r="H31" s="5">
        <v>0.74</v>
      </c>
      <c r="I31" s="5">
        <v>0.95</v>
      </c>
      <c r="J31" s="5">
        <v>0.26</v>
      </c>
      <c r="K31" s="5">
        <v>0.99299999999999999</v>
      </c>
      <c r="L31" s="5">
        <v>0.8</v>
      </c>
      <c r="M31" s="20"/>
      <c r="N31" s="5">
        <v>0.45</v>
      </c>
      <c r="O31" s="5">
        <v>0.4</v>
      </c>
      <c r="P31" s="5"/>
      <c r="Q31" s="5"/>
      <c r="R31" s="5"/>
      <c r="S31" s="5">
        <v>0.17</v>
      </c>
      <c r="T31" s="5"/>
      <c r="U31" s="5"/>
      <c r="V31" s="5" t="s">
        <v>24</v>
      </c>
      <c r="W31" s="6"/>
      <c r="X31" s="6" t="s">
        <v>174</v>
      </c>
      <c r="Y31" s="6"/>
      <c r="Z31" s="6" t="s">
        <v>399</v>
      </c>
      <c r="AA31" s="6"/>
      <c r="AC31" s="7"/>
      <c r="AD31" s="17" t="s">
        <v>343</v>
      </c>
      <c r="AF31" s="6" t="s">
        <v>175</v>
      </c>
      <c r="AG31" s="17" t="s">
        <v>342</v>
      </c>
      <c r="AH31" s="6" t="s">
        <v>404</v>
      </c>
      <c r="AI31" s="19" t="s">
        <v>334</v>
      </c>
      <c r="AJ31" s="1" t="s">
        <v>341</v>
      </c>
      <c r="AK31" s="6"/>
      <c r="AL31" s="6" t="s">
        <v>459</v>
      </c>
      <c r="AM31" s="47"/>
      <c r="AN31" s="5"/>
    </row>
    <row r="32" spans="1:40" ht="14.5" customHeight="1">
      <c r="A32" t="s">
        <v>70</v>
      </c>
      <c r="B32" t="s">
        <v>363</v>
      </c>
      <c r="C32">
        <v>0.34250000000000003</v>
      </c>
      <c r="D32">
        <v>0.33800000000000002</v>
      </c>
      <c r="E32">
        <v>0.26156000000000001</v>
      </c>
      <c r="F32">
        <v>3.5000000000000003E-2</v>
      </c>
      <c r="G32">
        <v>0.3624</v>
      </c>
      <c r="H32">
        <v>0.24438253362692441</v>
      </c>
      <c r="I32">
        <v>0.17</v>
      </c>
      <c r="J32">
        <v>0.39</v>
      </c>
      <c r="K32">
        <v>0.73</v>
      </c>
      <c r="L32">
        <v>0.27307599999999999</v>
      </c>
      <c r="M32" s="16">
        <v>2.7500000000000002E-4</v>
      </c>
      <c r="O32" s="11">
        <v>0.2</v>
      </c>
      <c r="P32" s="11"/>
      <c r="R32" s="8"/>
      <c r="S32">
        <v>0.38300000000000001</v>
      </c>
      <c r="T32">
        <v>0.35699999999999998</v>
      </c>
      <c r="U32">
        <v>0.21</v>
      </c>
      <c r="V32" t="s">
        <v>31</v>
      </c>
      <c r="W32" s="7" t="s">
        <v>71</v>
      </c>
      <c r="X32" s="7" t="s">
        <v>156</v>
      </c>
      <c r="Y32" s="7" t="s">
        <v>128</v>
      </c>
      <c r="Z32" s="7" t="s">
        <v>139</v>
      </c>
      <c r="AA32" s="7"/>
      <c r="AB32" s="7"/>
      <c r="AC32" s="17" t="s">
        <v>267</v>
      </c>
      <c r="AD32" s="7"/>
      <c r="AE32" s="17" t="s">
        <v>268</v>
      </c>
      <c r="AF32" s="7" t="s">
        <v>77</v>
      </c>
      <c r="AG32" s="1" t="s">
        <v>310</v>
      </c>
      <c r="AH32" s="7" t="s">
        <v>333</v>
      </c>
      <c r="AI32" s="7"/>
      <c r="AJ32" s="7"/>
      <c r="AK32" s="7" t="s">
        <v>269</v>
      </c>
      <c r="AL32" s="1" t="s">
        <v>461</v>
      </c>
      <c r="AM32" s="47" t="s">
        <v>449</v>
      </c>
      <c r="AN32" s="7"/>
    </row>
    <row r="33" spans="1:40" ht="14.5" customHeight="1">
      <c r="A33" s="5" t="s">
        <v>69</v>
      </c>
      <c r="B33" t="s">
        <v>364</v>
      </c>
      <c r="C33" s="5">
        <v>0.24399999999999999</v>
      </c>
      <c r="D33" s="5">
        <v>0.33800000000000002</v>
      </c>
      <c r="E33" s="5">
        <v>0.26156000000000001</v>
      </c>
      <c r="F33" s="5">
        <v>6.2E-2</v>
      </c>
      <c r="G33" s="5">
        <v>0.38300000000000001</v>
      </c>
      <c r="H33">
        <v>0.24438253362692441</v>
      </c>
      <c r="I33" s="5">
        <v>0.17</v>
      </c>
      <c r="J33" s="5">
        <v>0.39</v>
      </c>
      <c r="K33" s="5">
        <v>0.73</v>
      </c>
      <c r="L33">
        <v>0.27307599999999999</v>
      </c>
      <c r="M33" s="14">
        <v>2.7500000000000002E-4</v>
      </c>
      <c r="N33" s="5"/>
      <c r="O33" s="11">
        <v>0.2</v>
      </c>
      <c r="P33" s="11"/>
      <c r="Q33" s="5"/>
      <c r="R33" s="9"/>
      <c r="S33" s="5">
        <v>0.46</v>
      </c>
      <c r="T33">
        <v>0.35699999999999998</v>
      </c>
      <c r="U33" s="5">
        <v>0.21</v>
      </c>
      <c r="V33" s="5" t="s">
        <v>31</v>
      </c>
      <c r="W33" s="6"/>
      <c r="X33" s="6" t="s">
        <v>157</v>
      </c>
      <c r="Y33" s="6" t="s">
        <v>127</v>
      </c>
      <c r="Z33" s="6" t="s">
        <v>140</v>
      </c>
      <c r="AA33" s="6"/>
      <c r="AB33" s="6"/>
      <c r="AC33" s="6" t="s">
        <v>270</v>
      </c>
      <c r="AD33" s="6"/>
      <c r="AE33" s="19" t="s">
        <v>268</v>
      </c>
      <c r="AF33" s="6" t="s">
        <v>77</v>
      </c>
      <c r="AG33" s="1" t="s">
        <v>310</v>
      </c>
      <c r="AH33" s="6" t="s">
        <v>333</v>
      </c>
      <c r="AI33" s="6" t="s">
        <v>271</v>
      </c>
      <c r="AJ33" s="6"/>
      <c r="AK33" s="6" t="s">
        <v>272</v>
      </c>
      <c r="AL33" s="1" t="s">
        <v>461</v>
      </c>
      <c r="AM33" s="48"/>
      <c r="AN33" s="6"/>
    </row>
    <row r="34" spans="1:40" ht="14.5" customHeight="1">
      <c r="A34" t="s">
        <v>75</v>
      </c>
      <c r="B34" t="s">
        <v>365</v>
      </c>
      <c r="C34">
        <v>1</v>
      </c>
      <c r="D34">
        <v>1</v>
      </c>
      <c r="E34">
        <v>1</v>
      </c>
      <c r="F34">
        <v>1</v>
      </c>
      <c r="G34">
        <v>1</v>
      </c>
      <c r="H34">
        <v>1</v>
      </c>
      <c r="I34">
        <v>1</v>
      </c>
      <c r="J34">
        <v>1</v>
      </c>
      <c r="K34">
        <v>1</v>
      </c>
      <c r="L34">
        <v>1</v>
      </c>
      <c r="M34" s="16">
        <v>1</v>
      </c>
      <c r="N34">
        <v>1</v>
      </c>
      <c r="O34" s="5">
        <v>1</v>
      </c>
      <c r="P34" s="5"/>
      <c r="Q34">
        <v>1</v>
      </c>
      <c r="R34" s="8">
        <v>1</v>
      </c>
      <c r="S34">
        <v>1</v>
      </c>
      <c r="T34">
        <v>1</v>
      </c>
      <c r="U34">
        <v>1</v>
      </c>
      <c r="V34" t="s">
        <v>31</v>
      </c>
      <c r="W34" s="7"/>
      <c r="X34" s="7"/>
      <c r="Y34" s="7"/>
      <c r="Z34" s="6" t="s">
        <v>140</v>
      </c>
      <c r="AA34" s="7"/>
      <c r="AB34" s="7"/>
      <c r="AC34" s="7"/>
      <c r="AD34" s="7"/>
      <c r="AE34" s="7"/>
      <c r="AF34" s="7" t="s">
        <v>77</v>
      </c>
      <c r="AG34" s="7"/>
      <c r="AH34" s="7"/>
      <c r="AI34" s="7"/>
      <c r="AJ34" s="7"/>
      <c r="AK34" s="7"/>
      <c r="AL34" s="7"/>
      <c r="AM34" s="48"/>
      <c r="AN34" s="7"/>
    </row>
    <row r="35" spans="1:40" ht="14.5" customHeight="1">
      <c r="A35" s="5" t="s">
        <v>74</v>
      </c>
      <c r="B35" t="s">
        <v>366</v>
      </c>
      <c r="C35" s="5">
        <v>0.57769999999999999</v>
      </c>
      <c r="D35" s="5">
        <v>0.53300000000000003</v>
      </c>
      <c r="E35" s="5">
        <v>0.1065</v>
      </c>
      <c r="F35" s="5">
        <v>0.28999999999999998</v>
      </c>
      <c r="G35" s="5">
        <v>0.43180000000000002</v>
      </c>
      <c r="H35" s="5">
        <v>0.3</v>
      </c>
      <c r="I35" s="5">
        <v>0.13</v>
      </c>
      <c r="J35" s="5">
        <v>0.33</v>
      </c>
      <c r="K35" s="5">
        <v>0.42</v>
      </c>
      <c r="L35" s="5">
        <v>0.11700000000000001</v>
      </c>
      <c r="M35" s="14">
        <v>0.625</v>
      </c>
      <c r="N35" s="5"/>
      <c r="O35" s="5">
        <v>0.5</v>
      </c>
      <c r="P35" s="5"/>
      <c r="Q35" s="5"/>
      <c r="R35" s="9"/>
      <c r="S35" s="5">
        <v>0.64</v>
      </c>
      <c r="T35" s="5"/>
      <c r="U35" s="5">
        <v>0.498</v>
      </c>
      <c r="V35" s="5" t="s">
        <v>31</v>
      </c>
      <c r="W35" s="6"/>
      <c r="X35" s="6" t="s">
        <v>158</v>
      </c>
      <c r="Y35" s="6" t="s">
        <v>131</v>
      </c>
      <c r="Z35" s="6" t="s">
        <v>147</v>
      </c>
      <c r="AA35" s="6"/>
      <c r="AB35" s="6"/>
      <c r="AC35" s="19" t="s">
        <v>273</v>
      </c>
      <c r="AD35" s="6"/>
      <c r="AE35" s="6"/>
      <c r="AF35" s="6" t="s">
        <v>77</v>
      </c>
      <c r="AG35" s="6" t="s">
        <v>444</v>
      </c>
      <c r="AH35" s="6"/>
      <c r="AI35" s="6"/>
      <c r="AJ35" s="6"/>
      <c r="AK35" s="22" t="s">
        <v>274</v>
      </c>
      <c r="AL35" s="1" t="s">
        <v>466</v>
      </c>
      <c r="AM35" s="48"/>
      <c r="AN35" s="6"/>
    </row>
    <row r="36" spans="1:40" ht="14.5" customHeight="1">
      <c r="A36" t="s">
        <v>72</v>
      </c>
      <c r="B36" t="s">
        <v>368</v>
      </c>
      <c r="C36">
        <v>0</v>
      </c>
      <c r="D36">
        <v>1</v>
      </c>
      <c r="E36">
        <f>1-0.52/2</f>
        <v>0.74</v>
      </c>
      <c r="F36">
        <v>1</v>
      </c>
      <c r="G36">
        <v>0.38869999999999999</v>
      </c>
      <c r="H36">
        <v>1</v>
      </c>
      <c r="I36">
        <f>1-$I$11/2</f>
        <v>0.89719400096758584</v>
      </c>
      <c r="J36">
        <v>1</v>
      </c>
      <c r="K36">
        <v>1</v>
      </c>
      <c r="L36">
        <f>1-L10</f>
        <v>0.72</v>
      </c>
      <c r="M36" s="16">
        <v>1</v>
      </c>
      <c r="O36" s="5">
        <v>1</v>
      </c>
      <c r="P36" s="5"/>
      <c r="R36" s="8"/>
      <c r="S36">
        <v>1</v>
      </c>
      <c r="T36">
        <v>1</v>
      </c>
      <c r="U36">
        <v>1</v>
      </c>
      <c r="V36" t="s">
        <v>31</v>
      </c>
      <c r="W36" s="7"/>
      <c r="X36" s="7"/>
      <c r="Y36" s="7" t="s">
        <v>130</v>
      </c>
      <c r="Z36" s="7" t="s">
        <v>344</v>
      </c>
      <c r="AA36" s="7"/>
      <c r="AB36" s="7"/>
      <c r="AC36" s="7"/>
      <c r="AD36" s="7"/>
      <c r="AE36" s="7"/>
      <c r="AF36" s="7" t="s">
        <v>77</v>
      </c>
      <c r="AG36" s="7"/>
      <c r="AH36" s="7" t="s">
        <v>345</v>
      </c>
      <c r="AI36" s="7"/>
      <c r="AJ36" s="7"/>
      <c r="AK36" s="7"/>
      <c r="AL36" s="7" t="s">
        <v>460</v>
      </c>
      <c r="AM36" s="48" t="s">
        <v>450</v>
      </c>
      <c r="AN36" s="7"/>
    </row>
    <row r="37" spans="1:40" ht="14.5" customHeight="1">
      <c r="A37" s="5" t="s">
        <v>32</v>
      </c>
      <c r="B37" t="s">
        <v>367</v>
      </c>
      <c r="C37" s="5">
        <v>0</v>
      </c>
      <c r="D37" s="5">
        <v>1</v>
      </c>
      <c r="E37">
        <f>1-0.52/2</f>
        <v>0.74</v>
      </c>
      <c r="F37" s="5">
        <v>1</v>
      </c>
      <c r="G37" s="5">
        <v>0.312</v>
      </c>
      <c r="H37" s="5">
        <v>1</v>
      </c>
      <c r="I37">
        <f>1-$I$11/2</f>
        <v>0.89719400096758584</v>
      </c>
      <c r="J37" s="5">
        <v>1</v>
      </c>
      <c r="K37" s="5">
        <v>1</v>
      </c>
      <c r="L37" s="5">
        <f>1-L10</f>
        <v>0.72</v>
      </c>
      <c r="M37" s="14">
        <v>1</v>
      </c>
      <c r="N37" s="5"/>
      <c r="O37" s="5">
        <v>0</v>
      </c>
      <c r="P37" s="5"/>
      <c r="Q37" s="5"/>
      <c r="R37" s="9"/>
      <c r="S37" s="5">
        <v>1</v>
      </c>
      <c r="T37" s="5">
        <v>1</v>
      </c>
      <c r="U37" s="5">
        <v>1</v>
      </c>
      <c r="V37" s="5" t="s">
        <v>31</v>
      </c>
      <c r="W37" s="6"/>
      <c r="X37" s="6"/>
      <c r="Y37" s="6" t="s">
        <v>130</v>
      </c>
      <c r="Z37" s="7" t="s">
        <v>344</v>
      </c>
      <c r="AA37" s="6"/>
      <c r="AB37" s="6"/>
      <c r="AC37" s="6"/>
      <c r="AD37" s="6"/>
      <c r="AE37" s="6"/>
      <c r="AF37" s="6" t="s">
        <v>77</v>
      </c>
      <c r="AG37" s="6"/>
      <c r="AH37" s="7" t="s">
        <v>345</v>
      </c>
      <c r="AI37" s="6"/>
      <c r="AJ37" s="6"/>
      <c r="AK37" s="6" t="s">
        <v>204</v>
      </c>
      <c r="AL37" s="7" t="s">
        <v>460</v>
      </c>
      <c r="AM37" s="48"/>
      <c r="AN37" s="6"/>
    </row>
    <row r="38" spans="1:40" ht="14.5" customHeight="1">
      <c r="A38" t="s">
        <v>73</v>
      </c>
      <c r="B38" t="s">
        <v>429</v>
      </c>
      <c r="C38">
        <v>0</v>
      </c>
      <c r="D38">
        <v>0</v>
      </c>
      <c r="E38">
        <v>0.14099999999999999</v>
      </c>
      <c r="F38">
        <v>0</v>
      </c>
      <c r="G38">
        <v>0.13800000000000001</v>
      </c>
      <c r="H38">
        <v>0.34300000000000003</v>
      </c>
      <c r="I38">
        <v>8.0999999999999996E-4</v>
      </c>
      <c r="J38">
        <v>7.7000000000000002E-3</v>
      </c>
      <c r="K38">
        <v>0</v>
      </c>
      <c r="L38">
        <v>0.55900000000000005</v>
      </c>
      <c r="M38" s="16">
        <v>1</v>
      </c>
      <c r="O38" s="45">
        <v>0.278057</v>
      </c>
      <c r="P38" s="45"/>
      <c r="Q38">
        <v>0.69099999999999995</v>
      </c>
      <c r="R38" s="8"/>
      <c r="S38">
        <v>0</v>
      </c>
      <c r="T38">
        <v>0</v>
      </c>
      <c r="U38">
        <v>8.0999999999999996E-3</v>
      </c>
      <c r="V38" t="s">
        <v>31</v>
      </c>
      <c r="W38" s="7"/>
      <c r="X38" s="7"/>
      <c r="Y38" s="7"/>
      <c r="Z38" s="7"/>
      <c r="AA38" s="7"/>
      <c r="AB38" s="7"/>
      <c r="AC38" s="7"/>
      <c r="AD38" s="7"/>
      <c r="AE38" s="7" t="s">
        <v>275</v>
      </c>
      <c r="AF38" s="7" t="s">
        <v>77</v>
      </c>
      <c r="AG38" s="7" t="s">
        <v>321</v>
      </c>
      <c r="AH38" s="7"/>
      <c r="AI38" s="7"/>
      <c r="AJ38" s="7"/>
      <c r="AK38" s="17" t="s">
        <v>277</v>
      </c>
      <c r="AL38" s="7"/>
      <c r="AM38" s="48"/>
      <c r="AN38" s="7" t="s">
        <v>278</v>
      </c>
    </row>
    <row r="39" spans="1:40" ht="14.5" customHeight="1">
      <c r="A39" s="5" t="s">
        <v>33</v>
      </c>
      <c r="B39" t="s">
        <v>369</v>
      </c>
      <c r="C39" s="5">
        <v>0</v>
      </c>
      <c r="D39" s="5">
        <v>0</v>
      </c>
      <c r="E39" s="5">
        <v>0.14099999999999999</v>
      </c>
      <c r="F39" s="5">
        <v>0</v>
      </c>
      <c r="G39" s="5">
        <v>1.2E-2</v>
      </c>
      <c r="H39" s="5">
        <v>0.34300000000000003</v>
      </c>
      <c r="I39" s="5">
        <v>8.0999999999999996E-4</v>
      </c>
      <c r="J39" s="5">
        <v>7.7000000000000002E-3</v>
      </c>
      <c r="K39" s="5">
        <v>0</v>
      </c>
      <c r="L39" s="5">
        <v>0.55900000000000005</v>
      </c>
      <c r="M39" s="14">
        <v>1</v>
      </c>
      <c r="N39" s="5"/>
      <c r="O39" s="45">
        <v>0.278057</v>
      </c>
      <c r="P39" s="45"/>
      <c r="Q39" s="5">
        <v>0.69099999999999995</v>
      </c>
      <c r="R39" s="9"/>
      <c r="S39" s="5">
        <v>0</v>
      </c>
      <c r="T39" s="5">
        <v>0</v>
      </c>
      <c r="U39" s="5">
        <v>8.0999999999999996E-3</v>
      </c>
      <c r="V39" s="5" t="s">
        <v>31</v>
      </c>
      <c r="W39" s="6"/>
      <c r="X39" s="6"/>
      <c r="Y39" s="6"/>
      <c r="Z39" s="6"/>
      <c r="AA39" s="6"/>
      <c r="AB39" s="6"/>
      <c r="AC39" s="6"/>
      <c r="AD39" s="6"/>
      <c r="AE39" s="6"/>
      <c r="AF39" s="6" t="s">
        <v>77</v>
      </c>
      <c r="AG39" s="19" t="s">
        <v>322</v>
      </c>
      <c r="AH39" s="6"/>
      <c r="AI39" s="6" t="s">
        <v>276</v>
      </c>
      <c r="AJ39" s="6"/>
      <c r="AK39" s="6"/>
      <c r="AL39" s="6"/>
      <c r="AM39" s="48"/>
      <c r="AN39" s="6"/>
    </row>
    <row r="40" spans="1:40" ht="14.5" customHeight="1">
      <c r="A40" t="s">
        <v>76</v>
      </c>
      <c r="B40" t="s">
        <v>370</v>
      </c>
      <c r="C40">
        <v>88603.1</v>
      </c>
      <c r="D40">
        <v>1869000</v>
      </c>
      <c r="E40">
        <v>4.87</v>
      </c>
      <c r="F40">
        <f>F42/(1-F32)</f>
        <v>321.92849740932644</v>
      </c>
      <c r="G40">
        <v>30158.48</v>
      </c>
      <c r="H40">
        <v>3461.4</v>
      </c>
      <c r="I40">
        <v>28.271999999999998</v>
      </c>
      <c r="J40">
        <v>17267.080000000002</v>
      </c>
      <c r="K40">
        <v>12417.745999999999</v>
      </c>
      <c r="L40">
        <f>L42/(1-L32)</f>
        <v>0.25587269095531306</v>
      </c>
      <c r="M40" s="16">
        <v>260</v>
      </c>
      <c r="O40" s="5">
        <v>439</v>
      </c>
      <c r="P40" s="5"/>
      <c r="R40" s="8"/>
      <c r="S40">
        <v>108.5</v>
      </c>
      <c r="T40">
        <v>2.8</v>
      </c>
      <c r="U40">
        <v>260997</v>
      </c>
      <c r="V40" t="s">
        <v>31</v>
      </c>
      <c r="W40" s="7"/>
      <c r="X40" s="7" t="s">
        <v>155</v>
      </c>
      <c r="Y40" s="7" t="s">
        <v>131</v>
      </c>
      <c r="Z40" s="7" t="s">
        <v>148</v>
      </c>
      <c r="AA40" s="7"/>
      <c r="AB40" s="7"/>
      <c r="AC40" s="7" t="s">
        <v>279</v>
      </c>
      <c r="AD40" s="7" t="s">
        <v>280</v>
      </c>
      <c r="AE40" s="7" t="s">
        <v>281</v>
      </c>
      <c r="AF40" s="7" t="s">
        <v>91</v>
      </c>
      <c r="AG40" s="7"/>
      <c r="AH40" s="7"/>
      <c r="AI40" s="7" t="s">
        <v>282</v>
      </c>
      <c r="AJ40" s="7"/>
      <c r="AK40" s="7" t="s">
        <v>204</v>
      </c>
      <c r="AL40" s="7"/>
      <c r="AM40" s="48"/>
      <c r="AN40" s="7"/>
    </row>
    <row r="41" spans="1:40" ht="14.5" customHeight="1">
      <c r="A41" s="5" t="s">
        <v>283</v>
      </c>
      <c r="B41" s="5" t="s">
        <v>371</v>
      </c>
      <c r="C41" s="5">
        <v>0.5</v>
      </c>
      <c r="D41" s="5">
        <v>0.5</v>
      </c>
      <c r="E41" s="5">
        <v>0.5</v>
      </c>
      <c r="F41" s="5">
        <v>0.5</v>
      </c>
      <c r="G41" s="5">
        <v>0.5</v>
      </c>
      <c r="H41" s="5">
        <v>0.5</v>
      </c>
      <c r="I41" s="5">
        <v>0.5</v>
      </c>
      <c r="J41" s="5">
        <v>0.5</v>
      </c>
      <c r="K41" s="5">
        <v>0.5</v>
      </c>
      <c r="L41" s="5">
        <v>0.5</v>
      </c>
      <c r="M41" s="5">
        <v>0.5</v>
      </c>
      <c r="N41" s="5">
        <v>0.5</v>
      </c>
      <c r="O41" s="5">
        <v>0.5</v>
      </c>
      <c r="P41" s="5"/>
      <c r="Q41" s="5">
        <v>0.5</v>
      </c>
      <c r="R41" s="5">
        <v>0.5</v>
      </c>
      <c r="S41" s="5">
        <v>0.5</v>
      </c>
      <c r="T41" s="5">
        <v>0.5</v>
      </c>
      <c r="U41" s="5">
        <v>0.23</v>
      </c>
      <c r="V41" s="5"/>
      <c r="W41" s="5"/>
      <c r="X41" s="5"/>
      <c r="Y41" s="5"/>
      <c r="Z41" s="5"/>
      <c r="AA41" s="5"/>
      <c r="AB41" s="5"/>
      <c r="AC41" s="5"/>
      <c r="AD41" s="5"/>
      <c r="AE41" s="5"/>
      <c r="AF41" s="5"/>
      <c r="AG41" s="5"/>
      <c r="AH41" s="5"/>
      <c r="AI41" s="5"/>
      <c r="AJ41" s="5"/>
      <c r="AK41" s="5" t="s">
        <v>284</v>
      </c>
      <c r="AL41" s="5"/>
      <c r="AM41" s="48"/>
      <c r="AN41" s="5"/>
    </row>
    <row r="42" spans="1:40" ht="14.5" customHeight="1">
      <c r="A42" t="s">
        <v>14</v>
      </c>
      <c r="B42" t="s">
        <v>318</v>
      </c>
      <c r="C42">
        <v>67223.3764402956</v>
      </c>
      <c r="D42">
        <v>1159359.712230216</v>
      </c>
      <c r="E42">
        <v>3.5962000000000001</v>
      </c>
      <c r="F42">
        <v>310.661</v>
      </c>
      <c r="G42">
        <v>20539</v>
      </c>
      <c r="H42">
        <v>2673.57</v>
      </c>
      <c r="I42">
        <v>23.697381126123137</v>
      </c>
      <c r="J42">
        <v>14240.812392276797</v>
      </c>
      <c r="K42">
        <v>4818.7460000000001</v>
      </c>
      <c r="L42">
        <v>0.186</v>
      </c>
      <c r="M42" s="16">
        <v>0.52</v>
      </c>
      <c r="O42" s="5">
        <v>186</v>
      </c>
      <c r="P42" s="5"/>
      <c r="R42" s="8"/>
      <c r="S42" s="15">
        <v>83.8</v>
      </c>
      <c r="T42">
        <v>1.85</v>
      </c>
      <c r="U42">
        <v>294</v>
      </c>
      <c r="V42" t="s">
        <v>34</v>
      </c>
      <c r="W42" s="7"/>
      <c r="X42" s="7"/>
      <c r="Y42" s="7" t="s">
        <v>92</v>
      </c>
      <c r="Z42" s="7" t="s">
        <v>147</v>
      </c>
      <c r="AA42" s="7" t="s">
        <v>93</v>
      </c>
      <c r="AB42" s="7"/>
      <c r="AC42" s="7" t="s">
        <v>285</v>
      </c>
      <c r="AD42" s="17" t="s">
        <v>286</v>
      </c>
      <c r="AE42" s="7" t="s">
        <v>199</v>
      </c>
      <c r="AF42" s="7"/>
      <c r="AG42" s="7"/>
      <c r="AH42" s="7"/>
      <c r="AI42" s="7"/>
      <c r="AJ42" s="7"/>
      <c r="AK42" s="7"/>
      <c r="AL42" s="7" t="s">
        <v>287</v>
      </c>
      <c r="AM42" s="6"/>
      <c r="AN42" s="7"/>
    </row>
    <row r="43" spans="1:40" ht="14.5" customHeight="1">
      <c r="A43" s="23" t="s">
        <v>15</v>
      </c>
      <c r="B43" s="23" t="s">
        <v>372</v>
      </c>
      <c r="C43" s="5">
        <f>2353/5.1</f>
        <v>461.3725490196079</v>
      </c>
      <c r="D43" s="5">
        <v>745.14</v>
      </c>
      <c r="E43" s="5">
        <v>3.5370000000000002E-3</v>
      </c>
      <c r="F43" s="5">
        <v>4.5032618547779402</v>
      </c>
      <c r="G43" s="5">
        <v>12.449078</v>
      </c>
      <c r="H43" s="5">
        <v>24.843557000000001</v>
      </c>
      <c r="I43" s="5">
        <v>8.0507999999999996E-2</v>
      </c>
      <c r="J43" s="5">
        <v>16.420480999999999</v>
      </c>
      <c r="K43" s="5">
        <v>4.8053819999999998</v>
      </c>
      <c r="L43" s="5">
        <v>5.6010000000000001E-3</v>
      </c>
      <c r="M43" s="14"/>
      <c r="N43" s="5"/>
      <c r="O43" s="5">
        <v>6.6796755950833404</v>
      </c>
      <c r="P43" s="5"/>
      <c r="Q43" s="5"/>
      <c r="R43" s="9"/>
      <c r="S43" s="5">
        <v>1</v>
      </c>
      <c r="T43" s="5"/>
      <c r="U43" s="5">
        <v>8.8008670000000002</v>
      </c>
      <c r="V43" s="5" t="s">
        <v>34</v>
      </c>
      <c r="W43" s="6"/>
      <c r="X43" s="6" t="s">
        <v>172</v>
      </c>
      <c r="Y43" s="6" t="s">
        <v>90</v>
      </c>
      <c r="Z43" s="19" t="s">
        <v>111</v>
      </c>
      <c r="AA43" s="6"/>
      <c r="AB43" s="6"/>
      <c r="AC43" s="6" t="s">
        <v>413</v>
      </c>
      <c r="AD43" s="6" t="s">
        <v>354</v>
      </c>
      <c r="AE43" s="6"/>
      <c r="AF43" s="6" t="s">
        <v>111</v>
      </c>
      <c r="AG43" s="6" t="s">
        <v>111</v>
      </c>
      <c r="AH43" s="6" t="s">
        <v>111</v>
      </c>
      <c r="AI43" s="6" t="s">
        <v>111</v>
      </c>
      <c r="AJ43" s="6" t="s">
        <v>111</v>
      </c>
      <c r="AK43" s="6" t="s">
        <v>111</v>
      </c>
      <c r="AL43" s="6" t="s">
        <v>111</v>
      </c>
      <c r="AM43" s="48" t="s">
        <v>451</v>
      </c>
      <c r="AN43" s="6"/>
    </row>
    <row r="44" spans="1:40" ht="14.5" customHeight="1">
      <c r="A44" s="24" t="s">
        <v>16</v>
      </c>
      <c r="B44" s="23" t="s">
        <v>373</v>
      </c>
      <c r="C44">
        <f>0.995^0.5</f>
        <v>0.99749686716300012</v>
      </c>
      <c r="D44">
        <f>1.75414^0.5</f>
        <v>1.3244395040922028</v>
      </c>
      <c r="E44">
        <f>1.119928^0.5</f>
        <v>1.0582665070765493</v>
      </c>
      <c r="F44" s="37">
        <v>0.74194119079264453</v>
      </c>
      <c r="G44">
        <f>4.506331^0.5</f>
        <v>2.1228120500882786</v>
      </c>
      <c r="H44">
        <f>0.730054^0.5</f>
        <v>0.85443197505711355</v>
      </c>
      <c r="I44">
        <f>1.164431^0.5</f>
        <v>1.0790880408937911</v>
      </c>
      <c r="J44">
        <f>2.619654^0.5</f>
        <v>1.6185345223380316</v>
      </c>
      <c r="K44">
        <f>2.612836^0.5</f>
        <v>1.6164269238044757</v>
      </c>
      <c r="L44">
        <f>0.603488^0.5</f>
        <v>0.77684490086503111</v>
      </c>
      <c r="M44" s="16"/>
      <c r="O44" s="5">
        <v>1.5063615691591801</v>
      </c>
      <c r="P44" s="5"/>
      <c r="R44" s="8"/>
      <c r="S44">
        <v>0.7</v>
      </c>
      <c r="U44">
        <f>0.082201^0.5</f>
        <v>0.2867071676815911</v>
      </c>
      <c r="V44" t="s">
        <v>34</v>
      </c>
      <c r="W44" s="7"/>
      <c r="X44" s="7" t="s">
        <v>161</v>
      </c>
      <c r="Y44" s="7" t="s">
        <v>89</v>
      </c>
      <c r="Z44" s="7" t="s">
        <v>111</v>
      </c>
      <c r="AA44" s="7"/>
      <c r="AB44" s="7"/>
      <c r="AC44" s="6" t="s">
        <v>413</v>
      </c>
      <c r="AD44" s="7" t="s">
        <v>350</v>
      </c>
      <c r="AE44" s="7"/>
      <c r="AF44" s="7" t="s">
        <v>111</v>
      </c>
      <c r="AG44" s="7" t="s">
        <v>111</v>
      </c>
      <c r="AH44" s="7" t="s">
        <v>111</v>
      </c>
      <c r="AI44" s="7" t="s">
        <v>111</v>
      </c>
      <c r="AJ44" s="7" t="s">
        <v>111</v>
      </c>
      <c r="AK44" s="7" t="s">
        <v>111</v>
      </c>
      <c r="AL44" s="7" t="s">
        <v>111</v>
      </c>
      <c r="AM44" s="48" t="s">
        <v>452</v>
      </c>
      <c r="AN44" s="7"/>
    </row>
    <row r="45" spans="1:40" ht="14.5" customHeight="1">
      <c r="A45" s="23" t="s">
        <v>35</v>
      </c>
      <c r="B45" s="23" t="s">
        <v>374</v>
      </c>
      <c r="C45" s="5">
        <f>39.886/1.93</f>
        <v>20.666321243523317</v>
      </c>
      <c r="D45" s="5">
        <v>63.37</v>
      </c>
      <c r="E45" s="5">
        <v>2.2100000000000001E-4</v>
      </c>
      <c r="F45" s="38">
        <v>1.0968131213886334</v>
      </c>
      <c r="G45" s="5">
        <v>0.64898900000000004</v>
      </c>
      <c r="H45" s="5">
        <v>1.2763679999999999</v>
      </c>
      <c r="I45" s="5">
        <v>1.6863E-2</v>
      </c>
      <c r="J45" s="5">
        <v>3.8657819999999998</v>
      </c>
      <c r="K45" s="5">
        <v>2.2956560000000001</v>
      </c>
      <c r="L45" s="5">
        <v>1.7799999999999999E-4</v>
      </c>
      <c r="M45" s="14"/>
      <c r="N45" s="5"/>
      <c r="O45" s="5">
        <v>0.98090753516626605</v>
      </c>
      <c r="P45" s="5"/>
      <c r="Q45" s="5"/>
      <c r="S45" s="5">
        <v>0.7</v>
      </c>
      <c r="T45" s="5"/>
      <c r="U45" s="5">
        <v>0.19573199999999999</v>
      </c>
      <c r="V45" s="5" t="s">
        <v>34</v>
      </c>
      <c r="W45" s="6"/>
      <c r="X45" s="6" t="s">
        <v>171</v>
      </c>
      <c r="Y45" s="6" t="s">
        <v>89</v>
      </c>
      <c r="Z45" s="6" t="s">
        <v>111</v>
      </c>
      <c r="AA45" s="6"/>
      <c r="AB45" s="6"/>
      <c r="AC45" s="6" t="s">
        <v>408</v>
      </c>
      <c r="AD45" s="6" t="s">
        <v>351</v>
      </c>
      <c r="AE45" s="6"/>
      <c r="AF45" s="6" t="s">
        <v>111</v>
      </c>
      <c r="AG45" s="6" t="s">
        <v>111</v>
      </c>
      <c r="AH45" s="6" t="s">
        <v>111</v>
      </c>
      <c r="AI45" s="6" t="s">
        <v>111</v>
      </c>
      <c r="AJ45" s="6" t="s">
        <v>111</v>
      </c>
      <c r="AK45" s="6" t="s">
        <v>111</v>
      </c>
      <c r="AL45" s="6" t="s">
        <v>111</v>
      </c>
      <c r="AM45" s="48" t="s">
        <v>452</v>
      </c>
      <c r="AN45" s="6"/>
    </row>
    <row r="46" spans="1:40" ht="14.5" customHeight="1">
      <c r="A46" s="24" t="s">
        <v>36</v>
      </c>
      <c r="B46" s="23" t="s">
        <v>373</v>
      </c>
      <c r="C46">
        <f>0.1332^0.5</f>
        <v>0.3649657518178932</v>
      </c>
      <c r="D46">
        <f>0.0601^0.5</f>
        <v>0.24515301344262524</v>
      </c>
      <c r="E46">
        <v>0.95105399999999995</v>
      </c>
      <c r="F46" s="37">
        <v>0.57791694994750731</v>
      </c>
      <c r="G46">
        <v>0.72167400000000004</v>
      </c>
      <c r="H46">
        <v>0.627772</v>
      </c>
      <c r="I46">
        <f>0.592826^0.5</f>
        <v>0.76995194655251054</v>
      </c>
      <c r="J46">
        <f>0.385681^0.5</f>
        <v>0.62103220528407377</v>
      </c>
      <c r="K46">
        <f>0.551519^0.5</f>
        <v>0.74264325217428584</v>
      </c>
      <c r="L46">
        <f>0.119309^0.5</f>
        <v>0.34541134897394438</v>
      </c>
      <c r="M46" s="16"/>
      <c r="O46" s="5">
        <v>0.34055052130256103</v>
      </c>
      <c r="P46" s="5"/>
      <c r="R46" s="8"/>
      <c r="S46">
        <v>0.35</v>
      </c>
      <c r="U46">
        <f>0.001142^0.5</f>
        <v>3.3793490497431605E-2</v>
      </c>
      <c r="V46" t="s">
        <v>34</v>
      </c>
      <c r="W46" s="7" t="s">
        <v>307</v>
      </c>
      <c r="X46" s="7" t="s">
        <v>306</v>
      </c>
      <c r="Y46" s="7" t="s">
        <v>89</v>
      </c>
      <c r="Z46" s="7" t="s">
        <v>111</v>
      </c>
      <c r="AA46" s="7"/>
      <c r="AB46" s="7"/>
      <c r="AC46" s="6" t="s">
        <v>408</v>
      </c>
      <c r="AD46" s="6" t="s">
        <v>352</v>
      </c>
      <c r="AE46" s="7"/>
      <c r="AF46" s="7" t="s">
        <v>111</v>
      </c>
      <c r="AG46" s="7" t="s">
        <v>111</v>
      </c>
      <c r="AH46" s="7" t="s">
        <v>111</v>
      </c>
      <c r="AI46" s="7" t="s">
        <v>111</v>
      </c>
      <c r="AJ46" s="7" t="s">
        <v>111</v>
      </c>
      <c r="AK46" s="7" t="s">
        <v>111</v>
      </c>
      <c r="AL46" s="7" t="s">
        <v>111</v>
      </c>
      <c r="AM46" s="48" t="s">
        <v>452</v>
      </c>
      <c r="AN46" s="7"/>
    </row>
    <row r="47" spans="1:40" ht="14.5" customHeight="1">
      <c r="A47" s="5" t="s">
        <v>37</v>
      </c>
      <c r="B47" s="5" t="s">
        <v>376</v>
      </c>
      <c r="C47" s="5">
        <v>1807.7719999999999</v>
      </c>
      <c r="D47" s="5">
        <v>670</v>
      </c>
      <c r="E47" s="11">
        <v>44806598</v>
      </c>
      <c r="F47" s="11">
        <v>19444</v>
      </c>
      <c r="G47" s="5">
        <v>6018.558</v>
      </c>
      <c r="H47" s="5">
        <v>14285.808000000001</v>
      </c>
      <c r="I47" s="9">
        <f>16.22*35274</f>
        <v>572144.27999999991</v>
      </c>
      <c r="J47" s="5">
        <v>2535.29</v>
      </c>
      <c r="K47" s="5">
        <v>2006.1859999999999</v>
      </c>
      <c r="L47" s="11">
        <f>863*35273.96</f>
        <v>30441427.48</v>
      </c>
      <c r="M47" s="14">
        <v>58419.6</v>
      </c>
      <c r="N47" s="25">
        <v>11120.835754394531</v>
      </c>
      <c r="O47" s="11">
        <v>11120</v>
      </c>
      <c r="P47" s="11"/>
      <c r="Q47" s="11">
        <v>35736</v>
      </c>
      <c r="R47" s="9"/>
      <c r="S47" s="5">
        <v>30800</v>
      </c>
      <c r="T47" s="5">
        <v>161000</v>
      </c>
      <c r="U47" s="11">
        <v>24647.428</v>
      </c>
      <c r="V47" s="5" t="s">
        <v>34</v>
      </c>
      <c r="W47" s="6" t="s">
        <v>125</v>
      </c>
      <c r="X47" s="6"/>
      <c r="Y47" s="6"/>
      <c r="Z47" s="6"/>
      <c r="AA47" s="6"/>
      <c r="AB47" s="6"/>
      <c r="AC47" s="19" t="s">
        <v>323</v>
      </c>
      <c r="AD47" s="6"/>
      <c r="AE47" s="19" t="s">
        <v>324</v>
      </c>
      <c r="AF47" s="6" t="s">
        <v>288</v>
      </c>
      <c r="AG47" s="6"/>
      <c r="AH47" s="35" t="s">
        <v>326</v>
      </c>
      <c r="AI47" s="6"/>
      <c r="AJ47" s="19" t="s">
        <v>289</v>
      </c>
      <c r="AK47" s="6"/>
      <c r="AL47" s="1" t="s">
        <v>461</v>
      </c>
      <c r="AM47" s="48" t="s">
        <v>452</v>
      </c>
      <c r="AN47" s="6" t="s">
        <v>290</v>
      </c>
    </row>
    <row r="48" spans="1:40" ht="14.5" customHeight="1">
      <c r="A48" t="s">
        <v>124</v>
      </c>
      <c r="B48" t="s">
        <v>375</v>
      </c>
      <c r="C48">
        <v>706</v>
      </c>
      <c r="D48">
        <v>25</v>
      </c>
      <c r="E48" s="10">
        <f>E47-1000*35274</f>
        <v>9532598</v>
      </c>
      <c r="F48">
        <v>4661</v>
      </c>
      <c r="G48">
        <v>211</v>
      </c>
      <c r="H48">
        <v>1394</v>
      </c>
      <c r="I48" s="10">
        <f>I47-14.86*35274</f>
        <v>47972.639999999956</v>
      </c>
      <c r="J48">
        <f>J47-0.88*2204.6</f>
        <v>595.24199999999996</v>
      </c>
      <c r="K48">
        <f>K47-0.77*2204.6</f>
        <v>308.64400000000001</v>
      </c>
      <c r="L48" s="10">
        <f>L47-696.31*35274</f>
        <v>5879788.5400000028</v>
      </c>
      <c r="M48" s="16"/>
      <c r="O48" s="11">
        <v>200</v>
      </c>
      <c r="P48" s="11"/>
      <c r="R48" s="8"/>
      <c r="S48">
        <v>15.968999999999999</v>
      </c>
      <c r="T48">
        <v>-27033</v>
      </c>
      <c r="U48">
        <v>23820</v>
      </c>
      <c r="X48" t="s">
        <v>164</v>
      </c>
      <c r="Y48" t="s">
        <v>166</v>
      </c>
      <c r="Z48" t="s">
        <v>165</v>
      </c>
      <c r="AA48" t="s">
        <v>126</v>
      </c>
      <c r="AC48" s="1" t="s">
        <v>291</v>
      </c>
      <c r="AD48" t="s">
        <v>292</v>
      </c>
      <c r="AE48" s="1" t="s">
        <v>325</v>
      </c>
      <c r="AF48" t="s">
        <v>293</v>
      </c>
      <c r="AG48" t="s">
        <v>294</v>
      </c>
      <c r="AH48" t="s">
        <v>327</v>
      </c>
      <c r="AI48" t="s">
        <v>169</v>
      </c>
      <c r="AJ48" t="s">
        <v>168</v>
      </c>
      <c r="AK48" t="s">
        <v>126</v>
      </c>
      <c r="AL48" t="s">
        <v>167</v>
      </c>
      <c r="AM48" s="14"/>
      <c r="AN48" s="7"/>
    </row>
    <row r="49" spans="1:40" ht="14.5" customHeight="1">
      <c r="A49" s="23" t="s">
        <v>38</v>
      </c>
      <c r="B49" s="23" t="s">
        <v>379</v>
      </c>
      <c r="C49" s="5">
        <v>0</v>
      </c>
      <c r="D49" s="5">
        <v>3.5595105672969966E-2</v>
      </c>
      <c r="E49" s="5">
        <v>0.41146924083769632</v>
      </c>
      <c r="F49" s="5">
        <v>0.43914889552565523</v>
      </c>
      <c r="G49" s="5">
        <v>0.33660000000000001</v>
      </c>
      <c r="H49" s="5">
        <v>0.29027355623100304</v>
      </c>
      <c r="I49" s="5">
        <v>0.56660119287056465</v>
      </c>
      <c r="J49" s="5">
        <v>0.60416666666666663</v>
      </c>
      <c r="K49" s="5">
        <v>0.68702522029778179</v>
      </c>
      <c r="L49" s="5">
        <v>0.54192825112107623</v>
      </c>
      <c r="M49" s="14"/>
      <c r="N49" s="5">
        <v>0.22445561139028475</v>
      </c>
      <c r="O49" s="45">
        <v>0.22445599999999999</v>
      </c>
      <c r="P49" s="45"/>
      <c r="Q49" s="5">
        <v>0.23853211009174313</v>
      </c>
      <c r="R49" s="9"/>
      <c r="S49" s="5"/>
      <c r="T49" s="5"/>
      <c r="U49" s="5">
        <v>0.26022304832713755</v>
      </c>
      <c r="V49" s="5" t="s">
        <v>34</v>
      </c>
      <c r="W49" s="5"/>
      <c r="X49" s="5" t="s">
        <v>163</v>
      </c>
      <c r="Y49" s="6" t="s">
        <v>88</v>
      </c>
      <c r="Z49" s="6" t="s">
        <v>88</v>
      </c>
      <c r="AA49" s="6"/>
      <c r="AB49" s="6"/>
      <c r="AC49" s="6" t="s">
        <v>295</v>
      </c>
      <c r="AD49" s="6" t="s">
        <v>353</v>
      </c>
      <c r="AE49" s="6"/>
      <c r="AF49" s="6" t="s">
        <v>123</v>
      </c>
      <c r="AG49" s="6" t="s">
        <v>123</v>
      </c>
      <c r="AH49" s="6" t="s">
        <v>123</v>
      </c>
      <c r="AI49" s="6" t="s">
        <v>123</v>
      </c>
      <c r="AJ49" s="6" t="s">
        <v>123</v>
      </c>
      <c r="AK49" s="6" t="s">
        <v>123</v>
      </c>
      <c r="AL49" s="6" t="s">
        <v>123</v>
      </c>
      <c r="AM49" s="16" t="s">
        <v>122</v>
      </c>
      <c r="AN49" s="6"/>
    </row>
    <row r="50" spans="1:40" ht="14.5" customHeight="1">
      <c r="A50" s="24" t="s">
        <v>39</v>
      </c>
      <c r="B50" s="23" t="s">
        <v>380</v>
      </c>
      <c r="C50">
        <v>1</v>
      </c>
      <c r="D50">
        <v>0.46329254727474972</v>
      </c>
      <c r="E50">
        <v>0.49825752617801045</v>
      </c>
      <c r="F50">
        <v>0.51673572270432799</v>
      </c>
      <c r="G50">
        <v>0.61550000000000005</v>
      </c>
      <c r="H50">
        <v>0.68844984802431608</v>
      </c>
      <c r="I50">
        <v>0.37476819923156995</v>
      </c>
      <c r="J50">
        <v>0.35165550595238093</v>
      </c>
      <c r="K50">
        <v>0.2707383773928897</v>
      </c>
      <c r="L50">
        <v>0.33004484304932735</v>
      </c>
      <c r="M50" s="21"/>
      <c r="N50">
        <v>0.45561139028475711</v>
      </c>
      <c r="O50" s="45">
        <v>0.45561099999999999</v>
      </c>
      <c r="P50" s="45"/>
      <c r="Q50">
        <v>0.67889908256880738</v>
      </c>
      <c r="R50" s="8"/>
      <c r="U50">
        <v>0.64312267657992561</v>
      </c>
      <c r="V50" t="s">
        <v>34</v>
      </c>
      <c r="X50" t="s">
        <v>163</v>
      </c>
      <c r="Y50" s="7" t="s">
        <v>88</v>
      </c>
      <c r="Z50" s="7" t="s">
        <v>88</v>
      </c>
      <c r="AA50" s="7"/>
      <c r="AB50" s="7"/>
      <c r="AC50" s="7" t="s">
        <v>296</v>
      </c>
      <c r="AD50" s="6"/>
      <c r="AE50" s="7"/>
      <c r="AF50" s="7" t="s">
        <v>123</v>
      </c>
      <c r="AG50" s="7" t="s">
        <v>123</v>
      </c>
      <c r="AH50" s="7" t="s">
        <v>123</v>
      </c>
      <c r="AI50" s="7" t="s">
        <v>123</v>
      </c>
      <c r="AJ50" s="7" t="s">
        <v>123</v>
      </c>
      <c r="AK50" s="7" t="s">
        <v>123</v>
      </c>
      <c r="AL50" s="7" t="s">
        <v>123</v>
      </c>
      <c r="AM50" s="14" t="s">
        <v>453</v>
      </c>
      <c r="AN50" s="7"/>
    </row>
    <row r="51" spans="1:40" ht="14.5" customHeight="1">
      <c r="A51" s="23" t="s">
        <v>40</v>
      </c>
      <c r="B51" s="23" t="s">
        <v>381</v>
      </c>
      <c r="C51" s="5">
        <v>0</v>
      </c>
      <c r="D51" s="5">
        <v>1.1123470522803114E-3</v>
      </c>
      <c r="E51" s="5">
        <v>2.6333442408376963E-2</v>
      </c>
      <c r="F51" s="5">
        <v>0</v>
      </c>
      <c r="G51" s="5">
        <v>2.8199999999999999E-2</v>
      </c>
      <c r="H51" s="5">
        <v>2.1276595744680851E-2</v>
      </c>
      <c r="I51" s="5">
        <v>3.2714861804723751E-2</v>
      </c>
      <c r="J51" s="5">
        <v>2.7994791666666668E-2</v>
      </c>
      <c r="K51" s="5">
        <v>2.3701002734731084E-2</v>
      </c>
      <c r="L51" s="5">
        <v>0.12645739910313902</v>
      </c>
      <c r="M51" s="20"/>
      <c r="N51" s="5">
        <v>8.3752093802345051E-3</v>
      </c>
      <c r="O51" s="45">
        <v>8.3750000000000005E-3</v>
      </c>
      <c r="P51" s="45"/>
      <c r="Q51" s="5">
        <v>4.5871559633027525E-2</v>
      </c>
      <c r="R51" s="9"/>
      <c r="S51" s="5"/>
      <c r="T51" s="5"/>
      <c r="U51" s="5">
        <v>9.6654275092936809E-2</v>
      </c>
      <c r="V51" s="5" t="s">
        <v>34</v>
      </c>
      <c r="W51" s="5"/>
      <c r="X51" s="5" t="s">
        <v>163</v>
      </c>
      <c r="Y51" s="6" t="s">
        <v>88</v>
      </c>
      <c r="Z51" s="6" t="s">
        <v>88</v>
      </c>
      <c r="AA51" s="6"/>
      <c r="AB51" s="6"/>
      <c r="AC51" s="6"/>
      <c r="AD51" s="6"/>
      <c r="AE51" s="6"/>
      <c r="AF51" s="6" t="s">
        <v>123</v>
      </c>
      <c r="AG51" s="6" t="s">
        <v>123</v>
      </c>
      <c r="AH51" s="6" t="s">
        <v>123</v>
      </c>
      <c r="AI51" s="6" t="s">
        <v>123</v>
      </c>
      <c r="AJ51" s="6" t="s">
        <v>123</v>
      </c>
      <c r="AK51" s="6" t="s">
        <v>123</v>
      </c>
      <c r="AL51" s="6" t="s">
        <v>123</v>
      </c>
      <c r="AM51" s="21" t="s">
        <v>122</v>
      </c>
      <c r="AN51" s="6"/>
    </row>
    <row r="52" spans="1:40" ht="14.5" customHeight="1">
      <c r="A52" s="24" t="s">
        <v>41</v>
      </c>
      <c r="B52" s="23" t="s">
        <v>377</v>
      </c>
      <c r="C52">
        <v>0</v>
      </c>
      <c r="D52">
        <v>0.5</v>
      </c>
      <c r="E52">
        <v>6.1420157068062829E-2</v>
      </c>
      <c r="F52" s="4">
        <v>4.4115380000000003E-2</v>
      </c>
      <c r="G52">
        <v>1.9699999999999999E-2</v>
      </c>
      <c r="H52">
        <v>0</v>
      </c>
      <c r="I52">
        <v>2.5156055840595024E-2</v>
      </c>
      <c r="J52">
        <v>1.6183035714285716E-2</v>
      </c>
      <c r="K52">
        <v>1.8535399574597388E-2</v>
      </c>
      <c r="L52">
        <v>1.569506726457399E-3</v>
      </c>
      <c r="M52" s="21"/>
      <c r="N52">
        <v>3.350083752093802E-2</v>
      </c>
      <c r="O52" s="45">
        <v>3.3501000000000003E-2</v>
      </c>
      <c r="P52" s="45"/>
      <c r="Q52">
        <v>3.669724770642202E-2</v>
      </c>
      <c r="U52">
        <v>0</v>
      </c>
      <c r="V52" t="s">
        <v>34</v>
      </c>
      <c r="X52" t="s">
        <v>163</v>
      </c>
      <c r="Y52" s="7" t="s">
        <v>88</v>
      </c>
      <c r="Z52" s="7" t="s">
        <v>88</v>
      </c>
      <c r="AA52" s="7"/>
      <c r="AB52" s="7"/>
      <c r="AC52" s="7"/>
      <c r="AD52" s="6"/>
      <c r="AE52" s="7"/>
      <c r="AF52" s="7" t="s">
        <v>123</v>
      </c>
      <c r="AG52" s="7" t="s">
        <v>123</v>
      </c>
      <c r="AH52" s="7" t="s">
        <v>123</v>
      </c>
      <c r="AI52" s="7" t="s">
        <v>123</v>
      </c>
      <c r="AJ52" s="7" t="s">
        <v>123</v>
      </c>
      <c r="AK52" s="7" t="s">
        <v>123</v>
      </c>
      <c r="AL52" s="7" t="s">
        <v>123</v>
      </c>
      <c r="AM52" s="20" t="s">
        <v>122</v>
      </c>
      <c r="AN52" s="7"/>
    </row>
    <row r="53" spans="1:40" ht="14.5" customHeight="1">
      <c r="A53" s="23" t="s">
        <v>42</v>
      </c>
      <c r="B53" s="23" t="s">
        <v>378</v>
      </c>
      <c r="C53" s="5">
        <v>0</v>
      </c>
      <c r="D53" s="5">
        <v>0</v>
      </c>
      <c r="E53" s="5">
        <v>2.5196335078534033E-3</v>
      </c>
      <c r="F53" s="5">
        <v>0</v>
      </c>
      <c r="G53" s="5">
        <v>0</v>
      </c>
      <c r="H53" s="5">
        <v>0</v>
      </c>
      <c r="I53" s="5">
        <v>7.5969025254658709E-4</v>
      </c>
      <c r="J53" s="5">
        <v>0</v>
      </c>
      <c r="K53" s="5">
        <v>0</v>
      </c>
      <c r="L53" s="5">
        <v>0</v>
      </c>
      <c r="M53" s="20"/>
      <c r="N53" s="5">
        <v>0.27805695142378561</v>
      </c>
      <c r="O53" s="45">
        <v>0.278057</v>
      </c>
      <c r="P53" s="45"/>
      <c r="Q53" s="5">
        <v>0</v>
      </c>
      <c r="R53" s="5"/>
      <c r="S53" s="5"/>
      <c r="T53" s="5"/>
      <c r="U53" s="5">
        <v>0</v>
      </c>
      <c r="V53" s="5" t="s">
        <v>34</v>
      </c>
      <c r="W53" s="5"/>
      <c r="X53" s="5" t="s">
        <v>163</v>
      </c>
      <c r="Y53" s="6" t="s">
        <v>88</v>
      </c>
      <c r="Z53" s="6" t="s">
        <v>88</v>
      </c>
      <c r="AA53" s="6"/>
      <c r="AB53" s="6"/>
      <c r="AC53" s="6"/>
      <c r="AD53" s="6"/>
      <c r="AE53" s="6"/>
      <c r="AF53" s="6" t="s">
        <v>123</v>
      </c>
      <c r="AG53" s="6" t="s">
        <v>123</v>
      </c>
      <c r="AH53" s="6" t="s">
        <v>123</v>
      </c>
      <c r="AI53" s="6" t="s">
        <v>123</v>
      </c>
      <c r="AJ53" s="6" t="s">
        <v>123</v>
      </c>
      <c r="AK53" s="6" t="s">
        <v>123</v>
      </c>
      <c r="AL53" s="6" t="s">
        <v>123</v>
      </c>
      <c r="AM53" s="21" t="s">
        <v>122</v>
      </c>
      <c r="AN53" s="6"/>
    </row>
    <row r="54" spans="1:40" ht="14.5" customHeight="1">
      <c r="A54" s="26" t="s">
        <v>43</v>
      </c>
      <c r="B54" s="26"/>
      <c r="C54" s="12"/>
      <c r="D54" s="12"/>
      <c r="E54" s="12"/>
      <c r="F54" s="12"/>
      <c r="G54" s="12"/>
      <c r="H54" s="12"/>
      <c r="I54" s="12"/>
      <c r="J54" s="12"/>
      <c r="K54" s="12"/>
      <c r="L54" s="12"/>
      <c r="M54" s="27"/>
      <c r="N54" s="12"/>
      <c r="O54" s="12"/>
      <c r="P54" s="12"/>
      <c r="Q54" s="12"/>
      <c r="R54" s="12"/>
      <c r="S54" s="12"/>
      <c r="T54" s="12"/>
      <c r="U54" s="12"/>
      <c r="V54" s="12" t="s">
        <v>34</v>
      </c>
      <c r="W54" s="12"/>
      <c r="X54" s="12"/>
      <c r="Y54" s="13"/>
      <c r="Z54" s="13"/>
      <c r="AA54" s="13"/>
      <c r="AB54" s="13"/>
      <c r="AC54" s="13"/>
      <c r="AD54" s="13"/>
      <c r="AE54" s="13"/>
      <c r="AF54" s="13"/>
      <c r="AG54" s="13"/>
      <c r="AH54" s="13"/>
      <c r="AI54" s="13"/>
      <c r="AJ54" s="13"/>
      <c r="AK54" s="13"/>
      <c r="AL54" s="13"/>
      <c r="AM54" s="13"/>
      <c r="AN54" s="7"/>
    </row>
    <row r="55" spans="1:40" ht="14.5" customHeight="1">
      <c r="A55" s="5" t="s">
        <v>44</v>
      </c>
      <c r="B55" s="5"/>
      <c r="C55" s="5"/>
      <c r="D55" s="5"/>
      <c r="E55" s="5"/>
      <c r="F55" s="5"/>
      <c r="G55" s="5"/>
      <c r="H55" s="5"/>
      <c r="I55" s="5"/>
      <c r="J55" s="5"/>
      <c r="K55" s="5"/>
      <c r="L55" s="5"/>
      <c r="M55" s="20"/>
      <c r="N55" s="5"/>
      <c r="O55" s="5"/>
      <c r="P55" s="5"/>
      <c r="Q55" s="5"/>
      <c r="R55" s="5"/>
      <c r="S55" s="5"/>
      <c r="T55" s="5"/>
      <c r="U55" s="5"/>
      <c r="V55" s="5" t="s">
        <v>34</v>
      </c>
      <c r="W55" s="6"/>
      <c r="X55" s="6"/>
      <c r="Y55" s="6"/>
      <c r="Z55" s="6"/>
      <c r="AA55" s="6"/>
      <c r="AB55" s="6"/>
      <c r="AC55" s="6"/>
      <c r="AD55" s="6"/>
      <c r="AE55" s="6"/>
      <c r="AF55" s="6"/>
      <c r="AG55" s="6"/>
      <c r="AH55" s="6"/>
      <c r="AI55" s="6"/>
      <c r="AJ55" s="6"/>
      <c r="AK55" s="6"/>
      <c r="AL55" s="6"/>
      <c r="AM55" s="6"/>
      <c r="AN55" s="6"/>
    </row>
    <row r="56" spans="1:40" ht="14.5" customHeight="1">
      <c r="A56" t="s">
        <v>45</v>
      </c>
      <c r="M56" s="21"/>
      <c r="V56" t="s">
        <v>34</v>
      </c>
      <c r="W56" s="7"/>
      <c r="X56" s="7"/>
      <c r="Y56" s="7"/>
      <c r="Z56" s="7"/>
      <c r="AA56" s="7"/>
      <c r="AB56" s="7"/>
      <c r="AC56" s="7"/>
      <c r="AD56" s="7"/>
      <c r="AE56" s="7"/>
      <c r="AF56" s="7"/>
      <c r="AG56" s="7"/>
      <c r="AH56" s="7"/>
      <c r="AI56" s="7"/>
      <c r="AJ56" s="7"/>
      <c r="AK56" s="7"/>
      <c r="AL56" s="7"/>
      <c r="AM56" s="7"/>
      <c r="AN56" s="7"/>
    </row>
    <row r="57" spans="1:40" ht="14.5" customHeight="1">
      <c r="A57" s="5" t="s">
        <v>46</v>
      </c>
      <c r="B57" s="5"/>
      <c r="C57" s="5"/>
      <c r="D57" s="5"/>
      <c r="E57" s="5"/>
      <c r="F57" s="5"/>
      <c r="G57" s="5"/>
      <c r="H57" s="5"/>
      <c r="I57" s="5"/>
      <c r="J57" s="5"/>
      <c r="K57" s="5"/>
      <c r="L57" s="5"/>
      <c r="M57" s="20"/>
      <c r="N57" s="5"/>
      <c r="O57" s="5"/>
      <c r="P57" s="5"/>
      <c r="Q57" s="5"/>
      <c r="R57" s="5"/>
      <c r="S57" s="5"/>
      <c r="T57" s="5"/>
      <c r="U57" s="5"/>
      <c r="V57" s="5" t="s">
        <v>34</v>
      </c>
      <c r="W57" s="6"/>
      <c r="X57" s="6"/>
      <c r="Y57" s="6"/>
      <c r="Z57" s="6"/>
      <c r="AA57" s="6"/>
      <c r="AB57" s="6"/>
      <c r="AC57" s="6"/>
      <c r="AD57" s="6"/>
      <c r="AE57" s="6"/>
      <c r="AF57" s="6"/>
      <c r="AG57" s="6"/>
      <c r="AH57" s="6"/>
      <c r="AI57" s="6"/>
      <c r="AJ57" s="6"/>
      <c r="AK57" s="6"/>
      <c r="AL57" s="6"/>
      <c r="AM57" s="6"/>
      <c r="AN57" s="6"/>
    </row>
    <row r="58" spans="1:40" ht="14.5" customHeight="1">
      <c r="A58" t="s">
        <v>47</v>
      </c>
      <c r="M58" s="21"/>
      <c r="V58" t="s">
        <v>34</v>
      </c>
      <c r="W58" s="7"/>
      <c r="X58" s="7"/>
      <c r="Y58" s="7"/>
      <c r="Z58" s="7"/>
      <c r="AA58" s="7"/>
      <c r="AB58" s="7"/>
      <c r="AC58" s="7"/>
      <c r="AD58" s="7"/>
      <c r="AE58" s="7"/>
      <c r="AF58" s="7"/>
      <c r="AG58" s="7"/>
      <c r="AH58" s="7"/>
      <c r="AI58" s="7"/>
      <c r="AJ58" s="7"/>
      <c r="AK58" s="7"/>
      <c r="AL58" s="7"/>
      <c r="AM58" s="7"/>
      <c r="AN58" s="7"/>
    </row>
    <row r="59" spans="1:40" ht="14.5" customHeight="1">
      <c r="A59" s="5" t="s">
        <v>48</v>
      </c>
      <c r="B59" s="5"/>
      <c r="C59" s="5"/>
      <c r="D59" s="5"/>
      <c r="E59" s="5"/>
      <c r="F59" s="5"/>
      <c r="G59" s="5"/>
      <c r="H59" s="5"/>
      <c r="I59" s="5"/>
      <c r="J59" s="5"/>
      <c r="K59" s="5"/>
      <c r="L59" s="5"/>
      <c r="M59" s="20"/>
      <c r="N59" s="5"/>
      <c r="O59" s="5"/>
      <c r="P59" s="5"/>
      <c r="Q59" s="5"/>
      <c r="R59" s="5"/>
      <c r="S59" s="5"/>
      <c r="T59" s="5"/>
      <c r="U59" s="5"/>
      <c r="V59" s="5" t="s">
        <v>34</v>
      </c>
      <c r="W59" s="6"/>
      <c r="X59" s="6"/>
      <c r="Y59" s="6"/>
      <c r="Z59" s="6"/>
      <c r="AA59" s="6"/>
      <c r="AB59" s="6"/>
      <c r="AC59" s="6"/>
      <c r="AD59" s="6"/>
      <c r="AE59" s="6"/>
      <c r="AF59" s="6"/>
      <c r="AG59" s="6"/>
      <c r="AH59" s="6"/>
      <c r="AI59" s="6"/>
      <c r="AJ59" s="6"/>
      <c r="AK59" s="6"/>
      <c r="AL59" s="6"/>
      <c r="AM59" s="6"/>
      <c r="AN59" s="6"/>
    </row>
    <row r="60" spans="1:40" ht="14.5" customHeight="1">
      <c r="A60" t="s">
        <v>49</v>
      </c>
      <c r="M60" s="21"/>
      <c r="V60" t="s">
        <v>34</v>
      </c>
      <c r="W60" s="7"/>
      <c r="X60" s="7"/>
      <c r="Y60" s="7"/>
      <c r="Z60" s="7"/>
      <c r="AA60" s="7"/>
      <c r="AB60" s="7"/>
      <c r="AC60" s="7"/>
      <c r="AD60" s="7"/>
      <c r="AE60" s="7"/>
      <c r="AF60" s="7"/>
      <c r="AG60" s="7"/>
      <c r="AH60" s="7"/>
      <c r="AI60" s="7"/>
      <c r="AJ60" s="7"/>
      <c r="AK60" s="7"/>
      <c r="AL60" s="7"/>
      <c r="AM60" s="7"/>
      <c r="AN60" s="7"/>
    </row>
    <row r="61" spans="1:40" ht="14.5" customHeight="1">
      <c r="A61" s="5" t="s">
        <v>50</v>
      </c>
      <c r="B61" s="5"/>
      <c r="C61" s="5"/>
      <c r="D61" s="5"/>
      <c r="E61" s="5"/>
      <c r="F61" s="5"/>
      <c r="G61" s="5"/>
      <c r="H61" s="5"/>
      <c r="I61" s="5"/>
      <c r="J61" s="5"/>
      <c r="K61" s="5"/>
      <c r="L61" s="5"/>
      <c r="M61" s="20"/>
      <c r="N61" s="5"/>
      <c r="O61" s="5"/>
      <c r="P61" s="5"/>
      <c r="Q61" s="5"/>
      <c r="R61" s="5"/>
      <c r="S61" s="5"/>
      <c r="T61" s="5"/>
      <c r="U61" s="5"/>
      <c r="V61" s="5" t="s">
        <v>34</v>
      </c>
      <c r="W61" s="6"/>
      <c r="X61" s="6"/>
      <c r="Y61" s="6"/>
      <c r="Z61" s="6"/>
      <c r="AA61" s="6"/>
      <c r="AB61" s="6"/>
      <c r="AC61" s="6"/>
      <c r="AD61" s="6"/>
      <c r="AE61" s="6"/>
      <c r="AF61" s="6"/>
      <c r="AG61" s="6"/>
      <c r="AH61" s="6"/>
      <c r="AI61" s="6"/>
      <c r="AJ61" s="6"/>
      <c r="AK61" s="6"/>
      <c r="AL61" s="6"/>
      <c r="AM61" s="6"/>
      <c r="AN61" s="6"/>
    </row>
    <row r="62" spans="1:40" ht="14.5" customHeight="1">
      <c r="A62" t="s">
        <v>51</v>
      </c>
      <c r="M62" s="21"/>
      <c r="V62" t="s">
        <v>34</v>
      </c>
      <c r="W62" s="7"/>
      <c r="X62" s="7"/>
      <c r="Y62" s="7"/>
      <c r="Z62" s="7"/>
      <c r="AA62" s="7"/>
      <c r="AB62" s="7"/>
      <c r="AC62" s="7"/>
      <c r="AD62" s="7"/>
      <c r="AE62" s="7"/>
      <c r="AF62" s="7"/>
      <c r="AG62" s="7"/>
      <c r="AH62" s="7"/>
      <c r="AI62" s="7"/>
      <c r="AJ62" s="7"/>
      <c r="AK62" s="7"/>
      <c r="AL62" s="7"/>
      <c r="AM62" s="7"/>
      <c r="AN62" s="7"/>
    </row>
    <row r="63" spans="1:40" ht="14.5" customHeight="1">
      <c r="A63" s="5" t="s">
        <v>52</v>
      </c>
      <c r="B63" s="5"/>
      <c r="C63" s="5"/>
      <c r="D63" s="5"/>
      <c r="E63" s="5"/>
      <c r="F63" s="5"/>
      <c r="G63" s="5"/>
      <c r="H63" s="5"/>
      <c r="I63" s="5"/>
      <c r="J63" s="5"/>
      <c r="K63" s="5"/>
      <c r="L63" s="5"/>
      <c r="M63" s="20"/>
      <c r="N63" s="5"/>
      <c r="O63" s="5"/>
      <c r="P63" s="5"/>
      <c r="Q63" s="5"/>
      <c r="R63" s="5"/>
      <c r="S63" s="5"/>
      <c r="T63" s="5"/>
      <c r="U63" s="5"/>
      <c r="V63" s="5" t="s">
        <v>34</v>
      </c>
      <c r="W63" s="6"/>
      <c r="X63" s="6"/>
      <c r="Y63" s="6"/>
      <c r="Z63" s="6"/>
      <c r="AA63" s="6"/>
      <c r="AB63" s="6"/>
      <c r="AC63" s="6"/>
      <c r="AD63" s="6"/>
      <c r="AE63" s="6"/>
      <c r="AF63" s="6"/>
      <c r="AG63" s="6"/>
      <c r="AH63" s="6"/>
      <c r="AI63" s="6"/>
      <c r="AJ63" s="6"/>
      <c r="AK63" s="6"/>
      <c r="AL63" s="6"/>
      <c r="AM63" s="6"/>
      <c r="AN63" s="6"/>
    </row>
    <row r="64" spans="1:40" ht="14.5" customHeight="1">
      <c r="A64" t="s">
        <v>53</v>
      </c>
      <c r="M64" s="21"/>
      <c r="V64" t="s">
        <v>34</v>
      </c>
      <c r="W64" s="7"/>
      <c r="X64" s="7"/>
      <c r="Y64" s="7"/>
      <c r="Z64" s="7"/>
      <c r="AA64" s="7"/>
      <c r="AB64" s="7"/>
      <c r="AC64" s="7"/>
      <c r="AD64" s="7"/>
      <c r="AE64" s="7"/>
      <c r="AF64" s="7"/>
      <c r="AG64" s="7"/>
      <c r="AH64" s="7"/>
      <c r="AI64" s="7"/>
      <c r="AJ64" s="7"/>
      <c r="AK64" s="7"/>
      <c r="AL64" s="7"/>
      <c r="AM64" s="7"/>
      <c r="AN64" s="7"/>
    </row>
    <row r="65" spans="1:40" ht="14.5" customHeight="1">
      <c r="A65" s="5" t="s">
        <v>54</v>
      </c>
      <c r="B65" s="5"/>
      <c r="C65" s="5"/>
      <c r="D65" s="5"/>
      <c r="E65" s="5"/>
      <c r="F65" s="5"/>
      <c r="G65" s="5"/>
      <c r="H65" s="5"/>
      <c r="I65" s="5"/>
      <c r="J65" s="5"/>
      <c r="K65" s="5"/>
      <c r="L65" s="5"/>
      <c r="M65" s="20"/>
      <c r="N65" s="5"/>
      <c r="O65" s="5"/>
      <c r="P65" s="5"/>
      <c r="Q65" s="5"/>
      <c r="R65" s="5"/>
      <c r="S65" s="5"/>
      <c r="T65" s="5"/>
      <c r="U65" s="5"/>
      <c r="V65" s="5" t="s">
        <v>34</v>
      </c>
      <c r="W65" s="6"/>
      <c r="X65" s="6"/>
      <c r="Y65" s="6"/>
      <c r="Z65" s="6"/>
      <c r="AA65" s="6"/>
      <c r="AB65" s="6"/>
      <c r="AC65" s="6"/>
      <c r="AD65" s="6"/>
      <c r="AE65" s="6"/>
      <c r="AF65" s="6"/>
      <c r="AG65" s="6"/>
      <c r="AH65" s="6"/>
      <c r="AI65" s="6"/>
      <c r="AJ65" s="6"/>
      <c r="AK65" s="6"/>
      <c r="AL65" s="6"/>
      <c r="AM65" s="6"/>
      <c r="AN65" s="6"/>
    </row>
    <row r="66" spans="1:40" ht="14.5" customHeight="1">
      <c r="A66" t="s">
        <v>55</v>
      </c>
      <c r="M66" s="21"/>
      <c r="V66" t="s">
        <v>34</v>
      </c>
      <c r="W66" s="7"/>
      <c r="X66" s="7"/>
      <c r="Y66" s="7"/>
      <c r="Z66" s="7"/>
      <c r="AA66" s="7"/>
      <c r="AB66" s="7"/>
      <c r="AC66" s="7"/>
      <c r="AD66" s="7"/>
      <c r="AE66" s="7"/>
      <c r="AF66" s="7"/>
      <c r="AG66" s="7"/>
      <c r="AH66" s="7"/>
      <c r="AI66" s="7"/>
      <c r="AJ66" s="7"/>
      <c r="AK66" s="7"/>
      <c r="AL66" s="7"/>
      <c r="AM66" s="7"/>
      <c r="AN66" s="7"/>
    </row>
    <row r="67" spans="1:40" ht="14.5" customHeight="1">
      <c r="A67" s="5" t="s">
        <v>56</v>
      </c>
      <c r="B67" s="5"/>
      <c r="C67" s="5"/>
      <c r="D67" s="5"/>
      <c r="E67" s="5"/>
      <c r="F67" s="5"/>
      <c r="G67" s="5"/>
      <c r="H67" s="5"/>
      <c r="I67" s="5"/>
      <c r="J67" s="5"/>
      <c r="K67" s="5"/>
      <c r="L67" s="5"/>
      <c r="M67" s="20"/>
      <c r="N67" s="5"/>
      <c r="O67" s="5"/>
      <c r="P67" s="5"/>
      <c r="Q67" s="5"/>
      <c r="R67" s="5"/>
      <c r="S67" s="5"/>
      <c r="T67" s="5"/>
      <c r="U67" s="5"/>
      <c r="V67" s="5" t="s">
        <v>34</v>
      </c>
      <c r="W67" s="6"/>
      <c r="X67" s="6"/>
      <c r="Y67" s="6"/>
      <c r="Z67" s="6"/>
      <c r="AA67" s="6"/>
      <c r="AB67" s="6"/>
      <c r="AC67" s="6"/>
      <c r="AD67" s="6"/>
      <c r="AE67" s="6"/>
      <c r="AF67" s="6"/>
      <c r="AG67" s="6"/>
      <c r="AH67" s="6"/>
      <c r="AI67" s="6"/>
      <c r="AJ67" s="6"/>
      <c r="AK67" s="6"/>
      <c r="AL67" s="6"/>
      <c r="AM67" s="6"/>
      <c r="AN67" s="6"/>
    </row>
    <row r="68" spans="1:40" ht="14.5" customHeight="1">
      <c r="A68" t="s">
        <v>57</v>
      </c>
      <c r="M68" s="21"/>
      <c r="V68" t="s">
        <v>34</v>
      </c>
      <c r="W68" s="7"/>
      <c r="X68" s="7"/>
      <c r="Y68" s="7"/>
      <c r="Z68" s="7"/>
      <c r="AA68" s="7"/>
      <c r="AB68" s="7"/>
      <c r="AC68" s="7"/>
      <c r="AD68" s="7"/>
      <c r="AE68" s="7"/>
      <c r="AF68" s="7"/>
      <c r="AG68" s="7"/>
      <c r="AH68" s="7"/>
      <c r="AI68" s="7"/>
      <c r="AJ68" s="7"/>
      <c r="AK68" s="7"/>
      <c r="AL68" s="7"/>
      <c r="AM68" s="7"/>
      <c r="AN68" s="7"/>
    </row>
    <row r="69" spans="1:40">
      <c r="A69" s="5" t="s">
        <v>58</v>
      </c>
      <c r="B69" s="5"/>
      <c r="C69" s="5"/>
      <c r="D69" s="5"/>
      <c r="E69" s="5"/>
      <c r="F69" s="5"/>
      <c r="G69" s="5"/>
      <c r="H69" s="5"/>
      <c r="I69" s="5"/>
      <c r="J69" s="5"/>
      <c r="K69" s="5"/>
      <c r="L69" s="5"/>
      <c r="M69" s="20"/>
      <c r="N69" s="5"/>
      <c r="O69" s="5"/>
      <c r="P69" s="5"/>
      <c r="Q69" s="5"/>
      <c r="R69" s="5"/>
      <c r="S69" s="5"/>
      <c r="T69" s="5"/>
      <c r="U69" s="5"/>
      <c r="V69" s="5" t="s">
        <v>34</v>
      </c>
      <c r="W69" s="6"/>
      <c r="X69" s="6"/>
      <c r="Y69" s="6"/>
      <c r="Z69" s="6"/>
      <c r="AA69" s="6"/>
      <c r="AB69" s="6"/>
      <c r="AC69" s="6"/>
      <c r="AD69" s="6"/>
      <c r="AE69" s="6"/>
      <c r="AF69" s="6"/>
      <c r="AG69" s="6"/>
      <c r="AH69" s="6"/>
      <c r="AI69" s="6"/>
      <c r="AJ69" s="6"/>
      <c r="AK69" s="6"/>
      <c r="AL69" s="6"/>
      <c r="AM69" s="6"/>
      <c r="AN69" s="6"/>
    </row>
    <row r="70" spans="1:40">
      <c r="A70" t="s">
        <v>59</v>
      </c>
      <c r="M70" s="21"/>
      <c r="V70" t="s">
        <v>34</v>
      </c>
      <c r="W70" s="7"/>
      <c r="X70" s="7"/>
      <c r="Y70" s="7"/>
      <c r="Z70" s="7"/>
      <c r="AA70" s="7"/>
      <c r="AB70" s="7"/>
      <c r="AC70" s="7"/>
      <c r="AD70" s="7"/>
      <c r="AE70" s="7"/>
      <c r="AF70" s="7"/>
      <c r="AG70" s="7"/>
      <c r="AH70" s="7"/>
      <c r="AI70" s="7"/>
      <c r="AJ70" s="7"/>
      <c r="AK70" s="7"/>
      <c r="AL70" s="7"/>
      <c r="AM70" s="7"/>
      <c r="AN70" s="7"/>
    </row>
    <row r="71" spans="1:40">
      <c r="A71" s="5" t="s">
        <v>60</v>
      </c>
      <c r="B71" s="5"/>
      <c r="C71" s="5"/>
      <c r="D71" s="5"/>
      <c r="E71" s="5"/>
      <c r="F71" s="5"/>
      <c r="G71" s="5"/>
      <c r="H71" s="5"/>
      <c r="I71" s="5"/>
      <c r="J71" s="5"/>
      <c r="K71" s="5"/>
      <c r="L71" s="5"/>
      <c r="M71" s="20"/>
      <c r="N71" s="5"/>
      <c r="O71" s="5"/>
      <c r="P71" s="5"/>
      <c r="Q71" s="5"/>
      <c r="R71" s="5"/>
      <c r="S71" s="5"/>
      <c r="T71" s="5"/>
      <c r="U71" s="5"/>
      <c r="V71" s="5" t="s">
        <v>34</v>
      </c>
      <c r="W71" s="6"/>
      <c r="X71" s="6"/>
      <c r="Y71" s="6"/>
      <c r="Z71" s="6"/>
      <c r="AA71" s="6"/>
      <c r="AB71" s="6"/>
      <c r="AC71" s="6"/>
      <c r="AD71" s="6"/>
      <c r="AE71" s="6"/>
      <c r="AF71" s="6"/>
      <c r="AG71" s="6"/>
      <c r="AH71" s="6"/>
      <c r="AI71" s="6"/>
      <c r="AJ71" s="6"/>
      <c r="AK71" s="6"/>
      <c r="AL71" s="6"/>
      <c r="AM71" s="6"/>
      <c r="AN71" s="6"/>
    </row>
    <row r="72" spans="1:40">
      <c r="A72" t="s">
        <v>61</v>
      </c>
      <c r="M72" s="21"/>
      <c r="V72" t="s">
        <v>34</v>
      </c>
      <c r="W72" s="7"/>
      <c r="X72" s="7"/>
      <c r="Y72" s="7"/>
      <c r="Z72" s="7"/>
      <c r="AA72" s="7"/>
      <c r="AB72" s="7"/>
      <c r="AC72" s="7"/>
      <c r="AD72" s="7"/>
      <c r="AE72" s="7"/>
      <c r="AF72" s="7"/>
      <c r="AG72" s="7"/>
      <c r="AH72" s="7"/>
      <c r="AI72" s="7"/>
      <c r="AJ72" s="7"/>
      <c r="AK72" s="7"/>
      <c r="AL72" s="7"/>
      <c r="AM72" s="7"/>
      <c r="AN72" s="7"/>
    </row>
    <row r="73" spans="1:40">
      <c r="A73" s="5" t="s">
        <v>62</v>
      </c>
      <c r="B73" s="5"/>
      <c r="C73" s="5"/>
      <c r="D73" s="5"/>
      <c r="E73" s="5"/>
      <c r="F73" s="5"/>
      <c r="G73" s="5"/>
      <c r="H73" s="5"/>
      <c r="I73" s="5"/>
      <c r="J73" s="5"/>
      <c r="K73" s="5"/>
      <c r="L73" s="5"/>
      <c r="M73" s="20"/>
      <c r="N73" s="5"/>
      <c r="O73" s="5"/>
      <c r="P73" s="5"/>
      <c r="Q73" s="5"/>
      <c r="R73" s="5"/>
      <c r="S73" s="5"/>
      <c r="T73" s="5"/>
      <c r="U73" s="5"/>
      <c r="V73" s="5" t="s">
        <v>34</v>
      </c>
      <c r="W73" s="6"/>
      <c r="X73" s="6"/>
      <c r="Y73" s="6"/>
      <c r="Z73" s="6"/>
      <c r="AA73" s="6"/>
      <c r="AB73" s="6"/>
      <c r="AC73" s="6"/>
      <c r="AD73" s="6"/>
      <c r="AE73" s="6"/>
      <c r="AF73" s="6"/>
      <c r="AG73" s="6"/>
      <c r="AH73" s="6"/>
      <c r="AI73" s="6"/>
      <c r="AJ73" s="6"/>
      <c r="AK73" s="6"/>
      <c r="AL73" s="6"/>
      <c r="AM73" s="6"/>
      <c r="AN73" s="6"/>
    </row>
    <row r="74" spans="1:40">
      <c r="A74" t="s">
        <v>63</v>
      </c>
      <c r="M74" s="21"/>
      <c r="V74" t="s">
        <v>34</v>
      </c>
      <c r="W74" s="7"/>
      <c r="X74" s="7"/>
      <c r="Y74" s="7"/>
      <c r="Z74" s="7"/>
      <c r="AA74" s="7"/>
      <c r="AB74" s="7"/>
      <c r="AC74" s="7"/>
      <c r="AD74" s="7"/>
      <c r="AE74" s="7"/>
      <c r="AF74" s="7"/>
      <c r="AG74" s="7"/>
      <c r="AH74" s="7"/>
      <c r="AI74" s="7"/>
      <c r="AJ74" s="7"/>
      <c r="AK74" s="7"/>
      <c r="AL74" s="7"/>
      <c r="AM74" s="7"/>
      <c r="AN74" s="7"/>
    </row>
    <row r="75" spans="1:40">
      <c r="A75" s="5" t="s">
        <v>64</v>
      </c>
      <c r="B75" s="5"/>
      <c r="C75" s="5"/>
      <c r="D75" s="5"/>
      <c r="E75" s="5"/>
      <c r="F75" s="5"/>
      <c r="G75" s="5"/>
      <c r="H75" s="5"/>
      <c r="I75" s="5"/>
      <c r="J75" s="5"/>
      <c r="K75" s="5"/>
      <c r="L75" s="5"/>
      <c r="M75" s="20"/>
      <c r="N75" s="5"/>
      <c r="O75" s="5"/>
      <c r="P75" s="5"/>
      <c r="Q75" s="5"/>
      <c r="R75" s="5"/>
      <c r="S75" s="5"/>
      <c r="T75" s="5"/>
      <c r="U75" s="5"/>
      <c r="V75" s="5" t="s">
        <v>34</v>
      </c>
      <c r="W75" s="6"/>
      <c r="X75" s="6"/>
      <c r="Y75" s="6"/>
      <c r="Z75" s="6"/>
      <c r="AA75" s="6"/>
      <c r="AB75" s="6"/>
      <c r="AC75" s="6"/>
      <c r="AD75" s="6"/>
      <c r="AE75" s="6"/>
      <c r="AF75" s="6"/>
      <c r="AG75" s="6"/>
      <c r="AH75" s="6"/>
      <c r="AI75" s="6"/>
      <c r="AJ75" s="6"/>
      <c r="AK75" s="6"/>
      <c r="AL75" s="6"/>
      <c r="AM75" s="6"/>
      <c r="AN75" s="6"/>
    </row>
    <row r="76" spans="1:40">
      <c r="A76" t="s">
        <v>65</v>
      </c>
      <c r="M76" s="21"/>
      <c r="V76" t="s">
        <v>34</v>
      </c>
      <c r="W76" s="7"/>
      <c r="X76" s="7"/>
      <c r="Y76" s="7"/>
      <c r="Z76" s="7"/>
      <c r="AA76" s="7"/>
      <c r="AB76" s="7"/>
      <c r="AC76" s="7"/>
      <c r="AD76" s="7"/>
      <c r="AE76" s="7"/>
      <c r="AF76" s="7"/>
      <c r="AG76" s="7"/>
      <c r="AH76" s="7"/>
      <c r="AI76" s="7"/>
      <c r="AJ76" s="7"/>
      <c r="AK76" s="7"/>
      <c r="AL76" s="7"/>
      <c r="AM76" s="7"/>
      <c r="AN76" s="7"/>
    </row>
    <row r="77" spans="1:40">
      <c r="A77" s="5" t="s">
        <v>66</v>
      </c>
      <c r="B77" s="5"/>
      <c r="C77" s="5"/>
      <c r="D77" s="5"/>
      <c r="E77" s="5"/>
      <c r="F77" s="5"/>
      <c r="G77" s="5"/>
      <c r="H77" s="5"/>
      <c r="I77" s="5"/>
      <c r="J77" s="5"/>
      <c r="K77" s="5"/>
      <c r="L77" s="5"/>
      <c r="M77" s="20"/>
      <c r="N77" s="5"/>
      <c r="O77" s="5"/>
      <c r="P77" s="5"/>
      <c r="Q77" s="5"/>
      <c r="R77" s="5"/>
      <c r="S77" s="5"/>
      <c r="T77" s="5"/>
      <c r="U77" s="5"/>
      <c r="V77" s="5" t="s">
        <v>34</v>
      </c>
      <c r="W77" s="6"/>
      <c r="X77" s="6"/>
      <c r="Y77" s="6"/>
      <c r="Z77" s="6"/>
      <c r="AA77" s="6"/>
      <c r="AB77" s="6"/>
      <c r="AC77" s="6"/>
      <c r="AD77" s="6"/>
      <c r="AE77" s="6"/>
      <c r="AF77" s="6"/>
      <c r="AG77" s="6"/>
      <c r="AH77" s="6"/>
      <c r="AI77" s="6"/>
      <c r="AJ77" s="6"/>
      <c r="AK77" s="6"/>
      <c r="AL77" s="6"/>
      <c r="AM77" s="6"/>
      <c r="AN77" s="6"/>
    </row>
    <row r="78" spans="1:40">
      <c r="A78" t="s">
        <v>67</v>
      </c>
      <c r="M78" s="21"/>
      <c r="V78" t="s">
        <v>34</v>
      </c>
      <c r="W78" s="7"/>
      <c r="X78" s="7"/>
      <c r="Y78" s="7"/>
      <c r="Z78" s="7"/>
      <c r="AA78" s="7"/>
      <c r="AB78" s="7"/>
      <c r="AC78" s="7"/>
      <c r="AD78" s="7"/>
      <c r="AE78" s="7"/>
      <c r="AF78" s="7"/>
      <c r="AG78" s="7"/>
      <c r="AH78" s="7"/>
      <c r="AI78" s="7"/>
      <c r="AJ78" s="7"/>
      <c r="AK78" s="7"/>
      <c r="AL78" s="7"/>
      <c r="AM78" s="7"/>
      <c r="AN78" s="7"/>
    </row>
    <row r="79" spans="1:40">
      <c r="A79" s="5" t="s">
        <v>68</v>
      </c>
      <c r="B79" s="5"/>
      <c r="C79" s="5"/>
      <c r="D79" s="5"/>
      <c r="E79" s="5"/>
      <c r="F79" s="5"/>
      <c r="G79" s="5"/>
      <c r="H79" s="5"/>
      <c r="I79" s="5"/>
      <c r="J79" s="5"/>
      <c r="K79" s="5"/>
      <c r="L79" s="5"/>
      <c r="M79" s="20"/>
      <c r="N79" s="5"/>
      <c r="O79" s="5"/>
      <c r="P79" s="5"/>
      <c r="Q79" s="5"/>
      <c r="R79" s="5"/>
      <c r="S79" s="5"/>
      <c r="T79" s="5"/>
      <c r="U79" s="5"/>
      <c r="V79" s="5" t="s">
        <v>34</v>
      </c>
      <c r="W79" s="6"/>
      <c r="X79" s="6"/>
      <c r="Y79" s="6"/>
      <c r="Z79" s="6"/>
      <c r="AA79" s="6"/>
      <c r="AB79" s="6"/>
      <c r="AC79" s="6"/>
      <c r="AD79" s="6"/>
      <c r="AE79" s="6"/>
      <c r="AF79" s="6"/>
      <c r="AG79" s="6"/>
      <c r="AH79" s="6"/>
      <c r="AI79" s="6"/>
      <c r="AJ79" s="6"/>
      <c r="AK79" s="6"/>
      <c r="AL79" s="6"/>
      <c r="AM79" s="6"/>
      <c r="AN79" s="6"/>
    </row>
  </sheetData>
  <phoneticPr fontId="12" type="noConversion"/>
  <hyperlinks>
    <hyperlink ref="AD42" r:id="rId1" xr:uid="{6C67CDAA-2665-4775-9282-51BF337D6400}"/>
    <hyperlink ref="AC18" r:id="rId2" xr:uid="{DA6EF610-1C91-4FFC-B33E-FCB1533D420F}"/>
    <hyperlink ref="AE18" r:id="rId3" location=":~:text=Whilst%20MLCCs%20are%20susceptible%20to,of%202%20years%20or%20less." xr:uid="{FABCDFF4-E4CA-458B-BCEE-0CAD21F7BF23}"/>
    <hyperlink ref="AC3" r:id="rId4" xr:uid="{058CD847-D57F-4B41-8903-40B77D35105D}"/>
    <hyperlink ref="AC32" r:id="rId5" display="https://www.sciencedirect.com/science/article/pii/S0263436821000780" xr:uid="{895943B2-F3C7-4D0B-B90F-3A30C24BE91A}"/>
    <hyperlink ref="AC35" r:id="rId6" xr:uid="{FFFDAB7D-1256-45F7-AFB1-D22344886650}"/>
    <hyperlink ref="AC47" r:id="rId7" display="https://www.statista.com/statistics/1009446/tungsten-price/" xr:uid="{97F82DFC-6810-4593-8955-863ACBB3DF37}"/>
    <hyperlink ref="AD5" r:id="rId8" display="https://pubs.usgs.gov/periodicals/mcs2020/mcs2020-tin.pdf" xr:uid="{A3F1EB02-E5A1-49A7-8496-FD8516064D80}"/>
    <hyperlink ref="AE3" r:id="rId9" xr:uid="{ED5EB351-2DB6-48D4-A8B2-6EB12F62BC77}"/>
    <hyperlink ref="AE48" r:id="rId10" xr:uid="{846992AD-3ACB-4557-A7FA-7B00720CF198}"/>
    <hyperlink ref="AE47" r:id="rId11" display="https://www.argusmedia.com/en/news/2222244-eu-tantalum-prices-rebound-on-higher-input-costs" xr:uid="{B03EDC8A-A85B-4AE1-81A1-8460229585D4}"/>
    <hyperlink ref="AE32" r:id="rId12" xr:uid="{F9134EB4-AF7C-4CC4-BB1D-F4A8A307BE54}"/>
    <hyperlink ref="AE33" r:id="rId13" xr:uid="{E0E0ACF1-2E42-4611-9CCF-374D8A3492D0}"/>
    <hyperlink ref="AC48" r:id="rId14" xr:uid="{9E254A45-F310-4AC5-BD1A-6656B4CE3760}"/>
    <hyperlink ref="AJ47" r:id="rId15" xr:uid="{6B03944F-71E5-41D8-B06A-84DE89DA203B}"/>
    <hyperlink ref="AK38" r:id="rId16" xr:uid="{908B8CEB-0A15-4A26-8D30-F41FB42DECF8}"/>
    <hyperlink ref="AL19" r:id="rId17" display="https://www.mdpi.com/2079-9276/10/9/93/pdf" xr:uid="{6918E342-8074-47B2-B087-613D5AC7C8D0}"/>
    <hyperlink ref="AG39" r:id="rId18" display="https://www.copper.org/publications/newsletters/innovations/2001/08/hydrometallurgy.html" xr:uid="{BF4C9410-63BA-47BC-A63D-15337BE7BC5D}"/>
    <hyperlink ref="AH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20" xr:uid="{0F67CDD1-7035-DC44-9CA6-CA547F4A120E}"/>
    <hyperlink ref="AH7" r:id="rId21" xr:uid="{798E403D-86FA-8F4E-A18B-F39FDE87D1E1}"/>
    <hyperlink ref="AI7" r:id="rId22" xr:uid="{0E247788-8755-934D-922D-DF24A7747C35}"/>
    <hyperlink ref="AG7" r:id="rId23" display="https://www.sciencedirect.com/science/article/pii/S0921344917301817" xr:uid="{00987C5A-86EF-7449-830B-14136FA25644}"/>
    <hyperlink ref="AD7" r:id="rId24" display="https://www.sciencedirect.com/science/article/pii/S0048969718312373" xr:uid="{2FC36872-A372-8149-979C-5C1EB12DAB3C}"/>
    <hyperlink ref="AD8" r:id="rId25" display="https://www.sciencedirect.com/science/article/pii/S0048969718312373" xr:uid="{6485F26B-C8ED-7D47-AA92-D1F7CF8E46F1}"/>
    <hyperlink ref="AD9" r:id="rId26" display="https://www.sciencedirect.com/science/article/pii/S0048969718312373" xr:uid="{D2CF26CA-B025-4C41-899C-2215D4981909}"/>
    <hyperlink ref="AD10" r:id="rId27" display="https://www.sciencedirect.com/science/article/pii/S0048969718312373" xr:uid="{1F472A81-9D59-9340-B578-AD40B57FC5DB}"/>
    <hyperlink ref="AD11" r:id="rId28" display="https://www.sciencedirect.com/science/article/pii/S0048969718312373" xr:uid="{6A858768-DF1D-7A42-9B84-D34C269B492D}"/>
    <hyperlink ref="AJ7" r:id="rId29" xr:uid="{BDB1FBCE-8E5B-E446-9521-78DC3859DF64}"/>
    <hyperlink ref="AJ31" r:id="rId30" display="https://www.recyclingtoday.com/article/battery-council-international-lead-battery-recycling/" xr:uid="{EEE1D733-973D-194D-89E1-ED66138A0CA6}"/>
    <hyperlink ref="AI27" r:id="rId31" xr:uid="{1EBCFBC8-5E0B-3343-B5E4-413BE8F9F076}"/>
    <hyperlink ref="AG17" r:id="rId32" xr:uid="{5BF8B3C9-6734-4540-AB66-56985B2BD4D4}"/>
    <hyperlink ref="AG18" r:id="rId33" xr:uid="{3F6D9065-8733-8048-969F-D3F9B2D846FF}"/>
    <hyperlink ref="AG19" r:id="rId34" xr:uid="{DDC6013A-65C0-C747-8B90-58FABD091EA8}"/>
    <hyperlink ref="AG20" r:id="rId35" xr:uid="{34C61E79-65B5-784B-91E7-D6EFA72E1C16}"/>
    <hyperlink ref="AG21" r:id="rId36" xr:uid="{28856D38-242E-DF4D-A9C7-34619BAC263B}"/>
    <hyperlink ref="AG27" r:id="rId37" xr:uid="{DD334BF5-7CCC-854C-87DB-FD9A495C64E3}"/>
    <hyperlink ref="AG28" r:id="rId38" xr:uid="{960BA8A2-4FFC-D049-A2D2-78ED92322EB5}"/>
    <hyperlink ref="AG29" r:id="rId39" xr:uid="{9776F84E-607F-4340-99D2-0CF5831412A8}"/>
    <hyperlink ref="AG30" r:id="rId40" xr:uid="{E9CAE11E-46BE-D941-AC51-89FBCFAD8F10}"/>
    <hyperlink ref="AG31" r:id="rId41" xr:uid="{08C1E42C-92E1-A54A-9894-BB1716DCEAAE}"/>
    <hyperlink ref="AD27" r:id="rId42" xr:uid="{AB2B8C02-763D-B846-8D3A-C52B9C52ECE4}"/>
    <hyperlink ref="AD28" r:id="rId43" xr:uid="{D83C3CF7-5DCF-3B40-A3CE-426314CA2F28}"/>
    <hyperlink ref="AD29" r:id="rId44" xr:uid="{3658CDFA-B475-A248-8C69-D9B9ABC6614B}"/>
    <hyperlink ref="AD30" r:id="rId45" xr:uid="{8080BCC5-66E2-2349-97CE-9A809D50840E}"/>
    <hyperlink ref="AD31" r:id="rId46" xr:uid="{BBF2DF10-2671-734D-88B6-394D9C60D4A5}"/>
    <hyperlink ref="AI31" r:id="rId47" xr:uid="{F7723C52-BBC3-F24E-AAE4-A9B42CB8045B}"/>
    <hyperlink ref="Z43" r:id="rId48" xr:uid="{324D83B3-AFAE-2543-8E69-C10D887EE7AB}"/>
    <hyperlink ref="AI28" r:id="rId49" xr:uid="{DEC718A9-543E-DA46-97C4-748B0830EED9}"/>
    <hyperlink ref="AI29" r:id="rId50" xr:uid="{841D0090-CE2C-6B4D-8911-C602FC5CA170}"/>
    <hyperlink ref="AI30" r:id="rId51" xr:uid="{EF554BD6-D3AF-2A4B-AB8C-E9433478750A}"/>
    <hyperlink ref="AC23" r:id="rId52" xr:uid="{1F1F9692-265E-EB4A-B340-ADBAE27BB8BE}"/>
    <hyperlink ref="AE23" r:id="rId53" location=":~:text=Whilst%20MLCCs%20are%20susceptible%20to,of%202%20years%20or%20less." xr:uid="{DCBE729B-549B-F249-B4AC-F25B7CAD0B59}"/>
    <hyperlink ref="AL24" r:id="rId54" display="https://www.mdpi.com/2079-9276/10/9/93/pdf" xr:uid="{DE88708D-DBD3-F64C-8229-C156C477DEB1}"/>
    <hyperlink ref="AG22" r:id="rId55" xr:uid="{7E80EC07-8259-D146-8140-8E3DD3B9F6EF}"/>
    <hyperlink ref="AG23" r:id="rId56" xr:uid="{64C4618D-3ED1-094B-B542-0F6DE53871E6}"/>
    <hyperlink ref="AG24" r:id="rId57" xr:uid="{F14A5AEF-9B21-A349-BE04-71F2A55E8274}"/>
    <hyperlink ref="AG25" r:id="rId58" xr:uid="{3D01083B-008E-784D-A8F6-F38011D21DA1}"/>
    <hyperlink ref="AG26" r:id="rId59" xr:uid="{A3B1D1D1-23AC-C74C-B4EC-56A9A594783F}"/>
    <hyperlink ref="AG32" r:id="rId60" display="https://insg.org/wp-content/uploads/2022/02/publist_The-World-Nickel-Factbook-2021.pdf" xr:uid="{7CA7D73C-4B66-8A4E-B88E-797839CD039A}"/>
    <hyperlink ref="AG33" r:id="rId61" display="https://insg.org/wp-content/uploads/2022/02/publist_The-World-Nickel-Factbook-2021.pdf" xr:uid="{8F7902EA-8E88-214B-9383-15F7FF36E6D3}"/>
    <hyperlink ref="AL7" r:id="rId62" xr:uid="{14C6FE71-7E5F-1E4A-A8DC-860088D35D41}"/>
    <hyperlink ref="AL3" r:id="rId63" xr:uid="{A9F76A16-9DB7-C94A-AAE7-15EC57776DC7}"/>
    <hyperlink ref="AL47" r:id="rId64" display="https://ar2019.nornickel.com/pdf/ar/en/commodity-market-overview_platinum.pdf" xr:uid="{7D7A3D60-65BD-444B-9115-C440E32F388F}"/>
    <hyperlink ref="AL32" r:id="rId65" display="https://ar2019.nornickel.com/pdf/ar/en/commodity-market-overview_platinum.pdf" xr:uid="{8C924774-6FC1-E54B-B4C2-A2310983AD39}"/>
    <hyperlink ref="AL33" r:id="rId66" display="https://ar2019.nornickel.com/pdf/ar/en/commodity-market-overview_platinum.pdf" xr:uid="{16889A4C-9FB0-A04C-AAE4-0DE219C6309F}"/>
    <hyperlink ref="AL6" r:id="rId67" location=":~:text=China%20is%20the%20second%20largest,per%20cent%20of%20global%20demand" xr:uid="{4AFFD3CC-8143-A946-B2CA-F37FE48027FD}"/>
    <hyperlink ref="AL35" r:id="rId68" display="https://platinuminvestment.com/supply-and-demand/historic-data" xr:uid="{E7CA6D90-4A04-2948-B955-421E080B4C64}"/>
  </hyperlinks>
  <pageMargins left="0.7" right="0.7" top="0.75" bottom="0.75" header="0.3" footer="0.3"/>
  <pageSetup orientation="portrait" r:id="rId69"/>
  <tableParts count="1">
    <tablePart r:id="rId7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D31" sqref="D31:E31"/>
    </sheetView>
  </sheetViews>
  <sheetFormatPr baseColWidth="10" defaultColWidth="8.83203125" defaultRowHeight="15"/>
  <cols>
    <col min="3" max="3" width="10.1640625" bestFit="1" customWidth="1"/>
    <col min="4" max="4" width="10.5" customWidth="1"/>
    <col min="26" max="26" width="9.1640625" bestFit="1" customWidth="1"/>
  </cols>
  <sheetData>
    <row r="1" spans="1:6">
      <c r="B1" t="s">
        <v>176</v>
      </c>
      <c r="C1" t="s">
        <v>180</v>
      </c>
      <c r="D1" t="s">
        <v>181</v>
      </c>
      <c r="E1" t="s">
        <v>187</v>
      </c>
      <c r="F1" t="s">
        <v>431</v>
      </c>
    </row>
    <row r="2" spans="1:6">
      <c r="A2" t="s">
        <v>173</v>
      </c>
      <c r="B2" t="s">
        <v>313</v>
      </c>
      <c r="D2" t="s">
        <v>432</v>
      </c>
      <c r="E2" t="s">
        <v>314</v>
      </c>
      <c r="F2" s="1" t="s">
        <v>348</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D22" sqref="D22"/>
    </sheetView>
  </sheetViews>
  <sheetFormatPr baseColWidth="10" defaultColWidth="8.83203125" defaultRowHeight="15"/>
  <sheetData>
    <row r="1" spans="1:9">
      <c r="B1" t="s">
        <v>176</v>
      </c>
      <c r="C1" t="s">
        <v>180</v>
      </c>
      <c r="D1" t="s">
        <v>181</v>
      </c>
      <c r="E1" t="s">
        <v>187</v>
      </c>
      <c r="F1" t="s">
        <v>176</v>
      </c>
      <c r="G1" t="s">
        <v>424</v>
      </c>
      <c r="H1" t="s">
        <v>423</v>
      </c>
      <c r="I1" t="s">
        <v>425</v>
      </c>
    </row>
    <row r="2" spans="1:9">
      <c r="A2" t="s">
        <v>173</v>
      </c>
      <c r="B2" t="s">
        <v>315</v>
      </c>
      <c r="D2" t="s">
        <v>426</v>
      </c>
      <c r="E2" t="s">
        <v>427</v>
      </c>
      <c r="F2" t="s">
        <v>428</v>
      </c>
      <c r="G2" t="s">
        <v>427</v>
      </c>
      <c r="H2" t="s">
        <v>427</v>
      </c>
      <c r="I2" t="s">
        <v>427</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176</v>
      </c>
      <c r="C1" t="s">
        <v>180</v>
      </c>
      <c r="D1" t="s">
        <v>181</v>
      </c>
      <c r="E1" t="s">
        <v>187</v>
      </c>
    </row>
    <row r="2" spans="1:10">
      <c r="A2" t="s">
        <v>173</v>
      </c>
      <c r="B2" t="s">
        <v>316</v>
      </c>
      <c r="D2" s="1" t="s">
        <v>348</v>
      </c>
      <c r="E2" t="s">
        <v>319</v>
      </c>
      <c r="H2" t="s">
        <v>318</v>
      </c>
      <c r="I2" t="s">
        <v>182</v>
      </c>
      <c r="J2" t="s">
        <v>317</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6">
      <c r="A17">
        <v>2004</v>
      </c>
      <c r="B17">
        <v>7141</v>
      </c>
      <c r="D17">
        <v>3194.8409999999999</v>
      </c>
      <c r="E17" s="34">
        <v>3746</v>
      </c>
    </row>
    <row r="18" spans="1:6">
      <c r="A18">
        <v>2005</v>
      </c>
      <c r="B18">
        <v>7652</v>
      </c>
      <c r="D18">
        <v>3497.0140000000001</v>
      </c>
      <c r="E18" s="34">
        <v>4316.50818139284</v>
      </c>
    </row>
    <row r="19" spans="1:6">
      <c r="A19">
        <v>2006</v>
      </c>
      <c r="B19" s="34">
        <v>8042.6223021582719</v>
      </c>
      <c r="D19">
        <v>3582.8589999999999</v>
      </c>
      <c r="E19" s="34">
        <v>4854.7482013480203</v>
      </c>
    </row>
    <row r="20" spans="1:6">
      <c r="A20">
        <v>2007</v>
      </c>
      <c r="B20" s="34">
        <v>8243.8446043165368</v>
      </c>
      <c r="D20">
        <v>3715.991</v>
      </c>
      <c r="E20" s="34">
        <v>5198.2613767341099</v>
      </c>
    </row>
    <row r="21" spans="1:6">
      <c r="A21">
        <v>2008</v>
      </c>
      <c r="B21" s="34">
        <v>9064.5039568345273</v>
      </c>
      <c r="D21">
        <v>3819.384</v>
      </c>
      <c r="E21" s="34">
        <v>5444.4611366192803</v>
      </c>
    </row>
    <row r="22" spans="1:6">
      <c r="A22">
        <v>2009</v>
      </c>
      <c r="B22" s="34">
        <v>9174.295683453227</v>
      </c>
      <c r="D22">
        <v>3888.8389999999999</v>
      </c>
      <c r="E22" s="34">
        <v>5812.6119620613499</v>
      </c>
    </row>
    <row r="23" spans="1:6">
      <c r="A23">
        <v>2010</v>
      </c>
      <c r="B23" s="34">
        <v>9810.2935251798444</v>
      </c>
      <c r="D23">
        <v>4360.0259999999998</v>
      </c>
      <c r="E23" s="34">
        <v>6083.0428684506496</v>
      </c>
    </row>
    <row r="24" spans="1:6">
      <c r="A24">
        <v>2011</v>
      </c>
      <c r="B24" s="34">
        <v>10504.199999999899</v>
      </c>
      <c r="D24">
        <v>4771.4889999999996</v>
      </c>
      <c r="E24" s="34">
        <v>5963.3187353952198</v>
      </c>
    </row>
    <row r="25" spans="1:6">
      <c r="A25">
        <v>2012</v>
      </c>
      <c r="B25" s="34">
        <v>10623.157194244588</v>
      </c>
      <c r="D25">
        <v>5113.1279999999997</v>
      </c>
      <c r="E25" s="34">
        <v>6209.4124508755604</v>
      </c>
    </row>
    <row r="26" spans="1:6">
      <c r="A26">
        <v>2013</v>
      </c>
      <c r="B26" s="34">
        <v>11329.666187050343</v>
      </c>
      <c r="D26">
        <v>5309.9859999999999</v>
      </c>
      <c r="E26" s="34">
        <v>6357.9806620453201</v>
      </c>
    </row>
    <row r="27" spans="1:6">
      <c r="A27">
        <v>2014</v>
      </c>
      <c r="B27" s="34">
        <v>11171.206834532331</v>
      </c>
      <c r="D27">
        <v>5320.74</v>
      </c>
      <c r="E27" s="34">
        <v>6335.9057517727697</v>
      </c>
    </row>
    <row r="28" spans="1:6">
      <c r="A28">
        <v>2015</v>
      </c>
      <c r="B28" s="34">
        <v>11190.713669064722</v>
      </c>
      <c r="D28">
        <v>5038.9870000000001</v>
      </c>
      <c r="E28" s="34">
        <v>6581.9287709832197</v>
      </c>
    </row>
    <row r="29" spans="1:6">
      <c r="A29">
        <v>2016</v>
      </c>
      <c r="B29" s="34">
        <v>11261.582374100692</v>
      </c>
      <c r="D29">
        <v>4858.1750000000002</v>
      </c>
      <c r="E29" s="34">
        <v>7169.52081815783</v>
      </c>
    </row>
    <row r="30" spans="1:6">
      <c r="A30">
        <v>2017</v>
      </c>
      <c r="B30">
        <v>12104</v>
      </c>
      <c r="D30">
        <v>4482.6620000000003</v>
      </c>
      <c r="E30" s="34">
        <v>7269.2732549698803</v>
      </c>
    </row>
    <row r="31" spans="1:6">
      <c r="A31">
        <v>2018</v>
      </c>
      <c r="B31">
        <v>12290</v>
      </c>
      <c r="D31">
        <v>4471.6390000000001</v>
      </c>
      <c r="E31" s="34">
        <v>7674</v>
      </c>
    </row>
    <row r="32" spans="1:6">
      <c r="A32">
        <v>2019</v>
      </c>
      <c r="B32">
        <v>12244</v>
      </c>
      <c r="D32">
        <v>4818.7460000000001</v>
      </c>
      <c r="E32" s="34">
        <v>7599</v>
      </c>
      <c r="F32">
        <f>SUM(D32:E32)</f>
        <v>12417.745999999999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181</v>
      </c>
      <c r="E1" t="s">
        <v>187</v>
      </c>
    </row>
    <row r="2" spans="1:5">
      <c r="A2" t="s">
        <v>173</v>
      </c>
      <c r="B2" s="1"/>
      <c r="D2" s="1" t="s">
        <v>348</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baseColWidth="10" defaultColWidth="8.83203125" defaultRowHeight="15"/>
  <sheetData>
    <row r="1" spans="1:6">
      <c r="B1" t="s">
        <v>176</v>
      </c>
      <c r="C1" t="s">
        <v>180</v>
      </c>
      <c r="D1" t="s">
        <v>467</v>
      </c>
      <c r="E1" t="s">
        <v>181</v>
      </c>
      <c r="F1" t="s">
        <v>187</v>
      </c>
    </row>
    <row r="2" spans="1:6">
      <c r="A2" t="s">
        <v>173</v>
      </c>
      <c r="B2" s="1" t="s">
        <v>468</v>
      </c>
      <c r="D2" t="s">
        <v>349</v>
      </c>
      <c r="E2" s="1" t="s">
        <v>468</v>
      </c>
      <c r="F2" s="1" t="s">
        <v>468</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ht="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181</v>
      </c>
    </row>
    <row r="2" spans="1:5">
      <c r="A2" t="s">
        <v>173</v>
      </c>
      <c r="B2" t="s">
        <v>193</v>
      </c>
      <c r="C2" t="s">
        <v>194</v>
      </c>
      <c r="D2" t="s">
        <v>195</v>
      </c>
      <c r="E2" t="s">
        <v>196</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720A-D744-1B4D-893A-AC0F2A4F2378}">
  <dimension ref="A1:J30"/>
  <sheetViews>
    <sheetView tabSelected="1" workbookViewId="0">
      <selection activeCell="G10" sqref="G10"/>
    </sheetView>
  </sheetViews>
  <sheetFormatPr baseColWidth="10" defaultRowHeight="15"/>
  <sheetData>
    <row r="1" spans="1:10" ht="16">
      <c r="A1" s="49" t="s">
        <v>469</v>
      </c>
      <c r="B1" s="49" t="s">
        <v>8</v>
      </c>
      <c r="C1" s="49" t="s">
        <v>2</v>
      </c>
      <c r="D1" s="49" t="s">
        <v>113</v>
      </c>
      <c r="E1" s="49" t="s">
        <v>121</v>
      </c>
      <c r="F1" s="49" t="s">
        <v>112</v>
      </c>
      <c r="G1" s="49" t="s">
        <v>475</v>
      </c>
      <c r="H1" s="49" t="s">
        <v>94</v>
      </c>
      <c r="I1" s="49" t="s">
        <v>114</v>
      </c>
      <c r="J1" s="49" t="s">
        <v>115</v>
      </c>
    </row>
    <row r="2" spans="1:10" ht="16">
      <c r="A2" s="49">
        <v>1991</v>
      </c>
      <c r="B2" s="50">
        <v>1.434685</v>
      </c>
      <c r="C2" s="50">
        <v>1.9120000000000001E-3</v>
      </c>
      <c r="D2" s="50">
        <v>5.1799099999999996</v>
      </c>
      <c r="E2" s="50">
        <v>0.14000000000000001</v>
      </c>
      <c r="F2" s="50">
        <v>1.06</v>
      </c>
      <c r="G2" s="50" t="s">
        <v>470</v>
      </c>
      <c r="H2" s="50" t="s">
        <v>470</v>
      </c>
      <c r="I2" s="50">
        <v>3.7130000000000003E-2</v>
      </c>
      <c r="J2" s="50">
        <v>9.7158920000000002</v>
      </c>
    </row>
    <row r="3" spans="1:10" ht="16">
      <c r="A3" s="49">
        <v>1992</v>
      </c>
      <c r="B3" s="50">
        <v>1.413902</v>
      </c>
      <c r="C3" s="50">
        <v>1.32E-3</v>
      </c>
      <c r="D3" s="50">
        <v>5.1701410000000001</v>
      </c>
      <c r="E3" s="50">
        <v>0.14000000000000001</v>
      </c>
      <c r="F3" s="50">
        <v>1.8992059999999999</v>
      </c>
      <c r="G3" s="50">
        <v>1.921E-3</v>
      </c>
      <c r="H3" s="50" t="s">
        <v>470</v>
      </c>
      <c r="I3" s="50">
        <v>3.6905E-2</v>
      </c>
      <c r="J3" s="50">
        <v>8.9364349999999995</v>
      </c>
    </row>
    <row r="4" spans="1:10" ht="16">
      <c r="A4" s="49">
        <v>1993</v>
      </c>
      <c r="B4" s="50">
        <v>1.3976120000000001</v>
      </c>
      <c r="C4" s="50">
        <v>6.78E-4</v>
      </c>
      <c r="D4" s="50">
        <v>5.6530180000000003</v>
      </c>
      <c r="E4" s="50">
        <v>0.14000000000000001</v>
      </c>
      <c r="F4" s="50">
        <v>1.9204479999999999</v>
      </c>
      <c r="G4" s="50">
        <v>2.2899999999999999E-3</v>
      </c>
      <c r="H4" s="50" t="s">
        <v>470</v>
      </c>
      <c r="I4" s="50">
        <v>2.5239999999999999E-2</v>
      </c>
      <c r="J4" s="50">
        <v>9.0117820000000002</v>
      </c>
    </row>
    <row r="5" spans="1:10" ht="16">
      <c r="A5" s="49">
        <v>1994</v>
      </c>
      <c r="B5" s="50">
        <v>1.3479570000000001</v>
      </c>
      <c r="C5" s="50">
        <v>6.4300000000000002E-4</v>
      </c>
      <c r="D5" s="50">
        <v>5.5125339999999996</v>
      </c>
      <c r="E5" s="50">
        <v>0.23871300000000001</v>
      </c>
      <c r="F5" s="50">
        <v>1.852976</v>
      </c>
      <c r="G5" s="50">
        <v>1.725E-3</v>
      </c>
      <c r="H5" s="50" t="s">
        <v>470</v>
      </c>
      <c r="I5" s="50">
        <v>1.7833999999999999E-2</v>
      </c>
      <c r="J5" s="50">
        <v>9.3099150000000002</v>
      </c>
    </row>
    <row r="6" spans="1:10" ht="16">
      <c r="A6" s="49">
        <v>1995</v>
      </c>
      <c r="B6" s="50">
        <v>1.27196</v>
      </c>
      <c r="C6" s="50">
        <v>6.2100000000000002E-4</v>
      </c>
      <c r="D6" s="50">
        <v>5.3855560000000002</v>
      </c>
      <c r="E6" s="50">
        <v>0.235655</v>
      </c>
      <c r="F6" s="50">
        <v>1.709751</v>
      </c>
      <c r="G6" s="50">
        <v>1.348E-3</v>
      </c>
      <c r="H6" s="50" t="s">
        <v>470</v>
      </c>
      <c r="I6" s="50">
        <v>1.9188E-2</v>
      </c>
      <c r="J6" s="50">
        <v>9.1848019999999995</v>
      </c>
    </row>
    <row r="7" spans="1:10" ht="16">
      <c r="A7" s="49">
        <v>1996</v>
      </c>
      <c r="B7" s="50">
        <v>1.303744</v>
      </c>
      <c r="C7" s="50">
        <v>5.7399999999999997E-4</v>
      </c>
      <c r="D7" s="50">
        <v>5.046716</v>
      </c>
      <c r="E7" s="50">
        <v>0.23250699999999999</v>
      </c>
      <c r="F7" s="50">
        <v>1.696455</v>
      </c>
      <c r="G7" s="50">
        <v>1.4270000000000001E-3</v>
      </c>
      <c r="H7" s="50" t="s">
        <v>470</v>
      </c>
      <c r="I7" s="50">
        <v>3.1510999999999997E-2</v>
      </c>
      <c r="J7" s="50">
        <v>9.1569109999999991</v>
      </c>
    </row>
    <row r="8" spans="1:10" ht="16">
      <c r="A8" s="49">
        <v>1997</v>
      </c>
      <c r="B8" s="50">
        <v>1.335629</v>
      </c>
      <c r="C8" s="50">
        <v>6.02E-4</v>
      </c>
      <c r="D8" s="50">
        <v>4.9176669999999998</v>
      </c>
      <c r="E8" s="50">
        <v>0.23860700000000001</v>
      </c>
      <c r="F8" s="50">
        <v>1.772842</v>
      </c>
      <c r="G8" s="50">
        <v>1.5560000000000001E-3</v>
      </c>
      <c r="H8" s="50" t="s">
        <v>470</v>
      </c>
      <c r="I8" s="50">
        <v>4.6684999999999997E-2</v>
      </c>
      <c r="J8" s="50">
        <v>9.3453949999999999</v>
      </c>
    </row>
    <row r="9" spans="1:10" ht="16">
      <c r="A9" s="49">
        <v>1998</v>
      </c>
      <c r="B9" s="50">
        <v>1.2407600000000001</v>
      </c>
      <c r="C9" s="50">
        <v>6.5499999999999998E-4</v>
      </c>
      <c r="D9" s="50">
        <v>5.2199900000000001</v>
      </c>
      <c r="E9" s="50">
        <v>0.22286300000000001</v>
      </c>
      <c r="F9" s="50">
        <v>1.91726</v>
      </c>
      <c r="G9" s="50">
        <v>1.547E-3</v>
      </c>
      <c r="H9" s="50">
        <v>3.1100000000000002E-4</v>
      </c>
      <c r="I9" s="50">
        <v>5.7991000000000001E-2</v>
      </c>
      <c r="J9" s="50">
        <v>9.7533980000000007</v>
      </c>
    </row>
    <row r="10" spans="1:10" ht="16">
      <c r="A10" s="49">
        <v>1999</v>
      </c>
      <c r="B10" s="50">
        <v>1.2405349999999999</v>
      </c>
      <c r="C10" s="50">
        <v>5.9699999999999998E-4</v>
      </c>
      <c r="D10" s="50">
        <v>5.5228529999999996</v>
      </c>
      <c r="E10" s="50">
        <v>0.226192</v>
      </c>
      <c r="F10" s="50">
        <v>1.8864590000000001</v>
      </c>
      <c r="G10" s="50">
        <v>1.498E-3</v>
      </c>
      <c r="H10" s="50">
        <v>3.0899999999999998E-4</v>
      </c>
      <c r="I10" s="50">
        <v>5.4038000000000003E-2</v>
      </c>
      <c r="J10" s="50">
        <v>10.049611000000001</v>
      </c>
    </row>
    <row r="11" spans="1:10" ht="16">
      <c r="A11" s="49">
        <v>2000</v>
      </c>
      <c r="B11" s="50">
        <v>1.196383</v>
      </c>
      <c r="C11" s="50">
        <v>5.53E-4</v>
      </c>
      <c r="D11" s="50">
        <v>5.708024</v>
      </c>
      <c r="E11" s="50">
        <v>0.174792</v>
      </c>
      <c r="F11" s="50">
        <v>1.7585310000000001</v>
      </c>
      <c r="G11" s="50">
        <v>1.408E-3</v>
      </c>
      <c r="H11" s="50">
        <v>2.8800000000000001E-4</v>
      </c>
      <c r="I11" s="50">
        <v>5.4066999999999997E-2</v>
      </c>
      <c r="J11" s="50">
        <v>9.6490530000000003</v>
      </c>
    </row>
    <row r="12" spans="1:10" ht="16">
      <c r="A12" s="49">
        <v>2001</v>
      </c>
      <c r="B12" s="50">
        <v>1.1722900000000001</v>
      </c>
      <c r="C12" s="50">
        <v>6.87E-4</v>
      </c>
      <c r="D12" s="50">
        <v>5.6434620000000004</v>
      </c>
      <c r="E12" s="50">
        <v>0.189413</v>
      </c>
      <c r="F12" s="50">
        <v>1.8045389999999999</v>
      </c>
      <c r="G12" s="50">
        <v>1.372E-3</v>
      </c>
      <c r="H12" s="50">
        <v>2.8299999999999999E-4</v>
      </c>
      <c r="I12" s="50">
        <v>5.5264000000000001E-2</v>
      </c>
      <c r="J12" s="50">
        <v>9.6032150000000005</v>
      </c>
    </row>
    <row r="13" spans="1:10" ht="16">
      <c r="A13" s="49">
        <v>2002</v>
      </c>
      <c r="B13" s="50">
        <v>1.158479</v>
      </c>
      <c r="C13" s="50">
        <v>6.5099999999999999E-4</v>
      </c>
      <c r="D13" s="50">
        <v>6.0139670000000001</v>
      </c>
      <c r="E13" s="50">
        <v>0.189613</v>
      </c>
      <c r="F13" s="50">
        <v>1.795547</v>
      </c>
      <c r="G13" s="50">
        <v>1.0059999999999999E-3</v>
      </c>
      <c r="H13" s="50">
        <v>2.7500000000000002E-4</v>
      </c>
      <c r="I13" s="50">
        <v>5.5171999999999999E-2</v>
      </c>
      <c r="J13" s="50">
        <v>10.10915</v>
      </c>
    </row>
    <row r="14" spans="1:10" ht="16">
      <c r="A14" s="49">
        <v>2003</v>
      </c>
      <c r="B14" s="50">
        <v>1.162269</v>
      </c>
      <c r="C14" s="50">
        <v>6.0700000000000001E-4</v>
      </c>
      <c r="D14" s="50">
        <v>6.1230039999999999</v>
      </c>
      <c r="E14" s="50">
        <v>0.188416</v>
      </c>
      <c r="F14" s="50">
        <v>1.7769250000000001</v>
      </c>
      <c r="G14" s="50">
        <v>9.1399999999999999E-4</v>
      </c>
      <c r="H14" s="50">
        <v>2.63E-4</v>
      </c>
      <c r="I14" s="50">
        <v>5.5355000000000001E-2</v>
      </c>
      <c r="J14" s="50">
        <v>10.357733</v>
      </c>
    </row>
    <row r="15" spans="1:10" ht="16">
      <c r="A15" s="49">
        <v>2004</v>
      </c>
      <c r="B15" s="50">
        <v>1.1592039999999999</v>
      </c>
      <c r="C15" s="50">
        <v>5.8399999999999999E-4</v>
      </c>
      <c r="D15" s="50">
        <v>5.3922910000000002</v>
      </c>
      <c r="E15" s="50">
        <v>0.18068500000000001</v>
      </c>
      <c r="F15" s="50">
        <v>1.721403</v>
      </c>
      <c r="G15" s="50">
        <v>8.8800000000000001E-4</v>
      </c>
      <c r="H15" s="50">
        <v>2.5999999999999998E-4</v>
      </c>
      <c r="I15" s="50">
        <v>5.1200000000000002E-2</v>
      </c>
      <c r="J15" s="50">
        <v>10.615496</v>
      </c>
    </row>
    <row r="16" spans="1:10" ht="16">
      <c r="A16" s="49">
        <v>2005</v>
      </c>
      <c r="B16" s="50">
        <v>1.1341460000000001</v>
      </c>
      <c r="C16" s="50">
        <v>4.9100000000000001E-4</v>
      </c>
      <c r="D16" s="50">
        <v>5.3253579999999996</v>
      </c>
      <c r="E16" s="50">
        <v>0.181448</v>
      </c>
      <c r="F16" s="50">
        <v>1.66239</v>
      </c>
      <c r="G16" s="50">
        <v>9.4799999999999995E-4</v>
      </c>
      <c r="H16" s="50">
        <v>2.4600000000000002E-4</v>
      </c>
      <c r="I16" s="50">
        <v>4.8196999999999997E-2</v>
      </c>
      <c r="J16" s="50">
        <v>10.595442</v>
      </c>
    </row>
    <row r="17" spans="1:10" ht="16">
      <c r="A17" s="49">
        <v>2006</v>
      </c>
      <c r="B17" s="50">
        <v>1.1569199999999999</v>
      </c>
      <c r="C17" s="50">
        <v>4.4799999999999999E-4</v>
      </c>
      <c r="D17" s="50">
        <v>5.4019490000000001</v>
      </c>
      <c r="E17" s="50">
        <v>0.191417</v>
      </c>
      <c r="F17" s="50">
        <v>1.674963</v>
      </c>
      <c r="G17" s="50">
        <v>9.3000000000000005E-4</v>
      </c>
      <c r="H17" s="50">
        <v>2.4399999999999999E-4</v>
      </c>
      <c r="I17" s="50">
        <v>4.4429000000000003E-2</v>
      </c>
      <c r="J17" s="50">
        <v>10.206561000000001</v>
      </c>
    </row>
    <row r="18" spans="1:10" ht="16">
      <c r="A18" s="49">
        <v>2007</v>
      </c>
      <c r="B18" s="50">
        <v>1.119292</v>
      </c>
      <c r="C18" s="50">
        <v>4.66E-4</v>
      </c>
      <c r="D18" s="50">
        <v>4.8799099999999997</v>
      </c>
      <c r="E18" s="50">
        <v>0.183722</v>
      </c>
      <c r="F18" s="50">
        <v>1.6607540000000001</v>
      </c>
      <c r="G18" s="50">
        <v>8.4400000000000002E-4</v>
      </c>
      <c r="H18" s="50">
        <v>2.3499999999999999E-4</v>
      </c>
      <c r="I18" s="50">
        <v>4.3806999999999999E-2</v>
      </c>
      <c r="J18" s="50">
        <v>9.7810950000000005</v>
      </c>
    </row>
    <row r="19" spans="1:10" ht="16">
      <c r="A19" s="49">
        <v>2008</v>
      </c>
      <c r="B19" s="50">
        <v>1.067731</v>
      </c>
      <c r="C19" s="50">
        <v>4.6000000000000001E-4</v>
      </c>
      <c r="D19" s="50">
        <v>4.4378089999999997</v>
      </c>
      <c r="E19" s="50">
        <v>0.18481800000000001</v>
      </c>
      <c r="F19" s="50">
        <v>1.694078</v>
      </c>
      <c r="G19" s="50">
        <v>8.6399999999999997E-4</v>
      </c>
      <c r="H19" s="50">
        <v>2.31E-4</v>
      </c>
      <c r="I19" s="50">
        <v>4.1540000000000001E-2</v>
      </c>
      <c r="J19" s="50">
        <v>9.135408</v>
      </c>
    </row>
    <row r="20" spans="1:10" ht="16">
      <c r="A20" s="49">
        <v>2009</v>
      </c>
      <c r="B20" s="50">
        <v>1.0725100000000001</v>
      </c>
      <c r="C20" s="50">
        <v>4.35E-4</v>
      </c>
      <c r="D20" s="50">
        <v>4.2520639999999998</v>
      </c>
      <c r="E20" s="50">
        <v>0.19486200000000001</v>
      </c>
      <c r="F20" s="50">
        <v>1.6848989999999999</v>
      </c>
      <c r="G20" s="50">
        <v>1.3159999999999999E-3</v>
      </c>
      <c r="H20" s="50">
        <v>2.2599999999999999E-4</v>
      </c>
      <c r="I20" s="50">
        <v>3.9031999999999997E-2</v>
      </c>
      <c r="J20" s="50">
        <v>9.4471539999999994</v>
      </c>
    </row>
    <row r="21" spans="1:10" ht="16">
      <c r="A21" s="49">
        <v>2010</v>
      </c>
      <c r="B21" s="50">
        <v>1.0540350000000001</v>
      </c>
      <c r="C21" s="50">
        <v>4.2400000000000001E-4</v>
      </c>
      <c r="D21" s="50">
        <v>4.6381240000000004</v>
      </c>
      <c r="E21" s="50">
        <v>0.19222500000000001</v>
      </c>
      <c r="F21" s="50">
        <v>1.699559</v>
      </c>
      <c r="G21" s="50">
        <v>1.085E-3</v>
      </c>
      <c r="H21" s="50">
        <v>2.22E-4</v>
      </c>
      <c r="I21" s="50">
        <v>3.7114000000000001E-2</v>
      </c>
      <c r="J21" s="50">
        <v>9.0763200000000008</v>
      </c>
    </row>
    <row r="22" spans="1:10" ht="16">
      <c r="A22" s="49">
        <v>2011</v>
      </c>
      <c r="B22" s="50">
        <v>1.0620419999999999</v>
      </c>
      <c r="C22" s="50">
        <v>3.7500000000000001E-4</v>
      </c>
      <c r="D22" s="50">
        <v>4.3340290000000001</v>
      </c>
      <c r="E22" s="50">
        <v>0.17752699999999999</v>
      </c>
      <c r="F22" s="50">
        <v>1.709516</v>
      </c>
      <c r="G22" s="50">
        <v>9.9500000000000001E-4</v>
      </c>
      <c r="H22" s="50">
        <v>2.12E-4</v>
      </c>
      <c r="I22" s="50">
        <v>3.2307000000000002E-2</v>
      </c>
      <c r="J22" s="50">
        <v>8.7921220000000009</v>
      </c>
    </row>
    <row r="23" spans="1:10" ht="16">
      <c r="A23" s="49">
        <v>2012</v>
      </c>
      <c r="B23" s="50">
        <v>1.0967690000000001</v>
      </c>
      <c r="C23" s="50">
        <v>3.3799999999999998E-4</v>
      </c>
      <c r="D23" s="50">
        <v>4.5944190000000003</v>
      </c>
      <c r="E23" s="50">
        <v>0.160552</v>
      </c>
      <c r="F23" s="50">
        <v>1.6432169999999999</v>
      </c>
      <c r="G23" s="50">
        <v>9.990000000000001E-4</v>
      </c>
      <c r="H23" s="50">
        <v>2.1000000000000001E-4</v>
      </c>
      <c r="I23" s="50">
        <v>2.9995000000000001E-2</v>
      </c>
      <c r="J23" s="50">
        <v>8.5762479999999996</v>
      </c>
    </row>
    <row r="24" spans="1:10" ht="16">
      <c r="A24" s="49">
        <v>2013</v>
      </c>
      <c r="B24" s="50">
        <v>1.115081</v>
      </c>
      <c r="C24" s="50">
        <v>3.2499999999999999E-4</v>
      </c>
      <c r="D24" s="50">
        <v>4.80497</v>
      </c>
      <c r="E24" s="50">
        <v>0.15906400000000001</v>
      </c>
      <c r="F24" s="50">
        <v>1.6555</v>
      </c>
      <c r="G24" s="50">
        <v>9.4600000000000001E-4</v>
      </c>
      <c r="H24" s="50">
        <v>2.14E-4</v>
      </c>
      <c r="I24" s="50">
        <v>2.9250999999999999E-2</v>
      </c>
      <c r="J24" s="50">
        <v>7.9504760000000001</v>
      </c>
    </row>
    <row r="25" spans="1:10" ht="16">
      <c r="A25" s="49">
        <v>2014</v>
      </c>
      <c r="B25" s="50">
        <v>1.0929230000000001</v>
      </c>
      <c r="C25" s="50">
        <v>3.3199999999999999E-4</v>
      </c>
      <c r="D25" s="50">
        <v>4.7209580000000004</v>
      </c>
      <c r="E25" s="50">
        <v>0.149065</v>
      </c>
      <c r="F25" s="50">
        <v>1.5830709999999999</v>
      </c>
      <c r="G25" s="50">
        <v>8.9400000000000005E-4</v>
      </c>
      <c r="H25" s="50">
        <v>1.9900000000000001E-4</v>
      </c>
      <c r="I25" s="50">
        <v>3.1028E-2</v>
      </c>
      <c r="J25" s="50">
        <v>7.933967</v>
      </c>
    </row>
    <row r="26" spans="1:10" ht="16">
      <c r="A26" s="49">
        <v>2015</v>
      </c>
      <c r="B26" s="50">
        <v>1.0567169999999999</v>
      </c>
      <c r="C26" s="50">
        <v>3.3100000000000002E-4</v>
      </c>
      <c r="D26" s="50">
        <v>4.4208119999999997</v>
      </c>
      <c r="E26" s="50">
        <v>0.19889999999999999</v>
      </c>
      <c r="F26" s="50">
        <v>1.600446</v>
      </c>
      <c r="G26" s="50">
        <v>8.8400000000000002E-4</v>
      </c>
      <c r="H26" s="50">
        <v>2.05E-4</v>
      </c>
      <c r="I26" s="50">
        <v>3.0810000000000001E-2</v>
      </c>
      <c r="J26" s="50">
        <v>7.5456260000000004</v>
      </c>
    </row>
    <row r="27" spans="1:10" ht="16">
      <c r="A27" s="49">
        <v>2016</v>
      </c>
      <c r="B27" s="50">
        <v>0.98334900000000003</v>
      </c>
      <c r="C27" s="50">
        <v>3.2400000000000001E-4</v>
      </c>
      <c r="D27" s="50">
        <v>4.4274519999999997</v>
      </c>
      <c r="E27" s="50">
        <v>0.203291</v>
      </c>
      <c r="F27" s="50">
        <v>1.6372850000000001</v>
      </c>
      <c r="G27" s="50">
        <v>9.4499999999999998E-4</v>
      </c>
      <c r="H27" s="50">
        <v>2.05E-4</v>
      </c>
      <c r="I27" s="50">
        <v>3.0321000000000001E-2</v>
      </c>
      <c r="J27" s="50">
        <v>7.1496820000000003</v>
      </c>
    </row>
    <row r="28" spans="1:10" ht="16">
      <c r="A28" s="49">
        <v>2017</v>
      </c>
      <c r="B28" s="50">
        <v>0.95050699999999999</v>
      </c>
      <c r="C28" s="50">
        <v>3.1700000000000001E-4</v>
      </c>
      <c r="D28" s="50">
        <v>4.3766480000000003</v>
      </c>
      <c r="E28" s="50">
        <v>0.201957</v>
      </c>
      <c r="F28" s="50">
        <v>1.579081</v>
      </c>
      <c r="G28" s="50">
        <v>8.7399999999999999E-4</v>
      </c>
      <c r="H28" s="50">
        <v>2.0100000000000001E-4</v>
      </c>
      <c r="I28" s="50">
        <v>2.7781E-2</v>
      </c>
      <c r="J28" s="50">
        <v>6.7692600000000001</v>
      </c>
    </row>
    <row r="29" spans="1:10" ht="16">
      <c r="A29" s="49">
        <v>2018</v>
      </c>
      <c r="B29" s="50">
        <v>0.93689900000000004</v>
      </c>
      <c r="C29" s="50">
        <v>3.28E-4</v>
      </c>
      <c r="D29" s="50">
        <v>4.2408789999999996</v>
      </c>
      <c r="E29" s="50">
        <v>0.173848</v>
      </c>
      <c r="F29" s="50">
        <v>1.555348</v>
      </c>
      <c r="G29" s="50">
        <v>8.25E-4</v>
      </c>
      <c r="H29" s="50">
        <v>1.9699999999999999E-4</v>
      </c>
      <c r="I29" s="50">
        <v>2.5496000000000001E-2</v>
      </c>
      <c r="J29" s="50">
        <v>7.080603</v>
      </c>
    </row>
    <row r="30" spans="1:10" ht="16">
      <c r="A30" s="49">
        <v>2019</v>
      </c>
      <c r="B30" s="50">
        <v>0.92286299999999999</v>
      </c>
      <c r="C30" s="50">
        <v>3.4900000000000003E-4</v>
      </c>
      <c r="D30" s="50">
        <v>4.3026099999999996</v>
      </c>
      <c r="E30" s="50">
        <v>0.19672400000000001</v>
      </c>
      <c r="F30" s="50">
        <v>1.461452</v>
      </c>
      <c r="G30" s="50">
        <v>8.4800000000000001E-4</v>
      </c>
      <c r="H30" s="50">
        <v>1.9699999999999999E-4</v>
      </c>
      <c r="I30" s="50">
        <v>2.3761999999999998E-2</v>
      </c>
      <c r="J30" s="50">
        <v>6.7144240000000002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1" activeCellId="1" sqref="F21 D21"/>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181</v>
      </c>
      <c r="E1" t="s">
        <v>177</v>
      </c>
      <c r="F1" t="s">
        <v>187</v>
      </c>
    </row>
    <row r="2" spans="1:9">
      <c r="A2" t="s">
        <v>173</v>
      </c>
      <c r="B2" t="s">
        <v>179</v>
      </c>
      <c r="C2" t="s">
        <v>191</v>
      </c>
      <c r="D2" t="s">
        <v>430</v>
      </c>
      <c r="E2" t="s">
        <v>178</v>
      </c>
      <c r="F2" t="s">
        <v>407</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B2" sqref="B2"/>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181</v>
      </c>
      <c r="E1" t="s">
        <v>187</v>
      </c>
      <c r="F1" t="s">
        <v>182</v>
      </c>
      <c r="G1" t="s">
        <v>190</v>
      </c>
    </row>
    <row r="2" spans="1:14">
      <c r="A2" t="s">
        <v>173</v>
      </c>
      <c r="B2" s="1" t="s">
        <v>184</v>
      </c>
      <c r="C2" t="s">
        <v>189</v>
      </c>
      <c r="D2" s="1" t="s">
        <v>186</v>
      </c>
      <c r="F2" s="1" t="s">
        <v>183</v>
      </c>
      <c r="G2" t="s">
        <v>185</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B21" sqref="B21"/>
    </sheetView>
  </sheetViews>
  <sheetFormatPr baseColWidth="10" defaultColWidth="8.83203125" defaultRowHeight="15"/>
  <cols>
    <col min="3" max="3" width="13.83203125" bestFit="1" customWidth="1"/>
    <col min="5" max="5" width="14.6640625" customWidth="1"/>
  </cols>
  <sheetData>
    <row r="1" spans="1:17">
      <c r="B1" t="s">
        <v>176</v>
      </c>
      <c r="C1" t="s">
        <v>180</v>
      </c>
      <c r="D1" t="s">
        <v>181</v>
      </c>
      <c r="E1" t="s">
        <v>187</v>
      </c>
      <c r="F1" t="s">
        <v>182</v>
      </c>
      <c r="G1" t="s">
        <v>190</v>
      </c>
      <c r="H1" t="s">
        <v>303</v>
      </c>
      <c r="L1" t="s">
        <v>180</v>
      </c>
      <c r="M1" t="s">
        <v>180</v>
      </c>
      <c r="Q1" t="s">
        <v>300</v>
      </c>
    </row>
    <row r="2" spans="1:17">
      <c r="A2" t="s">
        <v>173</v>
      </c>
      <c r="B2" s="1" t="s">
        <v>302</v>
      </c>
      <c r="C2" t="s">
        <v>299</v>
      </c>
      <c r="D2" s="1" t="s">
        <v>192</v>
      </c>
      <c r="E2" t="s">
        <v>301</v>
      </c>
      <c r="F2" t="s">
        <v>301</v>
      </c>
      <c r="H2" t="s">
        <v>304</v>
      </c>
      <c r="L2" t="s">
        <v>299</v>
      </c>
      <c r="M2" s="32"/>
      <c r="Q2" t="s">
        <v>299</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M32"/>
  <sheetViews>
    <sheetView zoomScale="83" workbookViewId="0">
      <selection activeCell="D2" sqref="D2"/>
    </sheetView>
  </sheetViews>
  <sheetFormatPr baseColWidth="10" defaultColWidth="8.83203125" defaultRowHeight="15"/>
  <sheetData>
    <row r="1" spans="1:13">
      <c r="B1" t="s">
        <v>176</v>
      </c>
      <c r="C1" t="s">
        <v>180</v>
      </c>
      <c r="D1" t="s">
        <v>181</v>
      </c>
      <c r="E1" t="s">
        <v>187</v>
      </c>
      <c r="K1" t="s">
        <v>411</v>
      </c>
      <c r="L1" t="s">
        <v>409</v>
      </c>
      <c r="M1" t="s">
        <v>410</v>
      </c>
    </row>
    <row r="2" spans="1:13">
      <c r="A2" t="s">
        <v>173</v>
      </c>
      <c r="B2" s="1"/>
      <c r="D2" s="1" t="s">
        <v>412</v>
      </c>
      <c r="J2">
        <v>1990</v>
      </c>
      <c r="K2" s="39">
        <v>51900</v>
      </c>
      <c r="L2">
        <f>K2/1000</f>
        <v>51.9</v>
      </c>
    </row>
    <row r="3" spans="1:13">
      <c r="A3">
        <v>1990</v>
      </c>
      <c r="D3">
        <f t="shared" ref="D3:D32" si="0">L2/0.793</f>
        <v>65.44766708701134</v>
      </c>
      <c r="J3">
        <v>1991</v>
      </c>
      <c r="K3" s="39">
        <v>48200</v>
      </c>
      <c r="L3">
        <f t="shared" ref="L3:L31" si="1">K3/1000</f>
        <v>48.2</v>
      </c>
    </row>
    <row r="4" spans="1:13">
      <c r="A4">
        <v>1991</v>
      </c>
      <c r="D4">
        <f t="shared" si="0"/>
        <v>60.781841109709966</v>
      </c>
      <c r="J4">
        <v>1992</v>
      </c>
      <c r="K4" s="39">
        <v>42900</v>
      </c>
      <c r="L4">
        <f t="shared" si="1"/>
        <v>42.9</v>
      </c>
    </row>
    <row r="5" spans="1:13">
      <c r="A5">
        <v>1992</v>
      </c>
      <c r="D5">
        <f t="shared" si="0"/>
        <v>54.0983606557377</v>
      </c>
      <c r="J5">
        <v>1993</v>
      </c>
      <c r="K5" s="39">
        <v>34300</v>
      </c>
      <c r="L5">
        <f t="shared" si="1"/>
        <v>34.299999999999997</v>
      </c>
    </row>
    <row r="6" spans="1:13">
      <c r="A6">
        <v>1993</v>
      </c>
      <c r="D6">
        <f t="shared" si="0"/>
        <v>43.253467843631775</v>
      </c>
      <c r="J6">
        <v>1994</v>
      </c>
      <c r="K6" s="39">
        <v>34000</v>
      </c>
      <c r="L6">
        <f t="shared" si="1"/>
        <v>34</v>
      </c>
    </row>
    <row r="7" spans="1:13">
      <c r="A7">
        <v>1994</v>
      </c>
      <c r="D7">
        <f t="shared" si="0"/>
        <v>42.875157629255988</v>
      </c>
      <c r="J7">
        <v>1995</v>
      </c>
      <c r="K7" s="39">
        <v>38500</v>
      </c>
      <c r="L7">
        <f t="shared" si="1"/>
        <v>38.5</v>
      </c>
    </row>
    <row r="8" spans="1:13">
      <c r="A8">
        <v>1995</v>
      </c>
      <c r="D8">
        <f t="shared" si="0"/>
        <v>48.549810844892811</v>
      </c>
      <c r="J8">
        <v>1996</v>
      </c>
      <c r="K8" s="39">
        <v>34700</v>
      </c>
      <c r="L8">
        <f t="shared" si="1"/>
        <v>34.700000000000003</v>
      </c>
    </row>
    <row r="9" spans="1:13">
      <c r="A9">
        <v>1996</v>
      </c>
      <c r="D9">
        <f t="shared" si="0"/>
        <v>43.757881462799496</v>
      </c>
      <c r="J9">
        <v>1997</v>
      </c>
      <c r="K9" s="39">
        <v>33200</v>
      </c>
      <c r="L9">
        <f t="shared" si="1"/>
        <v>33.200000000000003</v>
      </c>
    </row>
    <row r="10" spans="1:13">
      <c r="A10">
        <v>1997</v>
      </c>
      <c r="D10">
        <f t="shared" si="0"/>
        <v>41.86633039092056</v>
      </c>
      <c r="J10">
        <v>1998</v>
      </c>
      <c r="K10" s="39">
        <v>37000</v>
      </c>
      <c r="L10">
        <f t="shared" si="1"/>
        <v>37</v>
      </c>
    </row>
    <row r="11" spans="1:13">
      <c r="A11">
        <v>1998</v>
      </c>
      <c r="D11">
        <f t="shared" si="0"/>
        <v>46.658259773013867</v>
      </c>
      <c r="J11">
        <v>1999</v>
      </c>
      <c r="K11" s="39">
        <v>37700</v>
      </c>
      <c r="L11">
        <f t="shared" si="1"/>
        <v>37.700000000000003</v>
      </c>
    </row>
    <row r="12" spans="1:13">
      <c r="A12">
        <v>1999</v>
      </c>
      <c r="D12">
        <f t="shared" si="0"/>
        <v>47.540983606557376</v>
      </c>
      <c r="J12">
        <v>2000</v>
      </c>
      <c r="K12" s="39">
        <v>44000</v>
      </c>
      <c r="L12">
        <f t="shared" si="1"/>
        <v>44</v>
      </c>
    </row>
    <row r="13" spans="1:13" ht="16">
      <c r="A13">
        <v>2000</v>
      </c>
      <c r="C13" s="2"/>
      <c r="D13">
        <f t="shared" si="0"/>
        <v>55.485498108448922</v>
      </c>
      <c r="J13">
        <v>2001</v>
      </c>
      <c r="K13" s="40">
        <v>50800</v>
      </c>
      <c r="L13">
        <f t="shared" si="1"/>
        <v>50.8</v>
      </c>
    </row>
    <row r="14" spans="1:13">
      <c r="A14">
        <v>2001</v>
      </c>
      <c r="D14">
        <f t="shared" si="0"/>
        <v>64.060529634300124</v>
      </c>
      <c r="J14">
        <v>2002</v>
      </c>
      <c r="K14" s="40">
        <v>47000</v>
      </c>
      <c r="L14">
        <f t="shared" si="1"/>
        <v>47</v>
      </c>
    </row>
    <row r="15" spans="1:13">
      <c r="A15">
        <v>2002</v>
      </c>
      <c r="D15">
        <f t="shared" si="0"/>
        <v>59.268600252206809</v>
      </c>
      <c r="J15">
        <v>2003</v>
      </c>
      <c r="K15" s="40">
        <v>47200</v>
      </c>
      <c r="L15">
        <f t="shared" si="1"/>
        <v>47.2</v>
      </c>
    </row>
    <row r="16" spans="1:13">
      <c r="A16">
        <v>2003</v>
      </c>
      <c r="D16">
        <f t="shared" si="0"/>
        <v>59.52080706179067</v>
      </c>
      <c r="J16">
        <v>2004</v>
      </c>
      <c r="K16" s="40">
        <v>66300</v>
      </c>
      <c r="L16">
        <f t="shared" si="1"/>
        <v>66.3</v>
      </c>
    </row>
    <row r="17" spans="1:12">
      <c r="A17">
        <v>2004</v>
      </c>
      <c r="D17">
        <f t="shared" si="0"/>
        <v>83.606557377049171</v>
      </c>
      <c r="J17">
        <v>2005</v>
      </c>
      <c r="K17" s="40">
        <v>59500</v>
      </c>
      <c r="L17">
        <f t="shared" si="1"/>
        <v>59.5</v>
      </c>
    </row>
    <row r="18" spans="1:12">
      <c r="A18">
        <v>2005</v>
      </c>
      <c r="D18">
        <f t="shared" si="0"/>
        <v>75.031525851197983</v>
      </c>
      <c r="J18">
        <v>2006</v>
      </c>
      <c r="K18" s="40">
        <v>56600</v>
      </c>
      <c r="L18">
        <f t="shared" si="1"/>
        <v>56.6</v>
      </c>
    </row>
    <row r="19" spans="1:12">
      <c r="A19">
        <v>2006</v>
      </c>
      <c r="D19">
        <f t="shared" si="0"/>
        <v>71.37452711223203</v>
      </c>
      <c r="J19">
        <v>2007</v>
      </c>
      <c r="K19" s="40">
        <v>53600</v>
      </c>
      <c r="L19">
        <f t="shared" si="1"/>
        <v>53.6</v>
      </c>
    </row>
    <row r="20" spans="1:12">
      <c r="A20">
        <v>2007</v>
      </c>
      <c r="D20">
        <f t="shared" si="0"/>
        <v>67.591424968474143</v>
      </c>
      <c r="J20">
        <v>2008</v>
      </c>
      <c r="K20" s="40">
        <v>61900</v>
      </c>
      <c r="L20">
        <f t="shared" si="1"/>
        <v>61.9</v>
      </c>
    </row>
    <row r="21" spans="1:12">
      <c r="A21">
        <v>2008</v>
      </c>
      <c r="D21">
        <f t="shared" si="0"/>
        <v>78.058007566204282</v>
      </c>
      <c r="J21">
        <v>2009</v>
      </c>
      <c r="K21" s="40">
        <v>61200</v>
      </c>
      <c r="L21">
        <f t="shared" si="1"/>
        <v>61.2</v>
      </c>
    </row>
    <row r="22" spans="1:12">
      <c r="A22">
        <v>2009</v>
      </c>
      <c r="D22">
        <f t="shared" si="0"/>
        <v>77.175283732660787</v>
      </c>
      <c r="J22">
        <v>2010</v>
      </c>
      <c r="K22" s="40">
        <v>68400</v>
      </c>
      <c r="L22">
        <f t="shared" si="1"/>
        <v>68.400000000000006</v>
      </c>
    </row>
    <row r="23" spans="1:12">
      <c r="A23">
        <v>2010</v>
      </c>
      <c r="D23">
        <f t="shared" si="0"/>
        <v>86.254728877679696</v>
      </c>
      <c r="J23">
        <v>2011</v>
      </c>
      <c r="K23" s="40">
        <v>73900</v>
      </c>
      <c r="L23">
        <f t="shared" si="1"/>
        <v>73.900000000000006</v>
      </c>
    </row>
    <row r="24" spans="1:12">
      <c r="A24">
        <v>2011</v>
      </c>
      <c r="D24">
        <f t="shared" si="0"/>
        <v>93.190416141235815</v>
      </c>
      <c r="J24">
        <v>2012</v>
      </c>
      <c r="K24" s="40">
        <v>77700</v>
      </c>
      <c r="L24">
        <f t="shared" si="1"/>
        <v>77.7</v>
      </c>
    </row>
    <row r="25" spans="1:12">
      <c r="A25">
        <v>2012</v>
      </c>
      <c r="D25">
        <f t="shared" si="0"/>
        <v>97.98234552332913</v>
      </c>
      <c r="J25">
        <v>2013</v>
      </c>
      <c r="K25" s="40">
        <v>79400</v>
      </c>
      <c r="L25">
        <f t="shared" si="1"/>
        <v>79.400000000000006</v>
      </c>
    </row>
    <row r="26" spans="1:12">
      <c r="A26">
        <v>2013</v>
      </c>
      <c r="D26">
        <f t="shared" si="0"/>
        <v>100.12610340479193</v>
      </c>
      <c r="J26">
        <v>2014</v>
      </c>
      <c r="K26" s="40">
        <v>82100</v>
      </c>
      <c r="L26">
        <f t="shared" si="1"/>
        <v>82.1</v>
      </c>
    </row>
    <row r="27" spans="1:12">
      <c r="A27">
        <v>2014</v>
      </c>
      <c r="D27">
        <f t="shared" si="0"/>
        <v>103.53089533417401</v>
      </c>
      <c r="J27">
        <v>2015</v>
      </c>
      <c r="K27" s="40">
        <v>83700</v>
      </c>
      <c r="L27">
        <f t="shared" si="1"/>
        <v>83.7</v>
      </c>
    </row>
    <row r="28" spans="1:12">
      <c r="A28">
        <v>2015</v>
      </c>
      <c r="D28">
        <f t="shared" si="0"/>
        <v>105.54854981084489</v>
      </c>
      <c r="J28">
        <v>2016</v>
      </c>
      <c r="K28" s="40">
        <v>78400</v>
      </c>
      <c r="L28">
        <f t="shared" si="1"/>
        <v>78.400000000000006</v>
      </c>
    </row>
    <row r="29" spans="1:12">
      <c r="A29">
        <v>2016</v>
      </c>
      <c r="D29">
        <f t="shared" si="0"/>
        <v>98.865069356872638</v>
      </c>
      <c r="J29">
        <v>2017</v>
      </c>
      <c r="K29" s="40">
        <v>81400</v>
      </c>
      <c r="L29">
        <f t="shared" si="1"/>
        <v>81.400000000000006</v>
      </c>
    </row>
    <row r="30" spans="1:12">
      <c r="A30">
        <v>2017</v>
      </c>
      <c r="D30">
        <f t="shared" si="0"/>
        <v>102.64817150063053</v>
      </c>
      <c r="J30">
        <v>2018</v>
      </c>
      <c r="K30" s="40">
        <v>82200</v>
      </c>
      <c r="L30">
        <f t="shared" si="1"/>
        <v>82.2</v>
      </c>
    </row>
    <row r="31" spans="1:12">
      <c r="A31">
        <v>2018</v>
      </c>
      <c r="D31">
        <f t="shared" si="0"/>
        <v>103.65699873896595</v>
      </c>
      <c r="J31">
        <v>2019</v>
      </c>
      <c r="K31" s="40">
        <v>83800</v>
      </c>
      <c r="L31">
        <f t="shared" si="1"/>
        <v>83.8</v>
      </c>
    </row>
    <row r="32" spans="1:12">
      <c r="A32">
        <v>2019</v>
      </c>
      <c r="D32">
        <f t="shared" si="0"/>
        <v>105.67465321563681</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D32" sqref="D32:E32"/>
    </sheetView>
  </sheetViews>
  <sheetFormatPr baseColWidth="10" defaultColWidth="8.83203125" defaultRowHeight="15"/>
  <sheetData>
    <row r="1" spans="1:5">
      <c r="B1" t="s">
        <v>176</v>
      </c>
      <c r="C1" t="s">
        <v>180</v>
      </c>
      <c r="D1" t="s">
        <v>181</v>
      </c>
      <c r="E1" t="s">
        <v>187</v>
      </c>
    </row>
    <row r="2" spans="1:5">
      <c r="A2" t="s">
        <v>173</v>
      </c>
      <c r="B2" s="1" t="s">
        <v>311</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176</v>
      </c>
      <c r="C1" t="s">
        <v>180</v>
      </c>
      <c r="D1" t="s">
        <v>181</v>
      </c>
      <c r="E1" t="s">
        <v>187</v>
      </c>
    </row>
    <row r="2" spans="1:5">
      <c r="A2" t="s">
        <v>173</v>
      </c>
      <c r="B2" t="s">
        <v>188</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E71" sqref="D71:E71"/>
    </sheetView>
  </sheetViews>
  <sheetFormatPr baseColWidth="10" defaultColWidth="8.83203125" defaultRowHeight="15"/>
  <sheetData>
    <row r="1" spans="1:5">
      <c r="B1" t="s">
        <v>176</v>
      </c>
      <c r="C1" t="s">
        <v>180</v>
      </c>
      <c r="D1" t="s">
        <v>181</v>
      </c>
      <c r="E1" t="s">
        <v>187</v>
      </c>
    </row>
    <row r="2" spans="1:5">
      <c r="A2" t="s">
        <v>173</v>
      </c>
      <c r="B2" t="s">
        <v>309</v>
      </c>
      <c r="D2" t="s">
        <v>312</v>
      </c>
      <c r="E2" t="s">
        <v>308</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G28"/>
  <sheetViews>
    <sheetView workbookViewId="0">
      <selection activeCell="I10" sqref="I10:I17"/>
    </sheetView>
  </sheetViews>
  <sheetFormatPr baseColWidth="10" defaultColWidth="8.83203125" defaultRowHeight="15"/>
  <sheetData>
    <row r="1" spans="1:7">
      <c r="B1" t="s">
        <v>176</v>
      </c>
      <c r="C1" t="s">
        <v>180</v>
      </c>
      <c r="D1" t="s">
        <v>181</v>
      </c>
      <c r="E1" t="s">
        <v>187</v>
      </c>
      <c r="F1" t="s">
        <v>471</v>
      </c>
      <c r="G1" t="s">
        <v>473</v>
      </c>
    </row>
    <row r="2" spans="1:7">
      <c r="A2" t="s">
        <v>173</v>
      </c>
      <c r="B2" s="1" t="s">
        <v>310</v>
      </c>
      <c r="D2" s="1" t="s">
        <v>348</v>
      </c>
      <c r="E2" s="1" t="s">
        <v>310</v>
      </c>
      <c r="F2" s="1" t="s">
        <v>472</v>
      </c>
      <c r="G2" s="1" t="s">
        <v>474</v>
      </c>
    </row>
    <row r="3" spans="1:7" ht="16">
      <c r="A3">
        <v>1995</v>
      </c>
      <c r="B3">
        <v>1469.917875310188</v>
      </c>
      <c r="C3" s="2"/>
      <c r="D3">
        <v>1022.922</v>
      </c>
      <c r="E3">
        <v>461.47509857472789</v>
      </c>
    </row>
    <row r="4" spans="1:7">
      <c r="A4">
        <v>1996</v>
      </c>
      <c r="B4">
        <v>1432.5767347969486</v>
      </c>
      <c r="D4">
        <v>1061.732</v>
      </c>
      <c r="E4">
        <v>461.65741021908769</v>
      </c>
    </row>
    <row r="5" spans="1:7">
      <c r="A5">
        <v>1997</v>
      </c>
      <c r="B5">
        <v>1558.8604356972196</v>
      </c>
      <c r="D5">
        <v>1096.1959999999999</v>
      </c>
      <c r="E5">
        <v>508.20377528446966</v>
      </c>
    </row>
    <row r="6" spans="1:7">
      <c r="A6">
        <v>1998</v>
      </c>
      <c r="B6">
        <v>1566.6470888700878</v>
      </c>
      <c r="D6">
        <v>1130.6079999999999</v>
      </c>
      <c r="E6">
        <v>530.06172301643778</v>
      </c>
      <c r="G6">
        <v>1180</v>
      </c>
    </row>
    <row r="7" spans="1:7">
      <c r="A7">
        <v>1999</v>
      </c>
      <c r="B7">
        <v>1635.0227035488601</v>
      </c>
      <c r="D7">
        <v>1104.134</v>
      </c>
      <c r="E7">
        <v>523.39043338001011</v>
      </c>
      <c r="G7">
        <v>1170</v>
      </c>
    </row>
    <row r="8" spans="1:7">
      <c r="A8">
        <v>2000</v>
      </c>
      <c r="B8">
        <v>1661.7302002671909</v>
      </c>
      <c r="D8">
        <v>1226.5060000000001</v>
      </c>
      <c r="E8">
        <v>507.88404642104092</v>
      </c>
      <c r="F8" s="4">
        <v>1169.4915249999999</v>
      </c>
      <c r="G8">
        <v>1290</v>
      </c>
    </row>
    <row r="9" spans="1:7">
      <c r="A9">
        <v>2001</v>
      </c>
      <c r="B9">
        <v>1646.5508055892237</v>
      </c>
      <c r="D9">
        <v>1280.5909999999999</v>
      </c>
      <c r="E9">
        <v>506.77594630217362</v>
      </c>
      <c r="F9" s="4"/>
      <c r="G9">
        <v>1350</v>
      </c>
    </row>
    <row r="10" spans="1:7">
      <c r="A10">
        <v>2002</v>
      </c>
      <c r="B10">
        <v>1828.5151622065189</v>
      </c>
      <c r="D10">
        <v>1291.55</v>
      </c>
      <c r="E10">
        <v>623.07426164366882</v>
      </c>
      <c r="F10" s="4"/>
      <c r="G10">
        <v>1350</v>
      </c>
    </row>
    <row r="11" spans="1:7">
      <c r="A11">
        <v>2003</v>
      </c>
      <c r="B11">
        <v>1852.2122080473666</v>
      </c>
      <c r="D11">
        <v>1320.856</v>
      </c>
      <c r="E11">
        <v>599.86699228751672</v>
      </c>
      <c r="F11" s="4"/>
      <c r="G11">
        <v>1330</v>
      </c>
    </row>
    <row r="12" spans="1:7">
      <c r="A12">
        <v>2004</v>
      </c>
      <c r="B12">
        <v>1918.1720841064041</v>
      </c>
      <c r="D12">
        <v>1389.83</v>
      </c>
      <c r="E12">
        <v>637.68427922835428</v>
      </c>
      <c r="F12" s="4"/>
      <c r="G12">
        <v>1370</v>
      </c>
    </row>
    <row r="13" spans="1:7">
      <c r="A13">
        <v>2005</v>
      </c>
      <c r="B13">
        <v>1807.1371119820149</v>
      </c>
      <c r="D13">
        <v>1432.046</v>
      </c>
      <c r="E13">
        <v>526.64930710397505</v>
      </c>
      <c r="F13" s="4">
        <v>1381.3559319999999</v>
      </c>
      <c r="G13">
        <v>1460</v>
      </c>
    </row>
    <row r="14" spans="1:7">
      <c r="A14">
        <v>2006</v>
      </c>
      <c r="B14">
        <v>2007.3552125204042</v>
      </c>
      <c r="D14">
        <v>1562.2090000000001</v>
      </c>
      <c r="E14">
        <v>572.08316749226424</v>
      </c>
      <c r="F14" s="4"/>
      <c r="G14">
        <v>1570</v>
      </c>
    </row>
    <row r="15" spans="1:7">
      <c r="A15">
        <v>2007</v>
      </c>
      <c r="B15">
        <v>1863.4250041489902</v>
      </c>
      <c r="D15">
        <v>1584.009</v>
      </c>
      <c r="E15">
        <v>512.58072647544986</v>
      </c>
      <c r="F15" s="4"/>
      <c r="G15">
        <v>1740</v>
      </c>
    </row>
    <row r="16" spans="1:7">
      <c r="A16">
        <v>2008</v>
      </c>
      <c r="B16">
        <v>1854.4805365204747</v>
      </c>
      <c r="D16">
        <v>1551.0530000000001</v>
      </c>
      <c r="E16">
        <v>536.46927948483471</v>
      </c>
      <c r="F16" s="4"/>
      <c r="G16">
        <v>1630</v>
      </c>
    </row>
    <row r="17" spans="1:7">
      <c r="A17">
        <v>2009</v>
      </c>
      <c r="B17">
        <v>1773.6215012491273</v>
      </c>
      <c r="D17">
        <v>1351.752</v>
      </c>
      <c r="E17">
        <v>502.5145594104772</v>
      </c>
      <c r="F17" s="4"/>
      <c r="G17">
        <v>1410</v>
      </c>
    </row>
    <row r="18" spans="1:7">
      <c r="A18">
        <v>2010</v>
      </c>
      <c r="B18">
        <v>2070.5609888925214</v>
      </c>
      <c r="D18">
        <v>1605.13</v>
      </c>
      <c r="E18">
        <v>574.31333410828154</v>
      </c>
      <c r="F18" s="4">
        <v>1573.446328</v>
      </c>
      <c r="G18">
        <v>1690</v>
      </c>
    </row>
    <row r="19" spans="1:7">
      <c r="A19">
        <v>2011</v>
      </c>
      <c r="B19">
        <v>2253.2043546584018</v>
      </c>
      <c r="D19">
        <v>2129.2730000000001</v>
      </c>
      <c r="E19">
        <v>611.5533227634719</v>
      </c>
      <c r="F19" s="4">
        <v>2197.7401129999998</v>
      </c>
      <c r="G19">
        <v>2340</v>
      </c>
    </row>
    <row r="20" spans="1:7">
      <c r="A20">
        <v>2012</v>
      </c>
      <c r="B20">
        <v>2317.9463444890989</v>
      </c>
      <c r="D20">
        <v>2709.4760000000001</v>
      </c>
      <c r="E20">
        <v>615.31970283806891</v>
      </c>
      <c r="F20" s="4">
        <v>2355.9322029999998</v>
      </c>
      <c r="G20">
        <v>2420</v>
      </c>
    </row>
    <row r="21" spans="1:7">
      <c r="A21">
        <v>2013</v>
      </c>
      <c r="B21">
        <v>2457.656878677687</v>
      </c>
      <c r="D21">
        <v>3090.2919999999999</v>
      </c>
      <c r="E21">
        <v>637.76944903416688</v>
      </c>
      <c r="F21" s="4">
        <v>2511.2994349999999</v>
      </c>
      <c r="G21">
        <v>2610</v>
      </c>
    </row>
    <row r="22" spans="1:7">
      <c r="A22">
        <v>2014</v>
      </c>
      <c r="B22">
        <v>2551.1525244544005</v>
      </c>
      <c r="D22">
        <v>2074.3649999999998</v>
      </c>
      <c r="E22">
        <v>646.83732745628015</v>
      </c>
      <c r="F22" s="4">
        <v>2158.19209</v>
      </c>
      <c r="G22">
        <v>2130</v>
      </c>
    </row>
    <row r="23" spans="1:7">
      <c r="A23">
        <v>2015</v>
      </c>
      <c r="B23">
        <v>2543.4257897672492</v>
      </c>
      <c r="D23">
        <v>2163.6880000000001</v>
      </c>
      <c r="E23">
        <v>629.729729729729</v>
      </c>
      <c r="F23" s="4">
        <v>2149.7175139999999</v>
      </c>
      <c r="G23">
        <v>2110</v>
      </c>
    </row>
    <row r="24" spans="1:7">
      <c r="A24">
        <v>2016</v>
      </c>
      <c r="B24">
        <v>2727.9397596470685</v>
      </c>
      <c r="D24">
        <v>1993.057</v>
      </c>
      <c r="E24">
        <v>659.45945945945903</v>
      </c>
      <c r="F24" s="4">
        <v>1997.1751409999999</v>
      </c>
      <c r="G24">
        <v>2010</v>
      </c>
    </row>
    <row r="25" spans="1:7">
      <c r="A25">
        <v>2017</v>
      </c>
      <c r="B25">
        <v>2940.1957304396319</v>
      </c>
      <c r="D25">
        <v>2136.8220000000001</v>
      </c>
      <c r="E25">
        <v>721.62162162162201</v>
      </c>
      <c r="F25" s="4">
        <v>2127.1186440000001</v>
      </c>
      <c r="G25">
        <v>2200</v>
      </c>
    </row>
    <row r="26" spans="1:7">
      <c r="A26">
        <v>2018</v>
      </c>
      <c r="B26">
        <v>3118.0315399827541</v>
      </c>
      <c r="D26">
        <v>2383.8649999999998</v>
      </c>
      <c r="E26">
        <v>754.05405405405395</v>
      </c>
      <c r="F26" s="4">
        <v>2316.3841809999999</v>
      </c>
      <c r="G26">
        <v>2400</v>
      </c>
    </row>
    <row r="27" spans="1:7">
      <c r="A27">
        <v>2019</v>
      </c>
      <c r="B27">
        <v>3226.8622280817385</v>
      </c>
      <c r="D27">
        <v>2673.57</v>
      </c>
      <c r="E27">
        <v>787.83783783783804</v>
      </c>
      <c r="F27" s="4">
        <v>2511.2994349999999</v>
      </c>
      <c r="G27">
        <v>2610</v>
      </c>
    </row>
    <row r="28" spans="1:7">
      <c r="A28">
        <v>2020</v>
      </c>
      <c r="B28">
        <v>3190.6115308554304</v>
      </c>
      <c r="D28">
        <v>2510.1309999999999</v>
      </c>
      <c r="E28">
        <v>779.72972972973002</v>
      </c>
      <c r="F28" s="4">
        <v>2387.0056500000001</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 ref="F2" r:id="rId4" display="https://insg.org/wp-content/uploads/2022/02/publist_The-World-Nickel-Factbook-2021.pdf" xr:uid="{D5257CF3-F04C-D649-BE0C-7DB39E2CC142}"/>
    <hyperlink ref="G2" r:id="rId5" xr:uid="{441B5B3C-D9B1-3340-A12C-DF86329AF9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Al</vt:lpstr>
      <vt:lpstr>Steel</vt:lpstr>
      <vt:lpstr>Au</vt:lpstr>
      <vt:lpstr>W</vt:lpstr>
      <vt:lpstr>Sn</vt:lpstr>
      <vt:lpstr>Ta</vt:lpstr>
      <vt:lpstr>Cu</vt:lpstr>
      <vt:lpstr>Ni</vt:lpstr>
      <vt:lpstr>Ag</vt:lpstr>
      <vt:lpstr>Zn</vt:lpstr>
      <vt:lpstr>Pb</vt:lpstr>
      <vt:lpstr>Mo</vt:lpstr>
      <vt:lpstr>Pt</vt:lpstr>
      <vt:lpstr>Li</vt:lpstr>
      <vt:lpstr>Ore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2023-01-21T03:24:29Z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