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codeName="ThisWorkbook" defaultThemeVersion="166925"/>
  <mc:AlternateContent xmlns:mc="http://schemas.openxmlformats.org/markup-compatibility/2006">
    <mc:Choice Requires="x15">
      <x15ac:absPath xmlns:x15ac="http://schemas.microsoft.com/office/spreadsheetml/2010/11/ac" url="/Users/johnryter/Dropbox (MIT)/John MIT/Research/generalizationOutside/generalization/data/"/>
    </mc:Choice>
  </mc:AlternateContent>
  <xr:revisionPtr revIDLastSave="0" documentId="13_ncr:1_{2BBC357C-6306-0042-8EAD-9F57F6B21EEF}" xr6:coauthVersionLast="47" xr6:coauthVersionMax="47" xr10:uidLastSave="{00000000-0000-0000-0000-000000000000}"/>
  <bookViews>
    <workbookView xWindow="0" yWindow="500" windowWidth="28800" windowHeight="16040"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s>
  <externalReferences>
    <externalReference r:id="rId16"/>
    <externalReference r:id="rId17"/>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2" i="17" l="1"/>
  <c r="L31" i="17"/>
  <c r="D32" i="17"/>
  <c r="D31" i="17"/>
  <c r="N10" i="17"/>
  <c r="H11" i="17"/>
  <c r="H10" i="17"/>
  <c r="H9" i="17"/>
  <c r="H8" i="17"/>
  <c r="H7" i="17"/>
  <c r="B91" i="17"/>
  <c r="B90" i="17"/>
  <c r="B92" i="17"/>
  <c r="B93" i="17"/>
  <c r="B94" i="17"/>
  <c r="I7" i="17"/>
  <c r="L7" i="17"/>
  <c r="L11" i="17"/>
  <c r="L10" i="17"/>
  <c r="L9" i="17"/>
  <c r="L43" i="17"/>
  <c r="L42" i="17"/>
  <c r="N6" i="17"/>
  <c r="B40" i="17"/>
  <c r="C21" i="5" l="1"/>
  <c r="M21" i="5"/>
  <c r="P43" i="17" l="1"/>
  <c r="N43" i="17"/>
  <c r="M43" i="17"/>
  <c r="D43" i="17"/>
  <c r="B38" i="17"/>
  <c r="B35" i="17"/>
  <c r="R10" i="17"/>
  <c r="D10" i="17"/>
  <c r="B10" i="17"/>
  <c r="B21" i="16" l="1"/>
  <c r="B20" i="16"/>
  <c r="B19" i="16"/>
  <c r="B18" i="16"/>
  <c r="B17" i="16"/>
  <c r="B16" i="16"/>
  <c r="B15" i="16"/>
  <c r="B14" i="16"/>
  <c r="B13" i="16"/>
  <c r="B12" i="16"/>
  <c r="B11" i="16"/>
  <c r="B10" i="16"/>
  <c r="B9" i="16"/>
  <c r="B8" i="16"/>
  <c r="B7" i="16"/>
  <c r="B6" i="16"/>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<sst xmlns="http://schemas.openxmlformats.org/spreadsheetml/2006/main" count="721" uniqueCount="381">
  <si>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</si>
  <si>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</si>
  <si>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</si>
  <si>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</si>
  <si>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</si>
  <si>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</si>
  <si>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</si>
  <si>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</si>
  <si>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</si>
  <si>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</si>
  <si>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</si>
  <si>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</si>
  <si>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</si>
  <si>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</si>
  <si>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</si>
  <si>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</si>
  <si>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</si>
  <si>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</si>
  <si>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</si>
  <si>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</si>
  <si>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</si>
  <si>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</si>
  <si>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</si>
  <si>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</si>
  <si>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</si>
  <si>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</si>
  <si>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</si>
  <si>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</si>
  <si>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</si>
  <si>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</si>
  <si>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</si>
  <si>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</si>
  <si>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</si>
  <si>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</si>
  <si>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</si>
  <si>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</si>
  <si>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</si>
  <si>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</si>
  <si>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</si>
  <si>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</si>
  <si>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</si>
  <si>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</si>
  <si>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</si>
  <si>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</si>
  <si>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</si>
  <si>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</si>
  <si>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</si>
  <si>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</si>
  <si>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</si>
  <si>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</si>
  <si>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</si>
  <si>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</si>
  <si>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</si>
  <si>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</si>
  <si>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</si>
  <si>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</si>
  <si>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</si>
  <si>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</si>
  <si>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</si>
  <si>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</si>
  <si>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</si>
  <si>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</si>
  <si>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</si>
  <si>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</si>
  <si>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</si>
  <si>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</si>
  <si>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</si>
  <si>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</si>
  <si>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</si>
  <si>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</si>
  <si>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</si>
  <si>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</si>
  <si>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</si>
  <si>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</si>
  <si>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</si>
  <si>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</si>
  <si>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</si>
  <si>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</si>
  <si>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</si>
  <si>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</si>
  <si>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</si>
  <si>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</si>
  <si>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</si>
  <si>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</si>
  <si>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</si>
  <si>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</si>
  <si>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</si>
  <si>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</si>
  <si>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</si>
  <si>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</si>
  <si>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</si>
  <si>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</si>
  <si>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</si>
  <si>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</si>
  <si>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</si>
  <si>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</si>
  <si>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All reported for 2019</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</si>
  <si>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</si>
  <si>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</si>
  <si>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</si>
  <si>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</si>
  <si>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</si>
  <si>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</si>
  <si>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</si>
  <si>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</si>
  <si>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</si>
  <si>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</si>
  <si>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</si>
  <si>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</si>
  <si>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</si>
  <si>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</si>
  <si>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</si>
  <si>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</si>
  <si>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</si>
  <si>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</si>
  <si>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</si>
  <si>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</si>
  <si>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</si>
  <si>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</si>
  <si>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</si>
  <si>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</si>
  <si>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</si>
  <si>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</si>
  <si>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</si>
  <si>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</si>
  <si>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</si>
  <si>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</si>
  <si>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</si>
  <si>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</si>
  <si>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</si>
  <si>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</si>
  <si>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</si>
  <si>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</si>
  <si>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</si>
  <si>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</si>
  <si>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</si>
  <si>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</si>
  <si>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</si>
  <si>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</si>
  <si>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</si>
  <si>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</si>
  <si>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</si>
  <si>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</si>
  <si>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</si>
  <si>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</si>
  <si>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</si>
  <si>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</si>
  <si>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</si>
  <si>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Cu, Ni, self</t>
  </si>
  <si>
    <t>Sn, self</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</si>
  <si>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</si>
  <si>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</si>
  <si>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</si>
  <si>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</si>
  <si>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</si>
  <si>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</si>
  <si>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</si>
  <si>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</si>
  <si>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</si>
  <si>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</si>
  <si>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</si>
  <si>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</si>
  <si>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</si>
  <si>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</si>
  <si>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</si>
  <si>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</si>
  <si>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</si>
  <si>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</si>
  <si>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</si>
  <si>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</si>
  <si>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</si>
  <si>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</si>
  <si>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</si>
  <si>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assumed 95%, no basis</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</si>
  <si>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</si>
  <si>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</si>
  <si>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</si>
  <si>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</si>
  <si>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Electronics. Used WEEE collection*recovery from copper (see Cu notes in this row for the file path)</t>
  </si>
  <si>
    <t>Not a necesssary sector</t>
  </si>
  <si>
    <t>Jewelry. Assumed high.</t>
  </si>
  <si>
    <t>Other. Assumed low</t>
  </si>
  <si>
    <t>Bar and Coin. Assumed high</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</si>
  <si>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</si>
  <si>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</si>
  <si>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</si>
  <si>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</si>
  <si>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</si>
  <si>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</si>
  <si>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baseline_scenario.xlsx for aluminum, sheet smelter_prod</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</si>
  <si>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</si>
  <si>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</si>
  <si>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</si>
  <si>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</si>
  <si>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</si>
  <si>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</si>
  <si>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</si>
  <si>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</si>
  <si>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</si>
  <si>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</si>
  <si>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</si>
  <si>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</si>
  <si>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</si>
  <si>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</si>
  <si>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</si>
  <si>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</si>
  <si>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</si>
  <si>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</si>
  <si>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</si>
  <si>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</si>
  <si>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</si>
  <si>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</si>
  <si>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</si>
  <si>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</si>
  <si>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</si>
  <si>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</si>
  <si>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</si>
  <si>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</si>
  <si>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</si>
  <si>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</si>
  <si>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</si>
  <si>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</si>
  <si>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</si>
  <si>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</si>
  <si>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</si>
  <si>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</si>
  <si>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</si>
  <si>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</si>
  <si>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https://www.statista.com/statistics/1131866/china-zinc-slab-consumption-volume/</t>
  </si>
  <si>
    <t>https://www.imoa.info/molybdenum/molybdenum-global-production-use.php</t>
  </si>
  <si>
    <t>tungsten carbide products 2016</t>
  </si>
  <si>
    <t>sputtering targets</t>
  </si>
  <si>
    <t>jewelry</t>
  </si>
  <si>
    <t>solar</t>
  </si>
  <si>
    <t>steels &amp; superalloys 2016</t>
  </si>
  <si>
    <t>alloy additives //https://www.sciencedirect.com/science/article/pii/S0921344917301556</t>
  </si>
  <si>
    <t>batteries</t>
  </si>
  <si>
    <t>foundries</t>
  </si>
  <si>
    <t>tungsten metal products 2016</t>
  </si>
  <si>
    <t>chemicals and carbides</t>
  </si>
  <si>
    <t>silverware</t>
  </si>
  <si>
    <t>mo-metals</t>
  </si>
  <si>
    <t>chemicals &amp; others 2016</t>
  </si>
  <si>
    <t>mill produts</t>
  </si>
  <si>
    <t xml:space="preserve">chemicals </t>
  </si>
  <si>
    <t>capacitors</t>
  </si>
  <si>
    <t>https://www.sprott.com/media/2268/world-silver-survey-2019.pdf</t>
  </si>
  <si>
    <t>nickel alloys</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</si>
  <si>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</si>
  <si>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</si>
  <si>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</si>
  <si>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</si>
  <si>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</si>
  <si>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</si>
  <si>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</si>
  <si>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</si>
  <si>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</si>
  <si>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</si>
  <si>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</si>
  <si>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</si>
  <si>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</si>
  <si>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</si>
  <si>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https://www.sii.co.jp/en/me/battery/products/silver-oxide/expiry-guide/#:~:text=The%20recommended%20usage%20period%20of,from%20the%20month%20of%20manufacturing.</t>
  </si>
  <si>
    <t>https://galvanizeit.org/hot-dip-galvanizing/what-is-zinc/facts-about-zinc</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</si>
  <si>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</si>
  <si>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</si>
  <si>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https://www.nationwidefibreglass.ie/how-long-do-fibreglass-roofs-last/#:~:text=Most%20fibreglass%20roofs%20are%20guaranteed,easy%20and%20almost%20un%2Dseen.</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</si>
  <si>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</si>
  <si>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</si>
  <si>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</si>
  <si>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https://blog.epectec.com/understanding-how-solder-and-coatings-impact-pcb-shelf-life#:~:text=Depending%20on%20the%20solder%20that,last%20up%20to%2010%20years.</t>
  </si>
  <si>
    <t>https://www.pv-magazine.com/2022/01/25/nickel-zinc-batteries-for-large-scale-backup-power/</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</si>
  <si>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</si>
  <si>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</si>
  <si>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https://digitalworld839.com/how-long-does-a-monitor-last/#:~:text=LCD%20monitors%20usually%20have%20a,for%20eight%20hours%20a%20day.</t>
  </si>
  <si>
    <t>nuclear reactors :: https://www.energy.gov/ne/articles/whats-lifespan-nuclear-reactor-much-longer-you-might-think</t>
  </si>
  <si>
    <t>https://crossroadsgalvanizing.com/2020/04/08/life-expectancy-of-galvanized-steel/</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</si>
  <si>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</si>
  <si>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</si>
  <si>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</si>
  <si>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</si>
  <si>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solar panels :: https://www.greenbiz.com/article/what-will-happen-solar-panels-after-their-useful-lives-are-over#:~:text=The%20industry%20standard%20life%20span,t%20long%20from%20being%20retired.</t>
  </si>
  <si>
    <t>https://blog.evbox.com/ev-battery-longevity#:~:text=How%20long%20do%20EV%20batteries,costs%20associated%20with%20battery%20replacement.</t>
  </si>
  <si>
    <t>https://www.buildingenclosureonline.com/articles/88937-transit-centre-showcases-zinc-cladding-to-create-distinctive-durable-design</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</si>
  <si>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</si>
  <si>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</si>
  <si>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</si>
  <si>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</si>
  <si>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</si>
  <si>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</si>
  <si>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</si>
  <si>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https://sustainability.zinc.org/recycling/</t>
  </si>
  <si>
    <t>(12.5+41.4)/260.997</t>
  </si>
  <si>
    <t>https://pubs.usgs.gov/periodicals/mcs2021/mcs2021-tungsten.pdf</t>
  </si>
  <si>
    <t>https://d9-wret.s3-us-west-2.amazonaws.com/assets/palladium/production/atoms/files/mcs-2019-nicke.pdf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</si>
  <si>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</si>
  <si>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</si>
  <si>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</si>
  <si>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</si>
  <si>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</si>
  <si>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</si>
  <si>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</si>
  <si>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</si>
  <si>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</si>
  <si>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</si>
  <si>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</si>
  <si>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</si>
  <si>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</si>
  <si>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</si>
  <si>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</si>
  <si>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</si>
  <si>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</si>
  <si>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</si>
  <si>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</si>
  <si>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</si>
  <si>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</si>
  <si>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</si>
  <si>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</si>
  <si>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</si>
  <si>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</si>
  <si>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</si>
  <si>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Primary commodity price old</t>
  </si>
  <si>
    <t>World gold council for 2010-2019: https://www.gold.org/goldhub/data/gold-demand-by-country, remainder using the BCG Recycled Content plot (exhibit 2, https://www.gold.org/goldhub/research/ups-and-downs-gold-recycling) to calculate total and secondary production from primary supply</t>
  </si>
  <si>
    <t>World gold council for 2010-2019: https://www.gold.org/goldhub/data/gold-demand-by-country, Seeking Alpha 2003-2009: https://seekingalpha.com/article/1461891-is-it-time-to-buy-gold. Assumed 2001-2002 followed the same trend as primary supply. 2006-2015 validated by https://www.spdrgoldshares.com/media/GLD/file/GDT_Q1_2016.pdf (this one is on google scholar as Gold Demand Trends, Street 2016), table 10 in https://www.spdrgoldshares.com/media/GLD/file/GDT_Q1_2010.pdf, table 9 in https://www.spdrgoldshares.com/media/GLD/file/GDT_Q1_2012.pdf; for early years, taking the largest value I can find since it appears from price changes that demand exceeds supply</t>
  </si>
  <si>
    <t>Actual demand</t>
  </si>
  <si>
    <t>Other one is doing 5-yr rolling mean</t>
  </si>
  <si>
    <t xml:space="preserve">Based on 400t production in 1900 from this paper (https://www.sciencedirect.com/science/article/pii/0301420782900253) and 4870 t production in 2019 below (0.021225); took the mean of that and the value using 2001-2019 demand in the Au sheet (0.01344), giving </t>
  </si>
  <si>
    <t>Our model, (np.log(mod.minemod.ml.loc[2019]['Head grade (%)']).var()) = 0.0177, trying with higher value due to no opening happening</t>
  </si>
  <si>
    <t>CHECK THAT ALL THESE ARE USING STD DEV NOT VARIANCE</t>
  </si>
  <si>
    <t>ICSG World Copper Factbooks 2012 and 2021, for 2002-2010 and 2010-2019 respectively, see https://icsg.org/wp-content/uploads/2021/11/ICSG-Factbook-2021.pdf (pages 40 and 55) and https://vdocument.in/2012-world-copper-factbook.html?page=43 (page 43). For 2010, took the average of the values from the 2012 and 2021 factbooks, and for 2001 assumed the same growth rate as for total demand.</t>
  </si>
  <si>
    <t>2001-2016 from ICSG Statistical Yearbook 2018, with 2017-2019 from 2021 ICSG World Copper Factbook page 40</t>
  </si>
  <si>
    <t>THE WORLD NICKEL FACTBOOK 2021 (insg.org), page 37, assuming that a negligible amount of nickel has been recycled outside the stainless steel industry, for 2015-2019. For 1995-2014, use figure 2 from Elshkaki et al 2017 (https://www.sciencedirect.com/science/article/pii/S0921344917301817) to get recycling input rate, and scale using primary demand reported in world nickel factbook page 24</t>
  </si>
  <si>
    <t>Smelter production of tin which claims to include both primary and secondary sources, from British Geological Survey, found here: https://www2.bgs.ac.uk/mineralsuk/statistics/worldArchive.html</t>
  </si>
  <si>
    <t>IGSG Factbook 2018</t>
  </si>
  <si>
    <t>*</t>
  </si>
  <si>
    <t>The Silver Institute, World Silver Surveys, taking the maximum value reported in the surveys from 2001-2022, https://www.silverinstitute.org/all-world-silver-surveys/. Using total demand after hedging adjustments (appears equal to total supply)</t>
  </si>
  <si>
    <t>The Silver Institute, World Silver Surveys, taking the maximum value reported in the surveys from 2001-2022, https://www.silverinstitute.org/all-world-silver-surveys/. Using scrap supply reported, assuming that only the scrap that is consumed is reported as collected</t>
  </si>
  <si>
    <t>International Zinc Association Publication: Zinc Recycling 2050 Demand and Supply, https://www.zinc.org/wp-content/uploads/sites/24/2022/03/2050-Demand-Supply_VF_3_22.pdf, figure 3</t>
  </si>
  <si>
    <t>International Zinc Association Publication: Zinc Recycling 2050 Demand and Supply, https://www.zinc.org/wp-content/uploads/sites/24/2022/03/2050-Demand-Supply_VF_3_22.pdf, figure 4</t>
  </si>
  <si>
    <t>1990-2005: http://large.stanford.edu/publications/power/references/docs/ILZSG.pdf (page 35, has data back to the 1970s), 2017-2021: https://www.ilzsg.org/static/statistics.aspx?from=1, 2005-2016: used page 21 of https://gdb-online.org/www.blei-online.org/wp-content/uploads/2021/10/ILZSG-Lead-Factbook.pdf, asserted alignment between this data and previously existing data by assuming a linear change in the ratio between the original data and this data for years where there was overlap, and multiplying this data by this ratio to maximize continuity</t>
  </si>
  <si>
    <t>Total production minus mine prod</t>
  </si>
  <si>
    <t>Mine production</t>
  </si>
  <si>
    <t>2007-2018: used page 21 of https://gdb-online.org/www.blei-online.org/wp-content/uploads/2021/10/ILZSG-Lead-Factbook.pdf, 1990-2004: use Total production minus Mine production from page 21 of https://gdb-online.org/www.blei-online.org/wp-content/uploads/2021/10/ILZSG-Lead-Factbook.pdf. 2018-2021 use Metal production minus Mine production from https://www.ilzsg.org/static/statistics.aspx?from=1. For 2005, interpolate recycling input rate from 2004 and 2006 and calculate scrap demand from that</t>
  </si>
  <si>
    <t>https://www.statista.com/statistics/1131647/china-refined-lead-consumption-volume/, 5.08/12.162</t>
  </si>
  <si>
    <t>S&amp;P Global Market Intelligence, using recovered metal content for all nickel-producing mines in 2019. Assuming SX-EW if payable percent is 100%.", https://feeco.com/sx-ew-moves-into-new-metal-markets/</t>
  </si>
  <si>
    <t>S&amp;P Global Market Intelligence, using recovered metal content for all nickel-producing mines in 2019. Assuming SX-EW if payable percent is 100%.", https://feeco.com/sx-ew-moves-into-new-metal-markets/, https://www.copper.org/publications/newsletters/innovations/2001/08/hydrometallurgy.html</t>
  </si>
  <si>
    <t>https://www.statista.com/statistics/1009446/tungsten-price/, https://www.metalary.com/tungsten-price/</t>
  </si>
  <si>
    <t>https://www.argusmedia.com/en/news/2222244-eu-tantalum-prices-rebound-on-higher-input-costs, https://www.statista.com/statistics/1009173/tantalum-price/, reported 161 USD/kg</t>
  </si>
  <si>
    <t>https://www.argusmedia.com/en/news/2222244-eu-tantalum-prices-rebound-on-higher-input-costs, reported 135 USD/lb</t>
  </si>
  <si>
    <t>https://www.macrotrends.net/1470/historical-silver-prices-100-year-chart</t>
  </si>
  <si>
    <t>Scrapmonster.com, showed 18.33 USD/oz silver scrap, reported 02/27/22, accessed 5/30/22 for N America, https://www.scrapmonster.com/news/29th-october-2019-scrap-gold-silver-and-platinum-prices-dipped-on-index/1/73213 - 14.86 USD/oz</t>
  </si>
  <si>
    <t>https://platinuminvestment.com/about/60-seconds-in-platinum/2020/06/24#:~:text=China%20is%20the%20second%20largest,per%20cent%20of%20global%20demand</t>
  </si>
  <si>
    <t>https://pubs.usgs.gov/periodicals/mcs2021/mcs2021-tellurium.pdf</t>
  </si>
  <si>
    <t>https://d9-wret.s3.us-west-2.amazonaws.com/assets/palladium/production/mineral-pubs/zinc/zinc_mcs96.pdf</t>
  </si>
  <si>
    <t>https://www.silverinstitute.org/wp-content/uploads/2018/09/ChineseSilverMarket20182.pdf - using this sector as industrial</t>
  </si>
  <si>
    <t>bar and coin</t>
  </si>
  <si>
    <t>From the Ag sheet</t>
  </si>
  <si>
    <t>https://www.sciencedirect.com/science/article/pii/S0921344916300064, table 1 , The anthropogenic cycle of zinc: Status quo and perspectives, Meylan 2017</t>
  </si>
  <si>
    <t>Anthropogenic nickel supply, demand, and associated energy and water use - ScienceDirect, https://www.sciencedirect.com/science/article/pii/S0921344917301817, figure 1 using most recent year</t>
  </si>
  <si>
    <t>solder</t>
  </si>
  <si>
    <t>chemicals</t>
  </si>
  <si>
    <t>tin platings brass</t>
  </si>
  <si>
    <t>glass</t>
  </si>
  <si>
    <t>other</t>
  </si>
  <si>
    <t>brass</t>
  </si>
  <si>
    <t>all electronics</t>
  </si>
  <si>
    <t>construction</t>
  </si>
  <si>
    <t>cans-other?</t>
  </si>
  <si>
    <t>transport</t>
  </si>
  <si>
    <t>bc and electronics</t>
  </si>
  <si>
    <t>Measuring the sustainability of tin in China - ScienceDirect, https://www.sciencedirect.com/science/article/pii/S0048969718312373, table 1, assuming that solder is evenly distributed between electrical and industrial, chemicals are fully in construction, tin platings are other, brass and bronze are evenly distributed between construction and transportation, batterials are in transportation, and float glass is evenly distributed between buildings and automotive</t>
  </si>
  <si>
    <t>Assuming same as aluminum</t>
  </si>
  <si>
    <t>https://www.sprott.com/media/2268/world-silver-survey-2019.pdf, using this sector as industrial; renamed as per gold</t>
  </si>
  <si>
    <t>https://www.essentialchemicalindustry.org/metals/lead.html, where batteries are primarily used in transportation, we assume compounds are industrial, no electrical use, building industry is construction, and all the rest is other</t>
  </si>
  <si>
    <t>expect these other uses to be more dissipative</t>
  </si>
  <si>
    <t>Study finds nearly 100 percent recycling rate for lead ...</t>
  </si>
  <si>
    <t>Same values from Au</t>
  </si>
  <si>
    <t>https://www.sciencedirect.com/science/article/pii/S0921344917301817, table 2</t>
  </si>
  <si>
    <t>https://www.sciencedirect.com/science/article/pii/S0048969718312373, using table 1, the subjective recycling possiblity labels as easy=0.75, moderate=0.5, difficult as 0.05. Blend of difficult and moderate was given 0.25</t>
  </si>
  <si>
    <t>Assuming half of gold jewelry can be directly remelted</t>
  </si>
  <si>
    <t>Assuming half of silver jewelry can be directly remelted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</si>
</sst>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Te"/>
    <numFmt numFmtId="165" formatCode="0.0000"/>
  </numFmts>
  <fonts count="14">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
      <sz val="11"/>
      <color rgb="FF000000"/>
      <name val="Calibri"/>
      <family val="2"/>
      <scheme val="minor"/>
    </font>
    <font>
      <sz val="10"/>
      <color theme="1"/>
      <name val="Var(--jp-code-font-family)"/>
    </font>
    <font>
      <sz val="8"/>
      <name val="Calibri"/>
      <family val="2"/>
      <scheme val="minor"/>
    </font>
    <font>
      <sz val="14"/>
      <color rgb="FF000000"/>
      <name val="Times"/>
      <family val="1"/>
    </font>
  </fonts>
  <fills count="6">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
      <patternFill patternType="solid">
        <fgColor theme="0"/>
        <bgColor theme="0" tint="-0.14999847407452621"/>
      </patternFill>
    </fill>
    <fill>
      <patternFill patternType="solid">
        <fgColor theme="0" tint="-0.14999847407452621"/>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53">
    <xf numFmtId="0" fontId="0" fillId="0" borderId="0" xfId="0"/>
    <xf numFmtId="0" fontId="2" fillId="0" borderId="0" xfId="2"/>
    <xf numFmtId="0" fontId="3" fillId="0" borderId="0" xfId="0" applyFont="1" applyAlignment="1">
      <alignment vertical="center"/>
    </xf>
    <xf numFmtId="0" fontId="3" fillId="0" borderId="0" xfId="0" applyNumberFormat="1"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ont="1" applyFill="1"/>
    <xf numFmtId="0" fontId="0" fillId="3" borderId="0" xfId="0" applyFont="1" applyFill="1" applyAlignment="1">
      <alignment wrapText="1"/>
    </xf>
    <xf numFmtId="0" fontId="0" fillId="0" borderId="0" xfId="0" applyFont="1"/>
    <xf numFmtId="0" fontId="0" fillId="0" borderId="0" xfId="0" applyFont="1" applyAlignment="1">
      <alignment wrapText="1"/>
    </xf>
    <xf numFmtId="3" fontId="0" fillId="0" borderId="0" xfId="0" applyNumberFormat="1" applyFont="1" applyAlignment="1">
      <alignment horizontal="right"/>
    </xf>
    <xf numFmtId="3" fontId="0" fillId="3" borderId="0" xfId="0" applyNumberFormat="1" applyFont="1" applyFill="1" applyAlignment="1">
      <alignment horizontal="right"/>
    </xf>
    <xf numFmtId="0" fontId="0" fillId="3" borderId="0" xfId="0" applyNumberFormat="1" applyFont="1" applyFill="1" applyAlignment="1">
      <alignment wrapText="1"/>
    </xf>
    <xf numFmtId="0" fontId="0" fillId="0" borderId="0" xfId="0" applyNumberFormat="1" applyFont="1" applyAlignment="1">
      <alignment wrapText="1"/>
    </xf>
    <xf numFmtId="11" fontId="0" fillId="0" borderId="0" xfId="0" applyNumberFormat="1" applyFont="1"/>
    <xf numFmtId="11" fontId="0" fillId="3" borderId="0" xfId="0" applyNumberFormat="1" applyFont="1" applyFill="1"/>
    <xf numFmtId="0" fontId="1" fillId="2" borderId="0" xfId="1" applyFont="1" applyFill="1"/>
    <xf numFmtId="0" fontId="1" fillId="2" borderId="0" xfId="1" applyFont="1" applyFill="1" applyAlignment="1">
      <alignment wrapText="1"/>
    </xf>
    <xf numFmtId="0" fontId="0" fillId="3" borderId="0" xfId="0" quotePrefix="1" applyNumberFormat="1" applyFont="1" applyFill="1"/>
    <xf numFmtId="3" fontId="0" fillId="0" borderId="0" xfId="0" applyNumberFormat="1" applyFont="1"/>
    <xf numFmtId="0" fontId="0" fillId="0" borderId="0" xfId="0" quotePrefix="1" applyNumberFormat="1" applyFont="1"/>
    <xf numFmtId="0" fontId="2" fillId="0" borderId="0" xfId="2" applyFont="1" applyAlignment="1">
      <alignment wrapText="1"/>
    </xf>
    <xf numFmtId="0" fontId="7" fillId="0" borderId="0" xfId="0" applyFont="1"/>
    <xf numFmtId="0" fontId="2" fillId="3" borderId="0" xfId="2" applyFont="1" applyFill="1" applyAlignment="1">
      <alignment wrapText="1"/>
    </xf>
    <xf numFmtId="0" fontId="2" fillId="0" borderId="0" xfId="2" applyFont="1"/>
    <xf numFmtId="0" fontId="1" fillId="3" borderId="0" xfId="1" applyFont="1" applyFill="1"/>
    <xf numFmtId="164" fontId="0" fillId="3" borderId="0" xfId="0" applyNumberFormat="1" applyFont="1" applyFill="1"/>
    <xf numFmtId="0" fontId="1" fillId="2" borderId="0" xfId="1" applyFont="1"/>
    <xf numFmtId="164" fontId="0" fillId="0" borderId="0" xfId="0" applyNumberFormat="1" applyFon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applyFill="1"/>
    <xf numFmtId="164" fontId="1" fillId="2" borderId="0" xfId="1" applyNumberFormat="1" applyFont="1" applyFill="1"/>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0" fontId="10" fillId="0" borderId="0" xfId="0" applyFont="1"/>
    <xf numFmtId="0" fontId="11" fillId="0" borderId="0" xfId="0" applyFont="1"/>
    <xf numFmtId="1" fontId="0" fillId="0" borderId="0" xfId="0" applyNumberFormat="1"/>
    <xf numFmtId="0" fontId="2" fillId="3" borderId="0" xfId="2" applyFill="1" applyAlignment="1">
      <alignment wrapText="1"/>
    </xf>
    <xf numFmtId="0" fontId="13" fillId="0" borderId="0" xfId="0" applyFont="1"/>
    <xf numFmtId="11" fontId="1" fillId="2" borderId="0" xfId="1" applyNumberFormat="1" applyFont="1"/>
    <xf numFmtId="0" fontId="2" fillId="0" borderId="0" xfId="2" applyAlignment="1">
      <alignment wrapText="1"/>
    </xf>
    <xf numFmtId="0" fontId="0" fillId="4" borderId="0" xfId="0" applyFont="1" applyFill="1"/>
    <xf numFmtId="0" fontId="0" fillId="5" borderId="0" xfId="0" applyFont="1" applyFill="1"/>
    <xf numFmtId="0" fontId="0" fillId="3" borderId="0" xfId="0" applyFont="1" applyFill="1" applyBorder="1"/>
    <xf numFmtId="164" fontId="0" fillId="3" borderId="0" xfId="0" applyNumberFormat="1" applyFont="1" applyFill="1" applyBorder="1"/>
    <xf numFmtId="0" fontId="0" fillId="3" borderId="0" xfId="0" applyFont="1" applyFill="1" applyBorder="1" applyAlignment="1">
      <alignment wrapText="1"/>
    </xf>
    <xf numFmtId="2" fontId="0" fillId="3" borderId="0" xfId="0" applyNumberFormat="1" applyFont="1" applyFill="1"/>
    <xf numFmtId="11" fontId="0" fillId="5" borderId="0" xfId="0" applyNumberFormat="1" applyFont="1" applyFill="1" applyAlignment="1">
      <alignment wrapText="1"/>
    </xf>
  </cellXfs>
  <cellStyles count="3">
    <cellStyle name="Hyperlink" xfId="2" builtinId="8"/>
    <cellStyle name="Neutral" xfId="1" builtinId="28"/>
    <cellStyle name="Normal" xfId="0" builtinId="0"/>
  </cellStyles>
  <dxfs count="40">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numFmt numFmtId="164" formatCode="\Te"/>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thin">
          <color theme="1"/>
        </bottom>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[2]Sheet1!$A$68</c:f>
              <c:strCache>
                <c:ptCount val="1"/>
                <c:pt idx="0">
                  <c:v>Mean total</c:v>
                </c:pt>
              </c:strCache>
            </c:strRef>
          </c:tx>
          <c:spPr>
            <a:ln w="28575" cap="rnd">
              <a:solidFill>
                <a:schemeClr val="accent1"/>
              </a:solidFill>
              <a:round/>
            </a:ln>
            <a:effectLst/>
          </c:spPr>
          <c:marker>
            <c:symbol val="none"/>
          </c:marker>
          <c:val>
            <c:numRef>
              <c:f>[2]Sheet1!$B$69:$AG$69</c:f>
              <c:numCache>
                <c:formatCode>General</c:formatCode>
                <c:ptCount val="32"/>
                <c:pt idx="0">
                  <c:v>141.9</c:v>
                </c:pt>
                <c:pt idx="1">
                  <c:v>148.30000000000001</c:v>
                </c:pt>
                <c:pt idx="2">
                  <c:v>148.5</c:v>
                </c:pt>
                <c:pt idx="3">
                  <c:v>151.92500000000001</c:v>
                </c:pt>
                <c:pt idx="4">
                  <c:v>162.82</c:v>
                </c:pt>
                <c:pt idx="5">
                  <c:v>158.30000000000001</c:v>
                </c:pt>
                <c:pt idx="6">
                  <c:v>169.2428571428571</c:v>
                </c:pt>
                <c:pt idx="7">
                  <c:v>193.83500000000001</c:v>
                </c:pt>
                <c:pt idx="8">
                  <c:v>179.92222222222222</c:v>
                </c:pt>
                <c:pt idx="9">
                  <c:v>180.43</c:v>
                </c:pt>
                <c:pt idx="10">
                  <c:v>183.39000000000001</c:v>
                </c:pt>
                <c:pt idx="11">
                  <c:v>188.94</c:v>
                </c:pt>
                <c:pt idx="12">
                  <c:v>188.07</c:v>
                </c:pt>
                <c:pt idx="13">
                  <c:v>188.48000000000002</c:v>
                </c:pt>
                <c:pt idx="14">
                  <c:v>194.05</c:v>
                </c:pt>
                <c:pt idx="15">
                  <c:v>198.76999999999998</c:v>
                </c:pt>
                <c:pt idx="16">
                  <c:v>196.53000000000003</c:v>
                </c:pt>
                <c:pt idx="17">
                  <c:v>195.38000000000002</c:v>
                </c:pt>
                <c:pt idx="18">
                  <c:v>195.73</c:v>
                </c:pt>
                <c:pt idx="19">
                  <c:v>225.97777777777779</c:v>
                </c:pt>
                <c:pt idx="20">
                  <c:v>256.87777777777779</c:v>
                </c:pt>
                <c:pt idx="21">
                  <c:v>245.65555555555551</c:v>
                </c:pt>
                <c:pt idx="22">
                  <c:v>190.61111111111111</c:v>
                </c:pt>
                <c:pt idx="23">
                  <c:v>168.26249999999999</c:v>
                </c:pt>
                <c:pt idx="24">
                  <c:v>151.25714285714284</c:v>
                </c:pt>
                <c:pt idx="25">
                  <c:v>151</c:v>
                </c:pt>
                <c:pt idx="26">
                  <c:v>154.91999999999999</c:v>
                </c:pt>
                <c:pt idx="27">
                  <c:v>158.85</c:v>
                </c:pt>
                <c:pt idx="28">
                  <c:v>162.69999999999999</c:v>
                </c:pt>
                <c:pt idx="29">
                  <c:v>171.23333333333335</c:v>
                </c:pt>
                <c:pt idx="30">
                  <c:v>184.6</c:v>
                </c:pt>
                <c:pt idx="31">
                  <c:v>180.5</c:v>
                </c:pt>
              </c:numCache>
            </c:numRef>
          </c:val>
          <c:smooth val="0"/>
          <c:extLst>
            <c:ext xmlns:c16="http://schemas.microsoft.com/office/drawing/2014/chart" uri="{C3380CC4-5D6E-409C-BE32-E72D297353CC}">
              <c16:uniqueId val="{00000000-7348-C64D-9341-5088CE44A817}"/>
            </c:ext>
          </c:extLst>
        </c:ser>
        <c:ser>
          <c:idx val="1"/>
          <c:order val="1"/>
          <c:tx>
            <c:strRef>
              <c:f>[2]Sheet1!$A$70</c:f>
              <c:strCache>
                <c:ptCount val="1"/>
                <c:pt idx="0">
                  <c:v>Max total</c:v>
                </c:pt>
              </c:strCache>
            </c:strRef>
          </c:tx>
          <c:spPr>
            <a:ln w="28575" cap="rnd">
              <a:solidFill>
                <a:schemeClr val="accent2"/>
              </a:solidFill>
              <a:round/>
            </a:ln>
            <a:effectLst/>
          </c:spPr>
          <c:marker>
            <c:symbol val="none"/>
          </c:marker>
          <c:val>
            <c:numRef>
              <c:f>[2]Sheet1!$B$71:$AG$71</c:f>
              <c:numCache>
                <c:formatCode>General</c:formatCode>
                <c:ptCount val="32"/>
                <c:pt idx="0">
                  <c:v>141.9</c:v>
                </c:pt>
                <c:pt idx="1">
                  <c:v>148.30000000000001</c:v>
                </c:pt>
                <c:pt idx="2">
                  <c:v>148.5</c:v>
                </c:pt>
                <c:pt idx="3">
                  <c:v>152</c:v>
                </c:pt>
                <c:pt idx="4">
                  <c:v>162.9</c:v>
                </c:pt>
                <c:pt idx="5">
                  <c:v>158.4</c:v>
                </c:pt>
                <c:pt idx="6">
                  <c:v>169.3</c:v>
                </c:pt>
                <c:pt idx="7">
                  <c:v>193.98</c:v>
                </c:pt>
                <c:pt idx="8">
                  <c:v>181.6</c:v>
                </c:pt>
                <c:pt idx="9">
                  <c:v>180.8</c:v>
                </c:pt>
                <c:pt idx="10">
                  <c:v>189</c:v>
                </c:pt>
                <c:pt idx="11">
                  <c:v>197.3</c:v>
                </c:pt>
                <c:pt idx="12">
                  <c:v>196</c:v>
                </c:pt>
                <c:pt idx="13">
                  <c:v>198.7</c:v>
                </c:pt>
                <c:pt idx="14">
                  <c:v>203.4</c:v>
                </c:pt>
                <c:pt idx="15">
                  <c:v>207.1</c:v>
                </c:pt>
                <c:pt idx="16">
                  <c:v>204.2</c:v>
                </c:pt>
                <c:pt idx="17">
                  <c:v>202</c:v>
                </c:pt>
                <c:pt idx="18">
                  <c:v>201.2</c:v>
                </c:pt>
                <c:pt idx="19">
                  <c:v>228.8</c:v>
                </c:pt>
                <c:pt idx="20">
                  <c:v>261.5</c:v>
                </c:pt>
                <c:pt idx="21">
                  <c:v>255.5</c:v>
                </c:pt>
                <c:pt idx="22">
                  <c:v>192.7</c:v>
                </c:pt>
                <c:pt idx="23">
                  <c:v>175</c:v>
                </c:pt>
                <c:pt idx="24">
                  <c:v>166.5</c:v>
                </c:pt>
                <c:pt idx="25">
                  <c:v>164.5</c:v>
                </c:pt>
                <c:pt idx="26">
                  <c:v>167.8</c:v>
                </c:pt>
                <c:pt idx="27">
                  <c:v>167.8</c:v>
                </c:pt>
                <c:pt idx="28">
                  <c:v>170.5</c:v>
                </c:pt>
                <c:pt idx="29">
                  <c:v>182.1</c:v>
                </c:pt>
                <c:pt idx="30">
                  <c:v>196.2</c:v>
                </c:pt>
                <c:pt idx="31">
                  <c:v>180.5</c:v>
                </c:pt>
              </c:numCache>
            </c:numRef>
          </c:val>
          <c:smooth val="0"/>
          <c:extLst>
            <c:ext xmlns:c16="http://schemas.microsoft.com/office/drawing/2014/chart" uri="{C3380CC4-5D6E-409C-BE32-E72D297353CC}">
              <c16:uniqueId val="{00000001-7348-C64D-9341-5088CE44A817}"/>
            </c:ext>
          </c:extLst>
        </c:ser>
        <c:dLbls>
          <c:showLegendKey val="0"/>
          <c:showVal val="0"/>
          <c:showCatName val="0"/>
          <c:showSerName val="0"/>
          <c:showPercent val="0"/>
          <c:showBubbleSize val="0"/>
        </c:dLbls>
        <c:smooth val="0"/>
        <c:axId val="662318752"/>
        <c:axId val="662047088"/>
      </c:lineChart>
      <c:catAx>
        <c:axId val="6623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047088"/>
        <c:crosses val="autoZero"/>
        <c:auto val="1"/>
        <c:lblAlgn val="ctr"/>
        <c:lblOffset val="100"/>
        <c:noMultiLvlLbl val="0"/>
      </c:catAx>
      <c:valAx>
        <c:axId val="66204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3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0</xdr:colOff>
      <xdr:row>86</xdr:row>
      <xdr:rowOff>0</xdr:rowOff>
    </xdr:from>
    <xdr:to>
      <xdr:col>23</xdr:col>
      <xdr:colOff>533400</xdr:colOff>
      <xdr:row>100</xdr:row>
      <xdr:rowOff>76200</xdr:rowOff>
    </xdr:to>
    <xdr:graphicFrame macro="">
      <xdr:nvGraphicFramePr>
        <xdr:cNvPr id="3" name="Chart 2">
          <a:extLst>
            <a:ext uri="{FF2B5EF4-FFF2-40B4-BE49-F238E27FC236}">
              <a16:creationId xmlns:a16="http://schemas.microsoft.com/office/drawing/2014/main" id="{6296167A-4490-CE4F-A274-5315865BF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hnryter/Dropbox%20(MIT)/Group%20Research%20Folder_Olivetti/Displacement/08%20Generalization/Demand/Silver%20demand%20-%20silver%20institu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68">
          <cell r="A68" t="str">
            <v>Mean total</v>
          </cell>
          <cell r="B68">
            <v>714.9</v>
          </cell>
          <cell r="C68">
            <v>728.65</v>
          </cell>
          <cell r="D68">
            <v>770.6</v>
          </cell>
          <cell r="E68">
            <v>765.55000000000007</v>
          </cell>
          <cell r="F68">
            <v>768.4799999999999</v>
          </cell>
          <cell r="G68">
            <v>811.65</v>
          </cell>
          <cell r="H68">
            <v>842.88571428571436</v>
          </cell>
          <cell r="I68">
            <v>827.72500000000002</v>
          </cell>
          <cell r="J68">
            <v>882.65555555555545</v>
          </cell>
          <cell r="K68">
            <v>929.14</v>
          </cell>
          <cell r="L68">
            <v>875.99999999999977</v>
          </cell>
          <cell r="M68">
            <v>860.32999999999993</v>
          </cell>
          <cell r="N68">
            <v>877.61</v>
          </cell>
          <cell r="O68">
            <v>875.17000000000007</v>
          </cell>
          <cell r="P68">
            <v>931.76</v>
          </cell>
          <cell r="Q68">
            <v>916.54</v>
          </cell>
          <cell r="R68">
            <v>895.96</v>
          </cell>
          <cell r="S68">
            <v>904.56000000000006</v>
          </cell>
          <cell r="T68">
            <v>916.38000000000011</v>
          </cell>
          <cell r="U68">
            <v>1072.2888888888888</v>
          </cell>
          <cell r="V68">
            <v>1041.9666666666665</v>
          </cell>
          <cell r="W68">
            <v>1005.7111111111111</v>
          </cell>
          <cell r="X68">
            <v>1014.3444444444444</v>
          </cell>
          <cell r="Y68">
            <v>1040.75</v>
          </cell>
          <cell r="Z68">
            <v>1052.257142857143</v>
          </cell>
          <cell r="AA68">
            <v>1002.4</v>
          </cell>
          <cell r="AB68">
            <v>981.24</v>
          </cell>
          <cell r="AC68">
            <v>989.52499999999986</v>
          </cell>
          <cell r="AD68">
            <v>989.06666666666661</v>
          </cell>
          <cell r="AE68">
            <v>913.16666666666663</v>
          </cell>
          <cell r="AF68">
            <v>1041</v>
          </cell>
          <cell r="AG68">
            <v>1101.8</v>
          </cell>
        </row>
        <row r="69">
          <cell r="B69">
            <v>141.9</v>
          </cell>
          <cell r="C69">
            <v>148.30000000000001</v>
          </cell>
          <cell r="D69">
            <v>148.5</v>
          </cell>
          <cell r="E69">
            <v>151.92500000000001</v>
          </cell>
          <cell r="F69">
            <v>162.82</v>
          </cell>
          <cell r="G69">
            <v>158.30000000000001</v>
          </cell>
          <cell r="H69">
            <v>169.2428571428571</v>
          </cell>
          <cell r="I69">
            <v>193.83500000000001</v>
          </cell>
          <cell r="J69">
            <v>179.92222222222222</v>
          </cell>
          <cell r="K69">
            <v>180.43</v>
          </cell>
          <cell r="L69">
            <v>183.39000000000001</v>
          </cell>
          <cell r="M69">
            <v>188.94</v>
          </cell>
          <cell r="N69">
            <v>188.07</v>
          </cell>
          <cell r="O69">
            <v>188.48000000000002</v>
          </cell>
          <cell r="P69">
            <v>194.05</v>
          </cell>
          <cell r="Q69">
            <v>198.76999999999998</v>
          </cell>
          <cell r="R69">
            <v>196.53000000000003</v>
          </cell>
          <cell r="S69">
            <v>195.38000000000002</v>
          </cell>
          <cell r="T69">
            <v>195.73</v>
          </cell>
          <cell r="U69">
            <v>225.97777777777779</v>
          </cell>
          <cell r="V69">
            <v>256.87777777777779</v>
          </cell>
          <cell r="W69">
            <v>245.65555555555551</v>
          </cell>
          <cell r="X69">
            <v>190.61111111111111</v>
          </cell>
          <cell r="Y69">
            <v>168.26249999999999</v>
          </cell>
          <cell r="Z69">
            <v>151.25714285714284</v>
          </cell>
          <cell r="AA69">
            <v>151</v>
          </cell>
          <cell r="AB69">
            <v>154.91999999999999</v>
          </cell>
          <cell r="AC69">
            <v>158.85</v>
          </cell>
          <cell r="AD69">
            <v>162.69999999999999</v>
          </cell>
          <cell r="AE69">
            <v>171.23333333333335</v>
          </cell>
          <cell r="AF69">
            <v>184.6</v>
          </cell>
          <cell r="AG69">
            <v>180.5</v>
          </cell>
        </row>
        <row r="70">
          <cell r="A70" t="str">
            <v>Max total</v>
          </cell>
          <cell r="B70">
            <v>714.9</v>
          </cell>
          <cell r="C70">
            <v>729.8</v>
          </cell>
          <cell r="D70">
            <v>771.6</v>
          </cell>
          <cell r="E70">
            <v>767.6</v>
          </cell>
          <cell r="F70">
            <v>769.6</v>
          </cell>
          <cell r="G70">
            <v>812.9</v>
          </cell>
          <cell r="H70">
            <v>845.1</v>
          </cell>
          <cell r="I70">
            <v>833.4</v>
          </cell>
          <cell r="J70">
            <v>887.2</v>
          </cell>
          <cell r="K70">
            <v>946.3</v>
          </cell>
          <cell r="L70">
            <v>886.1</v>
          </cell>
          <cell r="M70">
            <v>870.7</v>
          </cell>
          <cell r="N70">
            <v>889.8</v>
          </cell>
          <cell r="O70">
            <v>882.4</v>
          </cell>
          <cell r="P70">
            <v>955.1</v>
          </cell>
          <cell r="Q70">
            <v>926</v>
          </cell>
          <cell r="R70">
            <v>913</v>
          </cell>
          <cell r="S70">
            <v>915</v>
          </cell>
          <cell r="T70">
            <v>931.7</v>
          </cell>
          <cell r="U70">
            <v>1076.2</v>
          </cell>
          <cell r="V70">
            <v>1045.4000000000001</v>
          </cell>
          <cell r="W70">
            <v>1048.3</v>
          </cell>
          <cell r="X70">
            <v>1071.2</v>
          </cell>
          <cell r="Y70">
            <v>1061.8</v>
          </cell>
          <cell r="Z70">
            <v>1070.4000000000001</v>
          </cell>
          <cell r="AA70">
            <v>1025.8</v>
          </cell>
          <cell r="AB70">
            <v>1032.5999999999999</v>
          </cell>
          <cell r="AC70">
            <v>1004.3</v>
          </cell>
          <cell r="AD70">
            <v>995.4</v>
          </cell>
          <cell r="AE70">
            <v>963.4</v>
          </cell>
          <cell r="AF70">
            <v>1049</v>
          </cell>
          <cell r="AG70">
            <v>1101.8</v>
          </cell>
        </row>
        <row r="71">
          <cell r="B71">
            <v>141.9</v>
          </cell>
          <cell r="C71">
            <v>148.30000000000001</v>
          </cell>
          <cell r="D71">
            <v>148.5</v>
          </cell>
          <cell r="E71">
            <v>152</v>
          </cell>
          <cell r="F71">
            <v>162.9</v>
          </cell>
          <cell r="G71">
            <v>158.4</v>
          </cell>
          <cell r="H71">
            <v>169.3</v>
          </cell>
          <cell r="I71">
            <v>193.98</v>
          </cell>
          <cell r="J71">
            <v>181.6</v>
          </cell>
          <cell r="K71">
            <v>180.8</v>
          </cell>
          <cell r="L71">
            <v>189</v>
          </cell>
          <cell r="M71">
            <v>197.3</v>
          </cell>
          <cell r="N71">
            <v>196</v>
          </cell>
          <cell r="O71">
            <v>198.7</v>
          </cell>
          <cell r="P71">
            <v>203.4</v>
          </cell>
          <cell r="Q71">
            <v>207.1</v>
          </cell>
          <cell r="R71">
            <v>204.2</v>
          </cell>
          <cell r="S71">
            <v>202</v>
          </cell>
          <cell r="T71">
            <v>201.2</v>
          </cell>
          <cell r="U71">
            <v>228.8</v>
          </cell>
          <cell r="V71">
            <v>261.5</v>
          </cell>
          <cell r="W71">
            <v>255.5</v>
          </cell>
          <cell r="X71">
            <v>192.7</v>
          </cell>
          <cell r="Y71">
            <v>175</v>
          </cell>
          <cell r="Z71">
            <v>166.5</v>
          </cell>
          <cell r="AA71">
            <v>164.5</v>
          </cell>
          <cell r="AB71">
            <v>167.8</v>
          </cell>
          <cell r="AC71">
            <v>167.8</v>
          </cell>
          <cell r="AD71">
            <v>170.5</v>
          </cell>
          <cell r="AE71">
            <v>182.1</v>
          </cell>
          <cell r="AF71">
            <v>196.2</v>
          </cell>
          <cell r="AG71">
            <v>180.5</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2E5DA3-703D-0047-BF49-56E3494702E7}" name="Table2" displayName="Table2" ref="A1:AK74" totalsRowShown="0" headerRowDxfId="39" dataDxfId="38" tableBorderDxfId="37">
  <autoFilter ref="A1:AK74" xr:uid="{B92E5DA3-703D-0047-BF49-56E3494702E7}"/>
  <tableColumns count="37">
    <tableColumn id="1" xr3:uid="{40ADE3C0-5A2A-EF4F-8C0A-E78782D82E02}" name="All reported for 2019" dataDxfId="36"/>
    <tableColumn id="2" xr3:uid="{615A6B59-EBEC-C844-A1FB-87796630DC11}" name="Al" dataDxfId="35"/>
    <tableColumn id="3" xr3:uid="{8BEB2A1A-6045-C140-997C-34C452B1D3D0}" name="Steel" dataDxfId="34"/>
    <tableColumn id="4" xr3:uid="{5C86A66D-6EE9-B146-B55C-D8757F17B037}" name="Au" dataDxfId="33"/>
    <tableColumn id="5" xr3:uid="{A6078A25-9A0C-A64B-9EE1-BA43315A365F}" name="Co" dataDxfId="32"/>
    <tableColumn id="6" xr3:uid="{E0CEDA03-DC55-3B44-A7E5-0053003CDB10}" name="REEs" dataDxfId="31"/>
    <tableColumn id="7" xr3:uid="{5865B79F-C134-2C40-BDEB-BBEAD1CBA704}" name="W" dataDxfId="30"/>
    <tableColumn id="8" xr3:uid="{2C843D4E-B4BF-1B45-83BE-B63E46646133}" name="Sn" dataDxfId="29"/>
    <tableColumn id="9" xr3:uid="{A5579C27-C0E7-FB46-A381-F1A4B88888E9}" name="Ta" dataDxfId="28"/>
    <tableColumn id="10" xr3:uid="{57F0C03A-F849-764C-9937-672AC7FA7056}" name="Cu" dataDxfId="27"/>
    <tableColumn id="11" xr3:uid="{58BB8033-7C57-D848-942D-0BA35942A4E5}" name="Ni" dataDxfId="26"/>
    <tableColumn id="12" xr3:uid="{7D2E504B-DE0F-5048-8A9E-3349B8C91362}" name="Ag" dataDxfId="25"/>
    <tableColumn id="13" xr3:uid="{20ADECBC-5BD7-1F43-B665-1C03CE65BE68}" name="Zn" dataDxfId="24"/>
    <tableColumn id="14" xr3:uid="{F86548EA-FD6C-A542-8346-EE943D12FCEB}" name="Pb" dataDxfId="23"/>
    <tableColumn id="15" xr3:uid="{D9E7B89D-2742-EE4A-A97B-9AA324E90CDA}" name="Mo" dataDxfId="22"/>
    <tableColumn id="16" xr3:uid="{393A35BC-6237-DC47-B65B-B89C8241358C}" name="Pt" dataDxfId="21"/>
    <tableColumn id="17" xr3:uid="{05D2296D-799C-314E-8B01-0CF90882530E}" name="Te" dataDxfId="20"/>
    <tableColumn id="18" xr3:uid="{557B8136-A6CC-1240-B516-243DE5E1D903}" name="Li" dataDxfId="19"/>
    <tableColumn id="19" xr3:uid="{40279C4B-C46A-C043-BFA9-9E1B21916E95}" name="Module" dataDxfId="18"/>
    <tableColumn id="20" xr3:uid="{66B61934-2D32-564F-96D5-09E9629E5D56}" name="Notes" dataDxfId="17"/>
    <tableColumn id="21" xr3:uid="{645E4E69-6F50-804C-881D-880C834B0203}" name="Al notes" dataDxfId="16"/>
    <tableColumn id="22" xr3:uid="{90DD4288-CE4B-6044-A517-09272624FD8D}" name="Steel notes" dataDxfId="15"/>
    <tableColumn id="23" xr3:uid="{147C405E-F3EA-7A4A-B2B2-24BF3CD11D9B}" name="Au notes" dataDxfId="14"/>
    <tableColumn id="24" xr3:uid="{F16BEC0B-1427-144A-8799-B5F379A06D94}" name="Co notes" dataDxfId="13"/>
    <tableColumn id="25" xr3:uid="{DB7EFCEC-6DAF-134B-8C11-E0A0DB189656}" name="REEs notes" dataDxfId="12"/>
    <tableColumn id="26" xr3:uid="{D80FA022-D2D4-7E4F-8FC4-237080C65C3B}" name="W notes" dataDxfId="11"/>
    <tableColumn id="27" xr3:uid="{6F235120-4D08-EA44-8D0E-93E8DA46A412}" name="Sn notes" dataDxfId="10"/>
    <tableColumn id="28" xr3:uid="{E8A3ED14-7138-1747-937A-59AE67C88670}" name="Ta notes" dataDxfId="9"/>
    <tableColumn id="29" xr3:uid="{8414FDCB-8789-3140-BAD7-FF7E6B2D2B2E}" name="Cu notes" dataDxfId="8"/>
    <tableColumn id="30" xr3:uid="{528927B4-EB07-BA42-8453-4372AA6AA6F7}" name="Ni notes" dataDxfId="7"/>
    <tableColumn id="31" xr3:uid="{00A41D60-8D5D-4F46-AEA2-F8B47E88F804}" name="Ag notes" dataDxfId="6"/>
    <tableColumn id="32" xr3:uid="{CEFD473E-CB57-2D4E-AC03-EF8A9102460F}" name="Zn notes" dataDxfId="5"/>
    <tableColumn id="33" xr3:uid="{B9002D23-6D76-254D-AD25-D4D170F9ED6C}" name="Pb notes" dataDxfId="4"/>
    <tableColumn id="34" xr3:uid="{DBC52FBD-93CC-ED4B-9723-C7D95A6F9AAC}" name="Mo notes" dataDxfId="3"/>
    <tableColumn id="35" xr3:uid="{C7BCB0B4-C007-984B-B50C-A9B456069155}" name="Pt notes" dataDxfId="2"/>
    <tableColumn id="36" xr3:uid="{DE757BB8-09AD-9C43-9442-34299E449C4B}" name="Li notes" dataDxfId="1"/>
    <tableColumn id="37" xr3:uid="{5CC38546-ED90-B24C-83FB-87EE19E5E686}" name="Te 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26" Type="http://schemas.openxmlformats.org/officeDocument/2006/relationships/hyperlink" Target="https://www.sciencedirect.com/science/article/pii/S0048969718312373" TargetMode="External"/><Relationship Id="rId39" Type="http://schemas.openxmlformats.org/officeDocument/2006/relationships/hyperlink" Target="https://www.sciencedirect.com/science/article/pii/S0921344917301817,%20table%202" TargetMode="External"/><Relationship Id="rId21" Type="http://schemas.openxmlformats.org/officeDocument/2006/relationships/hyperlink" Target="https://www.sprott.com/media/2268/world-silver-survey-2019.pdf,%20using%20this%20sector%20as%20industrial;%20renamed%20as%20per%20gold" TargetMode="External"/><Relationship Id="rId34" Type="http://schemas.openxmlformats.org/officeDocument/2006/relationships/hyperlink" Target="https://www.sciencedirect.com/science/article/pii/S0921344917301817,%20table%202" TargetMode="External"/><Relationship Id="rId42"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7" Type="http://schemas.openxmlformats.org/officeDocument/2006/relationships/hyperlink" Target="https://www.sciencedirect.com/science/article/pii/S0921344916300064,%20table%201%20,%20The%20anthropogenic%20cycle%20of%20zinc:%20Status%20quo%20and%20perspectives,%20Meylan%202017" TargetMode="External"/><Relationship Id="rId50" Type="http://schemas.openxmlformats.org/officeDocument/2006/relationships/hyperlink" Target="https://www.sciencedirect.com/science/article/pii/S0921344916300064,%20table%201%20,%20The%20anthropogenic%20cycle%20of%20zinc:%20Status%20quo%20and%20perspectives,%20Meylan%202017" TargetMode="External"/><Relationship Id="rId7" Type="http://schemas.openxmlformats.org/officeDocument/2006/relationships/hyperlink" Target="https://www.statista.com/statistics/1009446/tungsten-price/"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9" Type="http://schemas.openxmlformats.org/officeDocument/2006/relationships/hyperlink" Target="https://www.essentialchemicalindustry.org/metals/lead.html,%20where%20batteries%20are%20primarily%20used%20in%20transportation,%20we%20assume%20compounds%20are%20industrial,%20no%20electrical%20use,%20building%20industry%20is%20construction,%20and%20all%20the%20rest%20is%20other" TargetMode="External"/><Relationship Id="rId11" Type="http://schemas.openxmlformats.org/officeDocument/2006/relationships/hyperlink" Target="https://www.argusmedia.com/en/news/2222244-eu-tantalum-prices-rebound-on-higher-input-costs" TargetMode="External"/><Relationship Id="rId24" Type="http://schemas.openxmlformats.org/officeDocument/2006/relationships/hyperlink" Target="https://www.sciencedirect.com/science/article/pii/S0048969718312373" TargetMode="External"/><Relationship Id="rId32" Type="http://schemas.openxmlformats.org/officeDocument/2006/relationships/hyperlink" Target="https://www.sciencedirect.com/science/article/pii/S0921344917301817,%20table%202" TargetMode="External"/><Relationship Id="rId37" Type="http://schemas.openxmlformats.org/officeDocument/2006/relationships/hyperlink" Target="https://www.sciencedirect.com/science/article/pii/S0921344917301817,%20table%202" TargetMode="External"/><Relationship Id="rId40" Type="http://schemas.openxmlformats.org/officeDocument/2006/relationships/hyperlink" Target="https://www.sciencedirect.com/science/article/pii/S0921344917301817,%20table%202" TargetMode="External"/><Relationship Id="rId45"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 Type="http://schemas.openxmlformats.org/officeDocument/2006/relationships/hyperlink" Target="https://www.sciencedirect.com/science/article/pii/S0263436821000780" TargetMode="External"/><Relationship Id="rId15" Type="http://schemas.openxmlformats.org/officeDocument/2006/relationships/hyperlink" Target="https://www.scrapmonster.com/scrap-yard/price/lead-scrap/5%20%20%20%20%20%20/0.39%20dollars%20per%20pound" TargetMode="External"/><Relationship Id="rId23" Type="http://schemas.openxmlformats.org/officeDocument/2006/relationships/hyperlink" Target="https://www.sciencedirect.com/science/article/pii/S0921344917301817" TargetMode="External"/><Relationship Id="rId28" Type="http://schemas.openxmlformats.org/officeDocument/2006/relationships/hyperlink" Target="https://www.sciencedirect.com/science/article/pii/S0048969718312373" TargetMode="External"/><Relationship Id="rId36" Type="http://schemas.openxmlformats.org/officeDocument/2006/relationships/hyperlink" Target="https://www.sciencedirect.com/science/article/pii/S0921344917301817,%20table%202" TargetMode="External"/><Relationship Id="rId49" Type="http://schemas.openxmlformats.org/officeDocument/2006/relationships/hyperlink" Target="https://www.sciencedirect.com/science/article/pii/S0921344916300064,%20table%201%20,%20The%20anthropogenic%20cycle%20of%20zinc:%20Status%20quo%20and%20perspectives,%20Meylan%202017" TargetMode="External"/><Relationship Id="rId10" Type="http://schemas.openxmlformats.org/officeDocument/2006/relationships/hyperlink" Target="https://www.argusmedia.com/en/news/2222244-eu-tantalum-prices-rebound-on-higher-input-costs,%20reported%20135%20USD/lb"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31" Type="http://schemas.openxmlformats.org/officeDocument/2006/relationships/hyperlink" Target="https://www.sciencedirect.com/science/article/pii/S0921344916300064,%20table%201%20,%20The%20anthropogenic%20cycle%20of%20zinc:%20Status%20quo%20and%20perspectives,%20Meylan%202017" TargetMode="External"/><Relationship Id="rId44"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2" Type="http://schemas.openxmlformats.org/officeDocument/2006/relationships/table" Target="../tables/table1.xml"/><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4" Type="http://schemas.openxmlformats.org/officeDocument/2006/relationships/hyperlink" Target="https://www.forbes.com/sites/halahtouryalai/2012/04/02/a-rare-metal-youve-never-heard-of-is-on-a-tear/?sh=51bf93b2290d" TargetMode="External"/><Relationship Id="rId22" Type="http://schemas.openxmlformats.org/officeDocument/2006/relationships/hyperlink" Target="https://www.sciencedirect.com/science/article/pii/S0921344916300064,%20table%201%20,%20The%20anthropogenic%20cycle%20of%20zinc:%20Status%20quo%20and%20perspectives,%20Meylan%202017" TargetMode="External"/><Relationship Id="rId27" Type="http://schemas.openxmlformats.org/officeDocument/2006/relationships/hyperlink" Target="https://www.sciencedirect.com/science/article/pii/S0048969718312373" TargetMode="External"/><Relationship Id="rId30" Type="http://schemas.openxmlformats.org/officeDocument/2006/relationships/hyperlink" Target="https://www.recyclingtoday.com/article/battery-council-international-lead-battery-recycling/" TargetMode="External"/><Relationship Id="rId35" Type="http://schemas.openxmlformats.org/officeDocument/2006/relationships/hyperlink" Target="https://www.sciencedirect.com/science/article/pii/S0921344917301817,%20table%202" TargetMode="External"/><Relationship Id="rId43"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8" Type="http://schemas.openxmlformats.org/officeDocument/2006/relationships/hyperlink" Target="https://www.sciencedirect.com/science/article/pii/S0921344916300064,%20table%201%20,%20The%20anthropogenic%20cycle%20of%20zinc:%20Status%20quo%20and%20perspectives,%20Meylan%202017" TargetMode="External"/><Relationship Id="rId8" Type="http://schemas.openxmlformats.org/officeDocument/2006/relationships/hyperlink" Target="https://pubs.usgs.gov/periodicals/mcs2020/mcs2020-tin.pdf" TargetMode="External"/><Relationship Id="rId51" Type="http://schemas.openxmlformats.org/officeDocument/2006/relationships/printerSettings" Target="../printerSettings/printerSettings1.bin"/><Relationship Id="rId3" Type="http://schemas.openxmlformats.org/officeDocument/2006/relationships/hyperlink" Target="https://www.electronicsweekly.com/news/now-alternative-solid-tantalum-capacitors-2017-03/"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5" Type="http://schemas.openxmlformats.org/officeDocument/2006/relationships/hyperlink" Target="https://www.sciencedirect.com/science/article/pii/S0048969718312373" TargetMode="External"/><Relationship Id="rId33" Type="http://schemas.openxmlformats.org/officeDocument/2006/relationships/hyperlink" Target="https://www.sciencedirect.com/science/article/pii/S0921344917301817,%20table%202" TargetMode="External"/><Relationship Id="rId38" Type="http://schemas.openxmlformats.org/officeDocument/2006/relationships/hyperlink" Target="https://www.sciencedirect.com/science/article/pii/S0921344917301817,%20table%202" TargetMode="External"/><Relationship Id="rId46"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20" Type="http://schemas.openxmlformats.org/officeDocument/2006/relationships/hyperlink" Target="https://www.statista.com/statistics/1131647/china-refined-lead-consumption-volume/,%205.08/12.162" TargetMode="External"/><Relationship Id="rId41" Type="http://schemas.openxmlformats.org/officeDocument/2006/relationships/hyperlink" Target="https://www.sciencedirect.com/science/article/pii/S0921344917301817,%20table%202" TargetMode="External"/><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hyperlink" Target="https://insg.org/wp-content/uploads/2022/02/publist_The-World-Nickel-Factbook-2021.pdf" TargetMode="External"/><Relationship Id="rId1" Type="http://schemas.openxmlformats.org/officeDocument/2006/relationships/hyperlink" Target="https://insg.org/wp-content/uploads/2022/02/publist_The-World-Nickel-Factbook-20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K94"/>
  <sheetViews>
    <sheetView tabSelected="1" workbookViewId="0">
      <pane ySplit="1" topLeftCell="A2" activePane="bottomLeft" state="frozen"/>
      <selection pane="bottomLeft" activeCell="G19" sqref="G19"/>
    </sheetView>
  </sheetViews>
  <sheetFormatPr baseColWidth="10" defaultColWidth="8.83203125" defaultRowHeight="15"/>
  <cols>
    <col min="1" max="1" width="47.1640625" bestFit="1" customWidth="1"/>
    <col min="2" max="18" width="8.83203125" customWidth="1"/>
    <col min="19" max="19" width="9.6640625" customWidth="1"/>
    <col min="20" max="20" width="8.83203125" customWidth="1"/>
    <col min="21" max="21" width="9.83203125" customWidth="1"/>
    <col min="22" max="22" width="12.1640625" customWidth="1"/>
    <col min="23" max="23" width="10.33203125" customWidth="1"/>
    <col min="24" max="24" width="10.1640625" customWidth="1"/>
    <col min="25" max="25" width="11.5" customWidth="1"/>
    <col min="26" max="26" width="9.83203125" customWidth="1"/>
    <col min="27" max="27" width="10" customWidth="1"/>
    <col min="28" max="28" width="9.83203125" customWidth="1"/>
    <col min="29" max="29" width="10.1640625" customWidth="1"/>
    <col min="30" max="30" width="9.83203125" customWidth="1"/>
    <col min="31" max="31" width="10.1640625" customWidth="1"/>
    <col min="32" max="32" width="10" customWidth="1"/>
    <col min="33" max="33" width="10.1640625" customWidth="1"/>
    <col min="34" max="34" width="10.83203125" customWidth="1"/>
    <col min="35" max="35" width="9.83203125" customWidth="1"/>
    <col min="36" max="36" width="9.5" customWidth="1"/>
    <col min="37" max="37" width="10" customWidth="1"/>
  </cols>
  <sheetData>
    <row r="1" spans="1:37" s="35" customFormat="1" ht="34" customHeight="1">
      <c r="A1" s="35" t="s">
        <v>96</v>
      </c>
      <c r="B1" s="35" t="s">
        <v>0</v>
      </c>
      <c r="C1" s="35" t="s">
        <v>1</v>
      </c>
      <c r="D1" s="35" t="s">
        <v>2</v>
      </c>
      <c r="E1" s="35" t="s">
        <v>3</v>
      </c>
      <c r="F1" s="35" t="s">
        <v>4</v>
      </c>
      <c r="G1" s="35" t="s">
        <v>5</v>
      </c>
      <c r="H1" s="35" t="s">
        <v>6</v>
      </c>
      <c r="I1" s="35" t="s">
        <v>7</v>
      </c>
      <c r="J1" s="35" t="s">
        <v>8</v>
      </c>
      <c r="K1" s="35" t="s">
        <v>113</v>
      </c>
      <c r="L1" s="35" t="s">
        <v>115</v>
      </c>
      <c r="M1" s="35" t="s">
        <v>116</v>
      </c>
      <c r="N1" s="35" t="s">
        <v>114</v>
      </c>
      <c r="O1" s="35" t="s">
        <v>122</v>
      </c>
      <c r="P1" s="35" t="s">
        <v>94</v>
      </c>
      <c r="Q1" s="36" t="s">
        <v>318</v>
      </c>
      <c r="R1" s="35" t="s">
        <v>95</v>
      </c>
      <c r="S1" s="35" t="s">
        <v>23</v>
      </c>
      <c r="T1" s="37" t="s">
        <v>12</v>
      </c>
      <c r="U1" s="35" t="s">
        <v>79</v>
      </c>
      <c r="V1" s="35" t="s">
        <v>80</v>
      </c>
      <c r="W1" s="35" t="s">
        <v>81</v>
      </c>
      <c r="X1" s="35" t="s">
        <v>82</v>
      </c>
      <c r="Y1" s="35" t="s">
        <v>83</v>
      </c>
      <c r="Z1" s="35" t="s">
        <v>84</v>
      </c>
      <c r="AA1" s="35" t="s">
        <v>85</v>
      </c>
      <c r="AB1" s="35" t="s">
        <v>86</v>
      </c>
      <c r="AC1" s="35" t="s">
        <v>87</v>
      </c>
      <c r="AD1" s="35" t="s">
        <v>117</v>
      </c>
      <c r="AE1" s="35" t="s">
        <v>118</v>
      </c>
      <c r="AF1" s="35" t="s">
        <v>119</v>
      </c>
      <c r="AG1" s="35" t="s">
        <v>120</v>
      </c>
      <c r="AH1" s="35" t="s">
        <v>121</v>
      </c>
      <c r="AI1" s="35" t="s">
        <v>108</v>
      </c>
      <c r="AJ1" s="35" t="s">
        <v>109</v>
      </c>
      <c r="AK1" s="35" t="s">
        <v>319</v>
      </c>
    </row>
    <row r="2" spans="1:37" ht="14.5" customHeight="1">
      <c r="A2" s="6" t="s">
        <v>9</v>
      </c>
      <c r="B2" s="6" t="s">
        <v>10</v>
      </c>
      <c r="C2" s="6" t="s">
        <v>10</v>
      </c>
      <c r="D2" s="6" t="s">
        <v>10</v>
      </c>
      <c r="E2" s="6" t="s">
        <v>148</v>
      </c>
      <c r="F2" s="6" t="s">
        <v>11</v>
      </c>
      <c r="G2" s="6" t="s">
        <v>10</v>
      </c>
      <c r="H2" s="6" t="s">
        <v>10</v>
      </c>
      <c r="I2" s="6" t="s">
        <v>149</v>
      </c>
      <c r="J2" s="6" t="s">
        <v>10</v>
      </c>
      <c r="K2" s="6" t="s">
        <v>10</v>
      </c>
      <c r="L2" s="6"/>
      <c r="M2" s="6"/>
      <c r="N2" s="6"/>
      <c r="O2" s="6"/>
      <c r="P2" s="6" t="s">
        <v>10</v>
      </c>
      <c r="Q2" s="18"/>
      <c r="R2" s="6" t="s">
        <v>10</v>
      </c>
      <c r="S2" s="6"/>
      <c r="T2" s="7" t="s">
        <v>13</v>
      </c>
      <c r="U2" s="7"/>
      <c r="V2" s="7"/>
      <c r="W2" s="7" t="s">
        <v>147</v>
      </c>
      <c r="X2" s="7"/>
      <c r="Y2" s="7"/>
      <c r="Z2" s="7"/>
      <c r="AA2" s="7"/>
      <c r="AB2" s="7"/>
      <c r="AC2" s="7"/>
      <c r="AD2" s="7"/>
      <c r="AE2" s="7"/>
      <c r="AF2" s="7"/>
      <c r="AG2" s="7"/>
      <c r="AH2" s="7"/>
      <c r="AI2" s="7"/>
      <c r="AJ2" s="7"/>
      <c r="AK2" s="7"/>
    </row>
    <row r="3" spans="1:37" ht="14.5" customHeight="1">
      <c r="A3" s="8" t="s">
        <v>17</v>
      </c>
      <c r="B3" s="8">
        <v>99671</v>
      </c>
      <c r="C3" s="8">
        <v>1767000</v>
      </c>
      <c r="D3" s="8">
        <v>4.3593999999999999</v>
      </c>
      <c r="E3" s="8"/>
      <c r="F3" s="8"/>
      <c r="G3" s="8">
        <v>97.8</v>
      </c>
      <c r="H3">
        <v>371.81700000000001</v>
      </c>
      <c r="I3" s="8">
        <v>2.4049999999999998</v>
      </c>
      <c r="J3" s="19">
        <v>23600</v>
      </c>
      <c r="K3">
        <v>3226.8622280817385</v>
      </c>
      <c r="L3" s="8">
        <v>26.7</v>
      </c>
      <c r="M3">
        <v>17448.642054092597</v>
      </c>
      <c r="N3">
        <v>12244</v>
      </c>
      <c r="O3" s="8">
        <v>261.40530000000001</v>
      </c>
      <c r="P3" s="8">
        <v>0.18</v>
      </c>
      <c r="Q3" s="20">
        <v>0.52</v>
      </c>
      <c r="R3" s="8">
        <v>298.08800000000002</v>
      </c>
      <c r="S3" s="8" t="s">
        <v>24</v>
      </c>
      <c r="T3" s="9" t="s">
        <v>18</v>
      </c>
      <c r="U3" s="9" t="s">
        <v>165</v>
      </c>
      <c r="V3" s="9" t="s">
        <v>134</v>
      </c>
      <c r="W3" s="9"/>
      <c r="X3" s="9"/>
      <c r="Y3" s="9"/>
      <c r="Z3" s="21" t="s">
        <v>206</v>
      </c>
      <c r="AA3" s="9" t="s">
        <v>207</v>
      </c>
      <c r="AB3" s="21" t="s">
        <v>208</v>
      </c>
      <c r="AC3" s="9"/>
      <c r="AD3" s="9" t="s">
        <v>209</v>
      </c>
      <c r="AE3" s="21" t="s">
        <v>210</v>
      </c>
      <c r="AF3" s="9" t="s">
        <v>211</v>
      </c>
      <c r="AG3" s="9" t="s">
        <v>212</v>
      </c>
      <c r="AH3" s="9" t="s">
        <v>213</v>
      </c>
      <c r="AI3" s="9" t="s">
        <v>214</v>
      </c>
      <c r="AJ3" s="9"/>
      <c r="AK3" s="9"/>
    </row>
    <row r="4" spans="1:37" ht="14.5" customHeight="1">
      <c r="A4" s="6" t="s">
        <v>19</v>
      </c>
      <c r="B4" s="6"/>
      <c r="C4" s="6"/>
      <c r="D4" s="6"/>
      <c r="E4" s="6"/>
      <c r="F4" s="6"/>
      <c r="G4" s="6"/>
      <c r="H4" s="6"/>
      <c r="I4" s="6"/>
      <c r="J4" s="6">
        <v>2.5399999999999999E-2</v>
      </c>
      <c r="K4" s="6"/>
      <c r="L4" s="6"/>
      <c r="M4" s="6"/>
      <c r="N4" s="6"/>
      <c r="O4" s="6"/>
      <c r="P4" s="6"/>
      <c r="Q4" s="18">
        <v>1</v>
      </c>
      <c r="R4" s="6"/>
      <c r="S4" s="6" t="s">
        <v>24</v>
      </c>
      <c r="T4" s="7" t="s">
        <v>20</v>
      </c>
      <c r="U4" s="7"/>
      <c r="V4" s="7"/>
      <c r="W4" s="7"/>
      <c r="X4" s="7"/>
      <c r="Y4" s="7"/>
      <c r="Z4" s="7"/>
      <c r="AA4" s="7"/>
      <c r="AB4" s="7"/>
      <c r="AC4" s="7"/>
      <c r="AD4" s="7"/>
      <c r="AE4" s="7"/>
      <c r="AF4" s="7"/>
      <c r="AG4" s="7"/>
      <c r="AH4" s="7"/>
      <c r="AI4" s="7"/>
      <c r="AJ4" s="7"/>
      <c r="AK4" s="7"/>
    </row>
    <row r="5" spans="1:37" ht="14.5" customHeight="1">
      <c r="A5" s="8" t="s">
        <v>22</v>
      </c>
      <c r="B5" s="8">
        <v>0.04</v>
      </c>
      <c r="C5" s="8">
        <v>3.3765999999999997E-2</v>
      </c>
      <c r="D5" s="8">
        <v>1.7332E-2</v>
      </c>
      <c r="E5" s="8"/>
      <c r="F5" s="8"/>
      <c r="G5" s="8">
        <v>0.08</v>
      </c>
      <c r="H5" s="8">
        <v>0.02</v>
      </c>
      <c r="I5" s="8">
        <v>7.2999999999999995E-2</v>
      </c>
      <c r="J5" s="8">
        <v>0.03</v>
      </c>
      <c r="K5" s="8">
        <v>0.06</v>
      </c>
      <c r="L5" s="8">
        <v>2.4E-2</v>
      </c>
      <c r="M5" s="8">
        <v>2.8000000000000001E-2</v>
      </c>
      <c r="N5" s="8">
        <v>7.4999999999999997E-2</v>
      </c>
      <c r="O5" s="8">
        <v>0.05</v>
      </c>
      <c r="P5" s="8">
        <v>1.4999999999999999E-2</v>
      </c>
      <c r="Q5" s="20">
        <v>0.08</v>
      </c>
      <c r="R5" s="8"/>
      <c r="S5" s="8" t="s">
        <v>24</v>
      </c>
      <c r="T5" s="9" t="s">
        <v>21</v>
      </c>
      <c r="U5" s="9" t="s">
        <v>215</v>
      </c>
      <c r="V5" s="9" t="s">
        <v>133</v>
      </c>
      <c r="W5" s="9" t="s">
        <v>326</v>
      </c>
      <c r="X5" s="9"/>
      <c r="Y5" s="9"/>
      <c r="Z5" s="9" t="s">
        <v>216</v>
      </c>
      <c r="AA5" s="21" t="s">
        <v>217</v>
      </c>
      <c r="AB5" s="9" t="s">
        <v>218</v>
      </c>
      <c r="AC5" s="9"/>
      <c r="AD5" s="9" t="s">
        <v>219</v>
      </c>
      <c r="AE5" s="9" t="s">
        <v>220</v>
      </c>
      <c r="AF5" s="43" t="s">
        <v>353</v>
      </c>
      <c r="AG5" s="9" t="s">
        <v>221</v>
      </c>
      <c r="AH5" s="9" t="s">
        <v>222</v>
      </c>
      <c r="AI5" s="9" t="s">
        <v>223</v>
      </c>
      <c r="AJ5" s="9"/>
      <c r="AK5" s="9"/>
    </row>
    <row r="6" spans="1:37" ht="14.5" customHeight="1">
      <c r="A6" s="6" t="s">
        <v>25</v>
      </c>
      <c r="B6" s="6">
        <v>0.45100000000000001</v>
      </c>
      <c r="C6" s="6">
        <v>0.51300000000000001</v>
      </c>
      <c r="D6" s="6">
        <v>0.41267999999999999</v>
      </c>
      <c r="E6" s="6"/>
      <c r="F6" s="6"/>
      <c r="G6" s="6">
        <v>0.6</v>
      </c>
      <c r="H6" s="6">
        <v>0.56000000000000005</v>
      </c>
      <c r="I6" s="6"/>
      <c r="J6" s="6">
        <v>0.52644999999999997</v>
      </c>
      <c r="K6" s="6">
        <v>0.53</v>
      </c>
      <c r="L6" s="6">
        <v>0.17499999999999999</v>
      </c>
      <c r="M6" s="6">
        <v>0.48980000000000001</v>
      </c>
      <c r="N6" s="6">
        <f>5.08/12.162</f>
        <v>0.41769445814833084</v>
      </c>
      <c r="O6" s="6">
        <v>0.35589999999999999</v>
      </c>
      <c r="P6" s="6">
        <v>0.26</v>
      </c>
      <c r="Q6" s="18">
        <v>0.625</v>
      </c>
      <c r="R6" s="6">
        <v>0</v>
      </c>
      <c r="S6" s="6" t="s">
        <v>24</v>
      </c>
      <c r="T6" s="7"/>
      <c r="U6" s="7" t="s">
        <v>162</v>
      </c>
      <c r="V6" s="7" t="s">
        <v>132</v>
      </c>
      <c r="W6" s="7" t="s">
        <v>152</v>
      </c>
      <c r="X6" s="7"/>
      <c r="Y6" s="7"/>
      <c r="Z6" s="7" t="s">
        <v>224</v>
      </c>
      <c r="AA6" s="7" t="s">
        <v>225</v>
      </c>
      <c r="AB6" s="7" t="s">
        <v>226</v>
      </c>
      <c r="AC6" s="7" t="s">
        <v>78</v>
      </c>
      <c r="AD6" s="7" t="s">
        <v>227</v>
      </c>
      <c r="AE6" s="7" t="s">
        <v>354</v>
      </c>
      <c r="AF6" s="7" t="s">
        <v>228</v>
      </c>
      <c r="AG6" s="42" t="s">
        <v>343</v>
      </c>
      <c r="AH6" s="7" t="s">
        <v>229</v>
      </c>
      <c r="AI6" s="43" t="s">
        <v>351</v>
      </c>
      <c r="AJ6" s="7"/>
      <c r="AK6" s="43" t="s">
        <v>352</v>
      </c>
    </row>
    <row r="7" spans="1:37" ht="14.5" customHeight="1">
      <c r="A7" s="8" t="s">
        <v>26</v>
      </c>
      <c r="B7" s="8">
        <v>0.251</v>
      </c>
      <c r="C7" s="8">
        <v>0.52</v>
      </c>
      <c r="D7" s="14">
        <v>9.9999999999999995E-7</v>
      </c>
      <c r="E7" s="8"/>
      <c r="F7" s="8"/>
      <c r="G7" s="8">
        <v>0.65</v>
      </c>
      <c r="H7">
        <f>1-SUM(H8:H11)</f>
        <v>0.19100000000000006</v>
      </c>
      <c r="I7" s="8">
        <f>14.5/100</f>
        <v>0.14499999999999999</v>
      </c>
      <c r="J7" s="8">
        <v>0.3</v>
      </c>
      <c r="K7" s="6">
        <v>0.17605633802816922</v>
      </c>
      <c r="L7" s="8">
        <f>(578.6/1033.5)-0.000001</f>
        <v>0.55984418626028054</v>
      </c>
      <c r="M7" s="8">
        <v>0.33</v>
      </c>
      <c r="N7" s="8">
        <v>0.05</v>
      </c>
      <c r="O7" s="8">
        <v>0.71</v>
      </c>
      <c r="P7" s="8">
        <v>0.06</v>
      </c>
      <c r="Q7" s="20">
        <v>0.4</v>
      </c>
      <c r="R7" s="8">
        <v>0.14000000000000001</v>
      </c>
      <c r="S7" s="8" t="s">
        <v>24</v>
      </c>
      <c r="T7" s="9"/>
      <c r="U7" s="9" t="s">
        <v>163</v>
      </c>
      <c r="V7" s="9" t="s">
        <v>132</v>
      </c>
      <c r="W7" s="9" t="s">
        <v>142</v>
      </c>
      <c r="X7" s="9"/>
      <c r="Y7" s="9"/>
      <c r="Z7" s="9" t="s">
        <v>230</v>
      </c>
      <c r="AA7" s="1" t="s">
        <v>370</v>
      </c>
      <c r="AB7" s="9" t="s">
        <v>231</v>
      </c>
      <c r="AC7" s="9" t="s">
        <v>78</v>
      </c>
      <c r="AD7" s="1" t="s">
        <v>358</v>
      </c>
      <c r="AE7" s="45" t="s">
        <v>372</v>
      </c>
      <c r="AF7" s="45" t="s">
        <v>357</v>
      </c>
      <c r="AG7" s="45" t="s">
        <v>373</v>
      </c>
      <c r="AH7" s="9" t="s">
        <v>229</v>
      </c>
      <c r="AI7" s="9" t="s">
        <v>214</v>
      </c>
      <c r="AJ7" s="9"/>
      <c r="AK7" s="9" t="s">
        <v>233</v>
      </c>
    </row>
    <row r="8" spans="1:37" ht="14.5" customHeight="1">
      <c r="A8" s="6" t="s">
        <v>27</v>
      </c>
      <c r="B8" s="6">
        <v>0.11899999999999999</v>
      </c>
      <c r="C8" s="6">
        <v>0.03</v>
      </c>
      <c r="D8" s="6">
        <v>0.09</v>
      </c>
      <c r="E8" s="6"/>
      <c r="F8" s="6"/>
      <c r="G8" s="6">
        <v>0.1</v>
      </c>
      <c r="H8">
        <f>(48.3/2+1+5.2/2)/100</f>
        <v>0.27750000000000002</v>
      </c>
      <c r="I8" s="6">
        <v>0.191</v>
      </c>
      <c r="J8" s="6">
        <v>0.24</v>
      </c>
      <c r="K8" s="6">
        <v>0.12103873239436645</v>
      </c>
      <c r="L8" s="15">
        <v>9.9999999999999995E-7</v>
      </c>
      <c r="M8" s="6">
        <v>0.19</v>
      </c>
      <c r="N8" s="15">
        <v>9.9999999999999995E-7</v>
      </c>
      <c r="O8" s="6">
        <v>0.05</v>
      </c>
      <c r="P8" s="6">
        <v>0.03</v>
      </c>
      <c r="Q8" s="18">
        <v>0.15</v>
      </c>
      <c r="R8" s="6">
        <v>0.05</v>
      </c>
      <c r="S8" s="6" t="s">
        <v>24</v>
      </c>
      <c r="T8" s="7"/>
      <c r="U8" s="7" t="s">
        <v>163</v>
      </c>
      <c r="V8" s="7" t="s">
        <v>132</v>
      </c>
      <c r="W8" s="7" t="s">
        <v>143</v>
      </c>
      <c r="X8" s="7"/>
      <c r="Y8" s="7"/>
      <c r="Z8" s="7" t="s">
        <v>234</v>
      </c>
      <c r="AA8" s="1" t="s">
        <v>370</v>
      </c>
      <c r="AB8" s="7" t="s">
        <v>235</v>
      </c>
      <c r="AC8" s="7" t="s">
        <v>78</v>
      </c>
      <c r="AD8" s="7"/>
      <c r="AE8" s="7"/>
      <c r="AF8" s="7"/>
      <c r="AG8" s="7"/>
      <c r="AH8" s="7" t="s">
        <v>237</v>
      </c>
      <c r="AI8" s="7"/>
      <c r="AJ8" s="7"/>
      <c r="AK8" s="7"/>
    </row>
    <row r="9" spans="1:37" ht="14.5" customHeight="1">
      <c r="A9" s="8" t="s">
        <v>28</v>
      </c>
      <c r="B9" s="8">
        <v>0.11899999999999999</v>
      </c>
      <c r="C9" s="8">
        <v>0.26</v>
      </c>
      <c r="D9" s="8">
        <v>0.27</v>
      </c>
      <c r="E9" s="8"/>
      <c r="F9" s="8"/>
      <c r="G9" s="8">
        <v>0.08</v>
      </c>
      <c r="H9">
        <f>48.3/2/100</f>
        <v>0.24149999999999999</v>
      </c>
      <c r="I9" s="8">
        <v>0.25919999999999999</v>
      </c>
      <c r="J9" s="8">
        <v>0.1</v>
      </c>
      <c r="K9" s="6">
        <v>0.30589788732394352</v>
      </c>
      <c r="L9" s="8">
        <f>181.2/1033.5</f>
        <v>0.1753265602322206</v>
      </c>
      <c r="M9" s="8">
        <v>0.08</v>
      </c>
      <c r="N9" s="22">
        <v>0.09</v>
      </c>
      <c r="O9" s="8">
        <v>0.08</v>
      </c>
      <c r="P9" s="8">
        <v>0.39</v>
      </c>
      <c r="Q9" s="20">
        <v>0.2</v>
      </c>
      <c r="R9" s="8">
        <v>0</v>
      </c>
      <c r="S9" s="8" t="s">
        <v>24</v>
      </c>
      <c r="T9" s="9"/>
      <c r="U9" s="9" t="s">
        <v>163</v>
      </c>
      <c r="V9" s="9" t="s">
        <v>132</v>
      </c>
      <c r="W9" s="9" t="s">
        <v>144</v>
      </c>
      <c r="X9" s="9"/>
      <c r="Y9" s="9"/>
      <c r="Z9" s="9" t="s">
        <v>238</v>
      </c>
      <c r="AA9" s="1" t="s">
        <v>370</v>
      </c>
      <c r="AB9" s="9" t="s">
        <v>239</v>
      </c>
      <c r="AC9" s="9" t="s">
        <v>78</v>
      </c>
      <c r="AD9" s="9"/>
      <c r="AE9" s="9" t="s">
        <v>355</v>
      </c>
      <c r="AF9" s="9"/>
      <c r="AG9" s="9"/>
      <c r="AH9" s="9" t="s">
        <v>241</v>
      </c>
      <c r="AI9" s="9"/>
      <c r="AJ9" s="9"/>
      <c r="AK9" s="9"/>
    </row>
    <row r="10" spans="1:37" ht="14.5" customHeight="1">
      <c r="A10" s="6" t="s">
        <v>29</v>
      </c>
      <c r="B10" s="6">
        <f>1-B11-B7-B9-B8</f>
        <v>0.23799999999999999</v>
      </c>
      <c r="C10" s="6">
        <v>0.02</v>
      </c>
      <c r="D10" s="6">
        <f>1-D11-D9-D8</f>
        <v>0.11999999999999997</v>
      </c>
      <c r="E10" s="6"/>
      <c r="F10" s="6"/>
      <c r="G10" s="6">
        <v>1</v>
      </c>
      <c r="H10">
        <f>(7+14.7)/100</f>
        <v>0.217</v>
      </c>
      <c r="I10" s="6">
        <v>0.107</v>
      </c>
      <c r="J10" s="6">
        <v>0.25</v>
      </c>
      <c r="K10" s="8">
        <v>0.23019366197183075</v>
      </c>
      <c r="L10" s="6">
        <f>61.1/1033.5</f>
        <v>5.9119496855345913E-2</v>
      </c>
      <c r="M10" s="6">
        <v>0.15</v>
      </c>
      <c r="N10" s="51">
        <f>1-N11-N9-N8-N7</f>
        <v>5.9998999999999955E-2</v>
      </c>
      <c r="O10" s="6">
        <v>0.13</v>
      </c>
      <c r="P10" s="6">
        <v>0.11</v>
      </c>
      <c r="Q10" s="18">
        <v>0.2</v>
      </c>
      <c r="R10" s="6">
        <f>1-R11-R7-R8</f>
        <v>0.31</v>
      </c>
      <c r="S10" s="6" t="s">
        <v>24</v>
      </c>
      <c r="T10" s="7"/>
      <c r="U10" s="7" t="s">
        <v>163</v>
      </c>
      <c r="V10" s="7" t="s">
        <v>132</v>
      </c>
      <c r="W10" s="7" t="s">
        <v>145</v>
      </c>
      <c r="X10" s="7"/>
      <c r="Y10" s="7"/>
      <c r="Z10" s="7" t="s">
        <v>242</v>
      </c>
      <c r="AA10" s="1" t="s">
        <v>370</v>
      </c>
      <c r="AB10" s="7" t="s">
        <v>243</v>
      </c>
      <c r="AC10" s="7" t="s">
        <v>78</v>
      </c>
      <c r="AD10" s="7"/>
      <c r="AE10" s="9" t="s">
        <v>240</v>
      </c>
      <c r="AF10" s="7"/>
      <c r="AG10" s="7"/>
      <c r="AH10" s="7" t="s">
        <v>244</v>
      </c>
      <c r="AI10" s="7"/>
      <c r="AJ10" s="7"/>
      <c r="AK10" s="7"/>
    </row>
    <row r="11" spans="1:37" ht="14.5" customHeight="1">
      <c r="A11" s="8" t="s">
        <v>30</v>
      </c>
      <c r="B11" s="8">
        <v>0.27300000000000002</v>
      </c>
      <c r="C11" s="8">
        <v>0.17</v>
      </c>
      <c r="D11" s="8">
        <v>0.52</v>
      </c>
      <c r="E11" s="8"/>
      <c r="F11" s="8"/>
      <c r="G11" s="8">
        <v>0.17</v>
      </c>
      <c r="H11">
        <f>7.3/100</f>
        <v>7.2999999999999995E-2</v>
      </c>
      <c r="I11" s="8">
        <v>0.29799999999999999</v>
      </c>
      <c r="J11" s="8">
        <v>0.11</v>
      </c>
      <c r="K11" s="8">
        <v>0.16681338028169013</v>
      </c>
      <c r="L11" s="8">
        <f>212.5/1033.5</f>
        <v>0.20561199806482824</v>
      </c>
      <c r="M11" s="8">
        <v>0.25</v>
      </c>
      <c r="N11" s="8">
        <v>0.8</v>
      </c>
      <c r="O11" s="8">
        <v>0.03</v>
      </c>
      <c r="P11" s="8">
        <v>0.41</v>
      </c>
      <c r="Q11" s="20">
        <v>0.05</v>
      </c>
      <c r="R11" s="8">
        <v>0.5</v>
      </c>
      <c r="S11" s="8" t="s">
        <v>24</v>
      </c>
      <c r="T11" s="9"/>
      <c r="U11" s="9" t="s">
        <v>163</v>
      </c>
      <c r="V11" s="9" t="s">
        <v>132</v>
      </c>
      <c r="W11" s="9" t="s">
        <v>146</v>
      </c>
      <c r="X11" s="9"/>
      <c r="Y11" s="9"/>
      <c r="Z11" s="9"/>
      <c r="AA11" s="1" t="s">
        <v>370</v>
      </c>
      <c r="AB11" s="9" t="s">
        <v>245</v>
      </c>
      <c r="AC11" s="9" t="s">
        <v>78</v>
      </c>
      <c r="AD11" s="9"/>
      <c r="AE11" s="9" t="s">
        <v>232</v>
      </c>
      <c r="AF11" s="9"/>
      <c r="AG11" s="9"/>
      <c r="AH11" s="9" t="s">
        <v>247</v>
      </c>
      <c r="AI11" s="9"/>
      <c r="AJ11" s="9"/>
      <c r="AK11" s="9"/>
    </row>
    <row r="12" spans="1:37" ht="14.5" customHeight="1">
      <c r="A12" s="6" t="s">
        <v>97</v>
      </c>
      <c r="B12" s="6">
        <v>0.9</v>
      </c>
      <c r="C12" s="6">
        <v>0.9</v>
      </c>
      <c r="D12" s="6">
        <v>0.95</v>
      </c>
      <c r="E12" s="6"/>
      <c r="F12" s="6"/>
      <c r="G12" s="6">
        <v>0.90300000000000002</v>
      </c>
      <c r="H12" s="6">
        <v>0.9</v>
      </c>
      <c r="I12" s="6">
        <v>0.65</v>
      </c>
      <c r="J12" s="6">
        <v>0.95</v>
      </c>
      <c r="K12" s="6">
        <v>0.996</v>
      </c>
      <c r="L12" s="6">
        <v>0.82399999999999995</v>
      </c>
      <c r="M12" s="6">
        <v>0.98799999999999999</v>
      </c>
      <c r="N12" s="6">
        <v>0.79700000000000004</v>
      </c>
      <c r="O12" s="6">
        <v>0.96</v>
      </c>
      <c r="P12" s="6">
        <v>0.61</v>
      </c>
      <c r="Q12" s="18">
        <v>1</v>
      </c>
      <c r="R12" s="6">
        <v>0.95</v>
      </c>
      <c r="S12" s="6" t="s">
        <v>24</v>
      </c>
      <c r="T12" s="7"/>
      <c r="U12" s="7" t="s">
        <v>111</v>
      </c>
      <c r="V12" s="7" t="s">
        <v>130</v>
      </c>
      <c r="W12" s="7" t="s">
        <v>173</v>
      </c>
      <c r="X12" s="7"/>
      <c r="Y12" s="7"/>
      <c r="Z12" s="7"/>
      <c r="AA12" s="7" t="s">
        <v>371</v>
      </c>
      <c r="AB12" s="7" t="s">
        <v>248</v>
      </c>
      <c r="AC12" s="7" t="s">
        <v>107</v>
      </c>
      <c r="AD12" s="7" t="s">
        <v>249</v>
      </c>
      <c r="AE12" s="7" t="s">
        <v>250</v>
      </c>
      <c r="AF12" s="7" t="s">
        <v>251</v>
      </c>
      <c r="AG12" s="7" t="s">
        <v>252</v>
      </c>
      <c r="AH12" s="7" t="s">
        <v>253</v>
      </c>
      <c r="AI12" s="7" t="s">
        <v>214</v>
      </c>
      <c r="AJ12" s="7"/>
      <c r="AK12" s="7" t="s">
        <v>254</v>
      </c>
    </row>
    <row r="13" spans="1:37" ht="14.5" customHeight="1">
      <c r="A13" s="8" t="s">
        <v>98</v>
      </c>
      <c r="B13" s="8">
        <v>0.95</v>
      </c>
      <c r="C13" s="8">
        <v>0.95</v>
      </c>
      <c r="D13" s="8">
        <v>0.95</v>
      </c>
      <c r="E13" s="8"/>
      <c r="F13" s="8"/>
      <c r="G13" s="8">
        <v>0.90300000000000002</v>
      </c>
      <c r="H13" s="8">
        <v>0.95</v>
      </c>
      <c r="I13" s="8">
        <v>0.65</v>
      </c>
      <c r="J13" s="8">
        <v>0.9</v>
      </c>
      <c r="K13" s="8">
        <v>0.996</v>
      </c>
      <c r="L13" s="8">
        <v>0.82399999999999995</v>
      </c>
      <c r="M13" s="8">
        <v>0.98799999999999999</v>
      </c>
      <c r="N13" s="8">
        <v>0.79700000000000004</v>
      </c>
      <c r="O13" s="8">
        <v>0.96</v>
      </c>
      <c r="P13" s="8">
        <v>0.61</v>
      </c>
      <c r="Q13" s="20">
        <v>1</v>
      </c>
      <c r="R13" s="8">
        <v>0.95</v>
      </c>
      <c r="S13" s="8" t="s">
        <v>24</v>
      </c>
      <c r="T13" s="9"/>
      <c r="U13" s="9" t="s">
        <v>111</v>
      </c>
      <c r="V13" s="9" t="s">
        <v>130</v>
      </c>
      <c r="W13" s="9" t="s">
        <v>173</v>
      </c>
      <c r="X13" s="9"/>
      <c r="Y13" s="9"/>
      <c r="Z13" s="9"/>
      <c r="AA13" s="9"/>
      <c r="AB13" s="9"/>
      <c r="AC13" s="9" t="s">
        <v>107</v>
      </c>
      <c r="AD13" s="9" t="s">
        <v>255</v>
      </c>
      <c r="AE13" s="9" t="s">
        <v>246</v>
      </c>
      <c r="AF13" s="9"/>
      <c r="AG13" s="9"/>
      <c r="AH13" s="9" t="s">
        <v>256</v>
      </c>
      <c r="AI13" s="9"/>
      <c r="AJ13" s="9"/>
      <c r="AK13" s="9" t="s">
        <v>257</v>
      </c>
    </row>
    <row r="14" spans="1:37" ht="14.5" customHeight="1">
      <c r="A14" s="6" t="s">
        <v>99</v>
      </c>
      <c r="B14" s="6">
        <v>0.9</v>
      </c>
      <c r="C14" s="6">
        <v>0.9</v>
      </c>
      <c r="D14" s="6">
        <v>0.95</v>
      </c>
      <c r="E14" s="6"/>
      <c r="F14" s="6"/>
      <c r="G14" s="6">
        <v>0.90300000000000002</v>
      </c>
      <c r="H14" s="6">
        <v>0.9</v>
      </c>
      <c r="I14" s="6">
        <v>0.65000000000000013</v>
      </c>
      <c r="J14" s="6">
        <v>0.85</v>
      </c>
      <c r="K14" s="6">
        <v>0.996</v>
      </c>
      <c r="L14" s="6">
        <v>0.82399999999999995</v>
      </c>
      <c r="M14" s="6">
        <v>0.98799999999999999</v>
      </c>
      <c r="N14" s="6">
        <v>0.79700000000000004</v>
      </c>
      <c r="O14" s="6">
        <v>0.96</v>
      </c>
      <c r="P14" s="6">
        <v>0.61</v>
      </c>
      <c r="Q14" s="18">
        <v>1</v>
      </c>
      <c r="R14" s="6">
        <v>0.95</v>
      </c>
      <c r="S14" s="6" t="s">
        <v>24</v>
      </c>
      <c r="T14" s="7"/>
      <c r="U14" s="7" t="s">
        <v>111</v>
      </c>
      <c r="V14" s="7" t="s">
        <v>130</v>
      </c>
      <c r="W14" s="7" t="s">
        <v>173</v>
      </c>
      <c r="X14" s="7"/>
      <c r="Y14" s="7"/>
      <c r="Z14" s="7"/>
      <c r="AA14" s="7"/>
      <c r="AB14" s="7"/>
      <c r="AC14" s="7" t="s">
        <v>107</v>
      </c>
      <c r="AD14" s="7"/>
      <c r="AE14" s="7"/>
      <c r="AF14" s="7"/>
      <c r="AG14" s="7"/>
      <c r="AH14" s="7"/>
      <c r="AI14" s="7"/>
      <c r="AJ14" s="7"/>
      <c r="AK14" s="7" t="s">
        <v>258</v>
      </c>
    </row>
    <row r="15" spans="1:37" ht="14.5" customHeight="1">
      <c r="A15" s="8" t="s">
        <v>100</v>
      </c>
      <c r="B15" s="8">
        <v>0.95</v>
      </c>
      <c r="C15" s="8">
        <v>0.95</v>
      </c>
      <c r="D15" s="8">
        <v>0.95</v>
      </c>
      <c r="E15" s="8"/>
      <c r="F15" s="10"/>
      <c r="G15" s="8">
        <v>0.90300000000000002</v>
      </c>
      <c r="H15" s="8">
        <v>0.95</v>
      </c>
      <c r="I15" s="8">
        <v>0.65</v>
      </c>
      <c r="J15" s="8">
        <v>0.75</v>
      </c>
      <c r="K15" s="8">
        <v>0.996</v>
      </c>
      <c r="L15" s="8">
        <v>0.82399999999999995</v>
      </c>
      <c r="M15" s="8">
        <v>0.98799999999999999</v>
      </c>
      <c r="N15" s="8">
        <v>0.79700000000000004</v>
      </c>
      <c r="O15" s="8">
        <v>0.96</v>
      </c>
      <c r="P15" s="8">
        <v>0.61</v>
      </c>
      <c r="Q15" s="20">
        <v>1</v>
      </c>
      <c r="R15" s="8">
        <v>0.95</v>
      </c>
      <c r="S15" s="8" t="s">
        <v>24</v>
      </c>
      <c r="T15" s="9"/>
      <c r="U15" s="9" t="s">
        <v>111</v>
      </c>
      <c r="V15" s="9" t="s">
        <v>130</v>
      </c>
      <c r="W15" s="9"/>
      <c r="X15" s="9"/>
      <c r="Y15" s="9"/>
      <c r="Z15" s="9"/>
      <c r="AA15" s="9"/>
      <c r="AB15" s="9"/>
      <c r="AC15" s="9" t="s">
        <v>107</v>
      </c>
      <c r="AD15" s="9"/>
      <c r="AE15" s="9"/>
      <c r="AF15" s="9"/>
      <c r="AG15" s="9"/>
      <c r="AH15" s="9"/>
      <c r="AI15" s="9"/>
      <c r="AJ15" s="9"/>
      <c r="AK15" s="9"/>
    </row>
    <row r="16" spans="1:37" ht="14.5" customHeight="1">
      <c r="A16" s="6" t="s">
        <v>101</v>
      </c>
      <c r="B16" s="6">
        <v>0.9</v>
      </c>
      <c r="C16" s="6">
        <v>0.9</v>
      </c>
      <c r="D16" s="6">
        <v>0.95</v>
      </c>
      <c r="E16" s="6"/>
      <c r="F16" s="11"/>
      <c r="G16" s="6">
        <v>0.90300000000000002</v>
      </c>
      <c r="H16" s="6">
        <v>0.9</v>
      </c>
      <c r="I16" s="6">
        <v>0.65</v>
      </c>
      <c r="J16" s="6">
        <v>0.8</v>
      </c>
      <c r="K16" s="6">
        <v>0.996</v>
      </c>
      <c r="L16" s="6">
        <v>0.82399999999999995</v>
      </c>
      <c r="M16" s="6">
        <v>0.98799999999999999</v>
      </c>
      <c r="N16" s="6">
        <v>0.79700000000000004</v>
      </c>
      <c r="O16" s="6">
        <v>0.96</v>
      </c>
      <c r="P16" s="6">
        <v>0.61</v>
      </c>
      <c r="Q16" s="18">
        <v>1</v>
      </c>
      <c r="R16" s="6">
        <v>0.95</v>
      </c>
      <c r="S16" s="6" t="s">
        <v>24</v>
      </c>
      <c r="T16" s="7"/>
      <c r="U16" s="7" t="s">
        <v>111</v>
      </c>
      <c r="V16" s="7" t="s">
        <v>130</v>
      </c>
      <c r="W16" s="7"/>
      <c r="X16" s="7"/>
      <c r="Y16" s="7"/>
      <c r="Z16" s="7"/>
      <c r="AA16" s="7"/>
      <c r="AB16" s="7"/>
      <c r="AC16" s="7" t="s">
        <v>107</v>
      </c>
      <c r="AD16" s="7"/>
      <c r="AE16" s="7"/>
      <c r="AF16" s="7"/>
      <c r="AG16" s="7"/>
      <c r="AH16" s="7"/>
      <c r="AI16" s="7"/>
      <c r="AJ16" s="7"/>
      <c r="AK16" s="7" t="s">
        <v>259</v>
      </c>
    </row>
    <row r="17" spans="1:37" ht="14.5" customHeight="1">
      <c r="A17" s="8" t="s">
        <v>102</v>
      </c>
      <c r="B17" s="8">
        <v>50</v>
      </c>
      <c r="C17" s="8">
        <v>50</v>
      </c>
      <c r="D17" s="8">
        <v>50</v>
      </c>
      <c r="E17" s="8"/>
      <c r="F17" s="10"/>
      <c r="G17" s="8">
        <v>1</v>
      </c>
      <c r="H17" s="8">
        <v>50</v>
      </c>
      <c r="I17" s="8">
        <v>40</v>
      </c>
      <c r="J17" s="8">
        <v>40</v>
      </c>
      <c r="K17" s="8">
        <v>50</v>
      </c>
      <c r="L17" s="46">
        <v>30</v>
      </c>
      <c r="M17" s="8">
        <v>100</v>
      </c>
      <c r="N17" s="8">
        <v>50</v>
      </c>
      <c r="O17" s="8">
        <v>75</v>
      </c>
      <c r="P17" s="8">
        <v>25</v>
      </c>
      <c r="Q17" s="20">
        <v>5</v>
      </c>
      <c r="R17" s="8">
        <v>0</v>
      </c>
      <c r="S17" s="8" t="s">
        <v>24</v>
      </c>
      <c r="T17" s="9"/>
      <c r="U17" s="9" t="s">
        <v>110</v>
      </c>
      <c r="V17" s="9" t="s">
        <v>130</v>
      </c>
      <c r="W17" s="9" t="s">
        <v>153</v>
      </c>
      <c r="X17" s="9"/>
      <c r="Y17" s="9"/>
      <c r="Z17" s="9"/>
      <c r="AA17" s="9" t="s">
        <v>260</v>
      </c>
      <c r="AB17" s="9" t="s">
        <v>261</v>
      </c>
      <c r="AC17" s="9" t="s">
        <v>107</v>
      </c>
      <c r="AD17" s="45" t="s">
        <v>377</v>
      </c>
      <c r="AE17" s="9" t="s">
        <v>262</v>
      </c>
      <c r="AF17" s="9" t="s">
        <v>263</v>
      </c>
      <c r="AG17" s="9" t="s">
        <v>264</v>
      </c>
      <c r="AH17" s="9" t="s">
        <v>265</v>
      </c>
      <c r="AI17" s="9" t="s">
        <v>266</v>
      </c>
      <c r="AJ17" s="9"/>
      <c r="AK17" s="9"/>
    </row>
    <row r="18" spans="1:37" ht="14.5" customHeight="1">
      <c r="A18" s="6" t="s">
        <v>103</v>
      </c>
      <c r="B18" s="6">
        <v>25</v>
      </c>
      <c r="C18" s="6">
        <v>25</v>
      </c>
      <c r="D18" s="6">
        <v>3</v>
      </c>
      <c r="E18" s="6"/>
      <c r="F18" s="11"/>
      <c r="G18" s="6">
        <v>3</v>
      </c>
      <c r="H18" s="6">
        <v>15</v>
      </c>
      <c r="I18" s="6">
        <v>20</v>
      </c>
      <c r="J18" s="6">
        <v>30</v>
      </c>
      <c r="K18" s="6">
        <v>15</v>
      </c>
      <c r="L18" s="52">
        <v>1000000</v>
      </c>
      <c r="M18" s="6">
        <v>15</v>
      </c>
      <c r="N18" s="6">
        <v>5</v>
      </c>
      <c r="O18" s="6">
        <v>50</v>
      </c>
      <c r="P18" s="6">
        <v>15</v>
      </c>
      <c r="Q18" s="18">
        <v>30</v>
      </c>
      <c r="R18" s="6">
        <v>0</v>
      </c>
      <c r="S18" s="6" t="s">
        <v>24</v>
      </c>
      <c r="T18" s="7"/>
      <c r="U18" s="7" t="s">
        <v>110</v>
      </c>
      <c r="V18" s="7" t="s">
        <v>130</v>
      </c>
      <c r="W18" s="7" t="s">
        <v>154</v>
      </c>
      <c r="X18" s="7"/>
      <c r="Y18" s="7"/>
      <c r="Z18" s="23" t="s">
        <v>267</v>
      </c>
      <c r="AA18" s="7" t="s">
        <v>268</v>
      </c>
      <c r="AB18" s="23" t="s">
        <v>269</v>
      </c>
      <c r="AC18" s="7" t="s">
        <v>107</v>
      </c>
      <c r="AD18" s="45" t="s">
        <v>377</v>
      </c>
      <c r="AE18" s="7" t="s">
        <v>270</v>
      </c>
      <c r="AF18" s="7" t="s">
        <v>271</v>
      </c>
      <c r="AG18" s="7"/>
      <c r="AH18" s="7" t="s">
        <v>273</v>
      </c>
      <c r="AI18" s="7" t="s">
        <v>274</v>
      </c>
      <c r="AJ18" s="7"/>
      <c r="AK18" s="7"/>
    </row>
    <row r="19" spans="1:37" ht="14.5" customHeight="1">
      <c r="A19" s="8" t="s">
        <v>104</v>
      </c>
      <c r="B19" s="8">
        <v>20</v>
      </c>
      <c r="C19" s="8">
        <v>20</v>
      </c>
      <c r="D19" s="8">
        <v>30</v>
      </c>
      <c r="E19" s="8"/>
      <c r="F19" s="10"/>
      <c r="G19" s="8">
        <v>25</v>
      </c>
      <c r="H19" s="8">
        <v>50</v>
      </c>
      <c r="I19" s="8">
        <v>40</v>
      </c>
      <c r="J19" s="8">
        <v>20</v>
      </c>
      <c r="K19" s="8">
        <v>25</v>
      </c>
      <c r="L19" s="46">
        <v>3</v>
      </c>
      <c r="M19" s="8">
        <v>72</v>
      </c>
      <c r="N19" s="8">
        <v>20</v>
      </c>
      <c r="O19" s="8">
        <v>25</v>
      </c>
      <c r="P19" s="8">
        <v>100</v>
      </c>
      <c r="Q19" s="20">
        <v>10</v>
      </c>
      <c r="R19" s="8">
        <v>0</v>
      </c>
      <c r="S19" s="8" t="s">
        <v>24</v>
      </c>
      <c r="T19" s="9"/>
      <c r="U19" s="9" t="s">
        <v>110</v>
      </c>
      <c r="V19" s="9" t="s">
        <v>130</v>
      </c>
      <c r="W19" s="9" t="s">
        <v>156</v>
      </c>
      <c r="X19" s="9"/>
      <c r="Y19" s="9"/>
      <c r="Z19" s="9"/>
      <c r="AA19" s="9"/>
      <c r="AB19" s="9"/>
      <c r="AC19" s="9" t="s">
        <v>107</v>
      </c>
      <c r="AD19" s="45" t="s">
        <v>377</v>
      </c>
      <c r="AE19" s="9" t="s">
        <v>275</v>
      </c>
      <c r="AF19" s="9" t="s">
        <v>276</v>
      </c>
      <c r="AG19" s="9" t="s">
        <v>277</v>
      </c>
      <c r="AH19" s="9" t="s">
        <v>278</v>
      </c>
      <c r="AI19" s="24" t="s">
        <v>279</v>
      </c>
      <c r="AJ19" s="9"/>
      <c r="AK19" s="9"/>
    </row>
    <row r="20" spans="1:37" ht="14.5" customHeight="1">
      <c r="A20" s="6" t="s">
        <v>105</v>
      </c>
      <c r="B20" s="6">
        <v>15</v>
      </c>
      <c r="C20" s="6">
        <v>15</v>
      </c>
      <c r="D20" s="6">
        <v>15</v>
      </c>
      <c r="E20" s="6"/>
      <c r="F20" s="11"/>
      <c r="G20" s="6">
        <v>1</v>
      </c>
      <c r="H20" s="6">
        <v>15</v>
      </c>
      <c r="I20" s="6">
        <v>40</v>
      </c>
      <c r="J20" s="6">
        <v>10</v>
      </c>
      <c r="K20" s="6">
        <v>15</v>
      </c>
      <c r="L20" s="47">
        <v>80</v>
      </c>
      <c r="M20" s="15">
        <v>1000000</v>
      </c>
      <c r="N20" s="6">
        <v>5</v>
      </c>
      <c r="O20" s="6"/>
      <c r="P20" s="6"/>
      <c r="Q20" s="18"/>
      <c r="R20" s="6">
        <v>4</v>
      </c>
      <c r="S20" s="6" t="s">
        <v>24</v>
      </c>
      <c r="T20" s="7"/>
      <c r="U20" s="7" t="s">
        <v>110</v>
      </c>
      <c r="V20" s="7" t="s">
        <v>130</v>
      </c>
      <c r="W20" s="7" t="s">
        <v>157</v>
      </c>
      <c r="X20" s="7"/>
      <c r="Y20" s="7"/>
      <c r="Z20" s="7" t="s">
        <v>280</v>
      </c>
      <c r="AA20" s="7"/>
      <c r="AB20" s="7"/>
      <c r="AC20" s="7" t="s">
        <v>107</v>
      </c>
      <c r="AD20" s="45" t="s">
        <v>377</v>
      </c>
      <c r="AE20" s="7" t="s">
        <v>281</v>
      </c>
      <c r="AF20" s="7"/>
      <c r="AG20" s="7" t="s">
        <v>272</v>
      </c>
      <c r="AH20" s="7"/>
      <c r="AI20" s="7"/>
      <c r="AJ20" s="7"/>
      <c r="AK20" s="7"/>
    </row>
    <row r="21" spans="1:37" ht="14.5" customHeight="1">
      <c r="A21" s="8" t="s">
        <v>106</v>
      </c>
      <c r="B21" s="8">
        <v>15</v>
      </c>
      <c r="C21" s="8">
        <v>15</v>
      </c>
      <c r="D21" s="8">
        <v>35</v>
      </c>
      <c r="E21" s="8"/>
      <c r="F21" s="10"/>
      <c r="G21" s="8">
        <v>20</v>
      </c>
      <c r="H21" s="8">
        <v>15</v>
      </c>
      <c r="I21" s="8">
        <v>20</v>
      </c>
      <c r="J21" s="8">
        <v>15</v>
      </c>
      <c r="K21" s="8">
        <v>22</v>
      </c>
      <c r="L21" s="8">
        <v>10</v>
      </c>
      <c r="M21" s="8">
        <v>80</v>
      </c>
      <c r="N21" s="8">
        <v>17</v>
      </c>
      <c r="O21" s="8">
        <v>5</v>
      </c>
      <c r="P21" s="8">
        <v>3</v>
      </c>
      <c r="Q21" s="20">
        <v>20</v>
      </c>
      <c r="R21" s="8">
        <v>16</v>
      </c>
      <c r="S21" s="8" t="s">
        <v>24</v>
      </c>
      <c r="T21" s="9"/>
      <c r="U21" s="9" t="s">
        <v>110</v>
      </c>
      <c r="V21" s="9" t="s">
        <v>130</v>
      </c>
      <c r="W21" s="9" t="s">
        <v>155</v>
      </c>
      <c r="X21" s="9"/>
      <c r="Y21" s="9"/>
      <c r="Z21" s="9"/>
      <c r="AA21" s="9" t="s">
        <v>282</v>
      </c>
      <c r="AC21" s="9" t="s">
        <v>107</v>
      </c>
      <c r="AD21" s="45" t="s">
        <v>377</v>
      </c>
      <c r="AE21" s="9"/>
      <c r="AF21" s="9" t="s">
        <v>283</v>
      </c>
      <c r="AG21" s="9" t="s">
        <v>284</v>
      </c>
      <c r="AH21" s="9" t="s">
        <v>285</v>
      </c>
      <c r="AI21" s="9" t="s">
        <v>286</v>
      </c>
      <c r="AJ21" s="9"/>
      <c r="AK21" s="9"/>
    </row>
    <row r="22" spans="1:37" ht="14.5" customHeight="1">
      <c r="A22" s="6" t="s">
        <v>135</v>
      </c>
      <c r="B22" s="6">
        <v>0.64749999999999996</v>
      </c>
      <c r="C22" s="6">
        <v>0.64749999999999996</v>
      </c>
      <c r="D22" s="15">
        <v>9.9999999999999995E-7</v>
      </c>
      <c r="E22" s="6"/>
      <c r="F22" s="6"/>
      <c r="G22" s="25">
        <v>0.46</v>
      </c>
      <c r="H22" s="6">
        <v>0.25</v>
      </c>
      <c r="I22" s="6"/>
      <c r="J22" s="6">
        <v>0.64800000000000002</v>
      </c>
      <c r="K22" s="6">
        <v>0.87</v>
      </c>
      <c r="L22" s="15">
        <v>9.9999999999999995E-7</v>
      </c>
      <c r="M22" s="6">
        <v>0.23</v>
      </c>
      <c r="N22" s="6">
        <v>0.1</v>
      </c>
      <c r="O22" s="6"/>
      <c r="P22" s="6"/>
      <c r="Q22" s="26"/>
      <c r="R22" s="6">
        <v>0</v>
      </c>
      <c r="S22" s="6" t="s">
        <v>24</v>
      </c>
      <c r="T22" s="7"/>
      <c r="U22" s="12" t="s">
        <v>177</v>
      </c>
      <c r="V22" s="7"/>
      <c r="W22" s="7" t="s">
        <v>179</v>
      </c>
      <c r="X22" s="7"/>
      <c r="Z22" s="9"/>
      <c r="AA22" s="45" t="s">
        <v>378</v>
      </c>
      <c r="AB22" s="6"/>
      <c r="AC22" s="7" t="s">
        <v>183</v>
      </c>
      <c r="AD22" s="45" t="s">
        <v>377</v>
      </c>
      <c r="AE22" s="7" t="s">
        <v>376</v>
      </c>
      <c r="AF22" s="42" t="s">
        <v>357</v>
      </c>
      <c r="AG22" s="7" t="s">
        <v>374</v>
      </c>
      <c r="AH22" s="7"/>
      <c r="AI22" s="7"/>
      <c r="AJ22" s="7"/>
      <c r="AK22" s="6"/>
    </row>
    <row r="23" spans="1:37" ht="14.5" customHeight="1">
      <c r="A23" s="8" t="s">
        <v>136</v>
      </c>
      <c r="B23" s="8">
        <v>0.72899999999999998</v>
      </c>
      <c r="C23" s="8">
        <v>0.72899999999999998</v>
      </c>
      <c r="D23" s="8">
        <v>0.34649999999999997</v>
      </c>
      <c r="E23" s="8"/>
      <c r="F23" s="8"/>
      <c r="G23" s="27">
        <v>0.22</v>
      </c>
      <c r="H23" s="8">
        <v>0.75</v>
      </c>
      <c r="I23" s="8"/>
      <c r="J23" s="8">
        <v>0.495</v>
      </c>
      <c r="K23" s="8">
        <v>0.87</v>
      </c>
      <c r="L23" s="8">
        <v>0.34649999999999997</v>
      </c>
      <c r="M23" s="8">
        <v>0.22</v>
      </c>
      <c r="N23" s="8">
        <v>0.1</v>
      </c>
      <c r="O23" s="8"/>
      <c r="P23" s="8"/>
      <c r="Q23" s="28"/>
      <c r="R23" s="8">
        <v>0</v>
      </c>
      <c r="S23" s="8" t="s">
        <v>24</v>
      </c>
      <c r="T23" s="9"/>
      <c r="U23" s="13" t="s">
        <v>177</v>
      </c>
      <c r="V23" s="9"/>
      <c r="W23" s="9" t="s">
        <v>178</v>
      </c>
      <c r="X23" s="9"/>
      <c r="Z23" s="7"/>
      <c r="AA23" s="45" t="s">
        <v>378</v>
      </c>
      <c r="AB23" s="9"/>
      <c r="AC23" s="9" t="s">
        <v>183</v>
      </c>
      <c r="AD23" s="45" t="s">
        <v>377</v>
      </c>
      <c r="AE23" s="7" t="s">
        <v>376</v>
      </c>
      <c r="AF23" s="42" t="s">
        <v>357</v>
      </c>
      <c r="AG23" s="7" t="s">
        <v>374</v>
      </c>
      <c r="AH23" s="9"/>
      <c r="AI23" s="9"/>
      <c r="AJ23" s="9"/>
      <c r="AK23" s="8"/>
    </row>
    <row r="24" spans="1:37" ht="14.5" customHeight="1">
      <c r="A24" s="6" t="s">
        <v>137</v>
      </c>
      <c r="B24" s="6">
        <v>0.76690000000000003</v>
      </c>
      <c r="C24" s="6">
        <v>0.76690000000000003</v>
      </c>
      <c r="D24" s="6">
        <v>0.9</v>
      </c>
      <c r="E24" s="6"/>
      <c r="F24" s="6"/>
      <c r="G24" s="25">
        <v>0.05</v>
      </c>
      <c r="H24" s="6">
        <v>0.05</v>
      </c>
      <c r="I24" s="6"/>
      <c r="J24" s="6">
        <v>0.13600000000000001</v>
      </c>
      <c r="K24" s="6">
        <v>0.87</v>
      </c>
      <c r="L24" s="6">
        <v>0.9</v>
      </c>
      <c r="M24" s="6">
        <v>0.19</v>
      </c>
      <c r="N24" s="6">
        <v>0.1</v>
      </c>
      <c r="O24" s="6"/>
      <c r="P24" s="6"/>
      <c r="Q24" s="26"/>
      <c r="R24" s="6">
        <v>0</v>
      </c>
      <c r="S24" s="6" t="s">
        <v>24</v>
      </c>
      <c r="T24" s="7"/>
      <c r="U24" s="12" t="s">
        <v>177</v>
      </c>
      <c r="V24" s="7"/>
      <c r="W24" s="7" t="s">
        <v>182</v>
      </c>
      <c r="X24" s="7"/>
      <c r="Z24" s="9"/>
      <c r="AA24" s="45" t="s">
        <v>378</v>
      </c>
      <c r="AB24" s="6"/>
      <c r="AC24" s="7" t="s">
        <v>183</v>
      </c>
      <c r="AD24" s="45" t="s">
        <v>377</v>
      </c>
      <c r="AE24" s="7" t="s">
        <v>376</v>
      </c>
      <c r="AF24" s="42" t="s">
        <v>357</v>
      </c>
      <c r="AG24" s="7" t="s">
        <v>374</v>
      </c>
      <c r="AH24" s="7"/>
      <c r="AI24" s="7"/>
      <c r="AJ24" s="7"/>
      <c r="AK24" s="6"/>
    </row>
    <row r="25" spans="1:37" ht="14.5" customHeight="1">
      <c r="A25" s="8" t="s">
        <v>138</v>
      </c>
      <c r="B25" s="8">
        <v>0.46850000000000003</v>
      </c>
      <c r="C25" s="8">
        <v>0.46850000000000003</v>
      </c>
      <c r="D25" s="8">
        <v>0.2</v>
      </c>
      <c r="E25" s="8"/>
      <c r="F25" s="8"/>
      <c r="G25" s="44">
        <v>9.9999999999999995E-7</v>
      </c>
      <c r="H25" s="8">
        <v>0.75</v>
      </c>
      <c r="I25" s="8"/>
      <c r="J25" s="8">
        <v>0.34649999999999997</v>
      </c>
      <c r="K25" s="8">
        <v>0.48</v>
      </c>
      <c r="L25" s="8">
        <v>0.2</v>
      </c>
      <c r="M25" s="8">
        <v>0.11</v>
      </c>
      <c r="N25" s="8">
        <v>0.1</v>
      </c>
      <c r="O25" s="8"/>
      <c r="P25" s="8"/>
      <c r="Q25" s="28"/>
      <c r="R25" s="8">
        <v>0</v>
      </c>
      <c r="S25" s="8" t="s">
        <v>24</v>
      </c>
      <c r="T25" s="9"/>
      <c r="U25" s="13" t="s">
        <v>177</v>
      </c>
      <c r="V25" s="9"/>
      <c r="W25" s="9" t="s">
        <v>181</v>
      </c>
      <c r="X25" s="9"/>
      <c r="Z25" s="7"/>
      <c r="AA25" s="45" t="s">
        <v>378</v>
      </c>
      <c r="AB25" s="8"/>
      <c r="AC25" s="9" t="s">
        <v>183</v>
      </c>
      <c r="AD25" s="45" t="s">
        <v>377</v>
      </c>
      <c r="AE25" s="7" t="s">
        <v>376</v>
      </c>
      <c r="AF25" s="42" t="s">
        <v>357</v>
      </c>
      <c r="AG25" s="7" t="s">
        <v>374</v>
      </c>
      <c r="AH25" s="9"/>
      <c r="AI25" s="9"/>
      <c r="AJ25" s="9"/>
      <c r="AK25" s="8"/>
    </row>
    <row r="26" spans="1:37" ht="14.5" customHeight="1">
      <c r="A26" s="6" t="s">
        <v>139</v>
      </c>
      <c r="B26" s="6">
        <v>0.75</v>
      </c>
      <c r="C26" s="6">
        <v>0.75</v>
      </c>
      <c r="D26" s="6">
        <v>0.9</v>
      </c>
      <c r="E26" s="6"/>
      <c r="F26" s="6"/>
      <c r="G26" s="6">
        <v>0.17</v>
      </c>
      <c r="H26" s="6">
        <v>0.5</v>
      </c>
      <c r="I26" s="6"/>
      <c r="J26" s="6">
        <v>0.63700000000000001</v>
      </c>
      <c r="K26" s="6">
        <v>0.74</v>
      </c>
      <c r="L26" s="6">
        <v>0.9</v>
      </c>
      <c r="M26" s="6">
        <v>0.26</v>
      </c>
      <c r="N26" s="6">
        <v>0.99299999999999999</v>
      </c>
      <c r="O26" s="6"/>
      <c r="P26" s="6"/>
      <c r="Q26" s="26"/>
      <c r="R26" s="6">
        <v>0.45</v>
      </c>
      <c r="S26" s="6" t="s">
        <v>24</v>
      </c>
      <c r="T26" s="7"/>
      <c r="U26" s="12" t="s">
        <v>177</v>
      </c>
      <c r="V26" s="7"/>
      <c r="W26" s="7" t="s">
        <v>180</v>
      </c>
      <c r="X26" s="7"/>
      <c r="Y26" s="8"/>
      <c r="Z26" s="9"/>
      <c r="AA26" s="45" t="s">
        <v>378</v>
      </c>
      <c r="AB26" s="8"/>
      <c r="AC26" s="7" t="s">
        <v>183</v>
      </c>
      <c r="AD26" s="45" t="s">
        <v>377</v>
      </c>
      <c r="AE26" s="7" t="s">
        <v>376</v>
      </c>
      <c r="AF26" s="42" t="s">
        <v>357</v>
      </c>
      <c r="AG26" s="1" t="s">
        <v>375</v>
      </c>
      <c r="AH26" s="7"/>
      <c r="AI26" s="7"/>
      <c r="AJ26" s="7"/>
      <c r="AK26" s="6"/>
    </row>
    <row r="27" spans="1:37" ht="14.5" customHeight="1">
      <c r="A27" s="8" t="s">
        <v>70</v>
      </c>
      <c r="B27" s="8">
        <v>0.34250000000000003</v>
      </c>
      <c r="C27" s="8">
        <v>0.33800000000000002</v>
      </c>
      <c r="D27" s="8">
        <v>0.26156000000000001</v>
      </c>
      <c r="E27" s="8"/>
      <c r="F27" s="10"/>
      <c r="G27" s="8">
        <v>0.38300000000000001</v>
      </c>
      <c r="H27" s="8">
        <v>3.5000000000000003E-2</v>
      </c>
      <c r="I27" s="8">
        <v>0.35699999999999998</v>
      </c>
      <c r="J27" s="8">
        <v>0.3624</v>
      </c>
      <c r="K27" s="8">
        <v>0.47</v>
      </c>
      <c r="L27" s="8">
        <v>0.17</v>
      </c>
      <c r="M27" s="8">
        <v>0.39</v>
      </c>
      <c r="N27" s="8">
        <v>0.73</v>
      </c>
      <c r="O27" s="8">
        <v>0.21</v>
      </c>
      <c r="P27" s="8">
        <v>0.28999999999999998</v>
      </c>
      <c r="Q27" s="20">
        <v>2.7500000000000002E-4</v>
      </c>
      <c r="R27" s="8"/>
      <c r="S27" s="8" t="s">
        <v>31</v>
      </c>
      <c r="T27" s="9" t="s">
        <v>71</v>
      </c>
      <c r="U27" s="9" t="s">
        <v>159</v>
      </c>
      <c r="V27" s="9" t="s">
        <v>129</v>
      </c>
      <c r="W27" s="9" t="s">
        <v>140</v>
      </c>
      <c r="X27" s="9"/>
      <c r="Y27" s="9"/>
      <c r="Z27" s="21" t="s">
        <v>287</v>
      </c>
      <c r="AA27" s="9"/>
      <c r="AB27" s="21" t="s">
        <v>288</v>
      </c>
      <c r="AC27" s="9" t="s">
        <v>77</v>
      </c>
      <c r="AD27" s="9"/>
      <c r="AE27" s="9" t="s">
        <v>356</v>
      </c>
      <c r="AF27" s="9"/>
      <c r="AG27" s="9"/>
      <c r="AH27" s="9" t="s">
        <v>289</v>
      </c>
      <c r="AI27" s="9"/>
      <c r="AJ27" s="9"/>
      <c r="AK27" s="9"/>
    </row>
    <row r="28" spans="1:37" ht="14.5" customHeight="1">
      <c r="A28" s="6" t="s">
        <v>69</v>
      </c>
      <c r="B28" s="6">
        <v>0.24399999999999999</v>
      </c>
      <c r="C28" s="6">
        <v>0.33800000000000002</v>
      </c>
      <c r="D28" s="6">
        <v>0.26156000000000001</v>
      </c>
      <c r="E28" s="6"/>
      <c r="F28" s="11"/>
      <c r="G28" s="6">
        <v>0.46</v>
      </c>
      <c r="H28" s="6">
        <v>6.2E-2</v>
      </c>
      <c r="I28" s="8">
        <v>0.35699999999999998</v>
      </c>
      <c r="J28" s="6">
        <v>0.38300000000000001</v>
      </c>
      <c r="K28" s="6">
        <v>0.47</v>
      </c>
      <c r="L28" s="6">
        <v>0.17</v>
      </c>
      <c r="M28" s="6">
        <v>0.39</v>
      </c>
      <c r="N28" s="6">
        <v>0.73</v>
      </c>
      <c r="O28" s="6">
        <v>0.21</v>
      </c>
      <c r="P28" s="6">
        <v>0.28999999999999998</v>
      </c>
      <c r="Q28" s="18">
        <v>2.7500000000000002E-4</v>
      </c>
      <c r="R28" s="6"/>
      <c r="S28" s="6" t="s">
        <v>31</v>
      </c>
      <c r="T28" s="7"/>
      <c r="U28" s="7" t="s">
        <v>160</v>
      </c>
      <c r="V28" s="7" t="s">
        <v>128</v>
      </c>
      <c r="W28" s="7" t="s">
        <v>141</v>
      </c>
      <c r="X28" s="7"/>
      <c r="Y28" s="7"/>
      <c r="Z28" s="7" t="s">
        <v>290</v>
      </c>
      <c r="AA28" s="7"/>
      <c r="AB28" s="23" t="s">
        <v>288</v>
      </c>
      <c r="AC28" s="7" t="s">
        <v>77</v>
      </c>
      <c r="AD28" s="7"/>
      <c r="AE28" s="7" t="s">
        <v>356</v>
      </c>
      <c r="AF28" s="7" t="s">
        <v>291</v>
      </c>
      <c r="AG28" s="7"/>
      <c r="AH28" s="7" t="s">
        <v>292</v>
      </c>
      <c r="AI28" s="7"/>
      <c r="AJ28" s="7"/>
      <c r="AK28" s="7"/>
    </row>
    <row r="29" spans="1:37" ht="14.5" customHeight="1">
      <c r="A29" s="8" t="s">
        <v>75</v>
      </c>
      <c r="B29" s="8">
        <v>1</v>
      </c>
      <c r="C29" s="8">
        <v>1</v>
      </c>
      <c r="D29" s="8">
        <v>1</v>
      </c>
      <c r="E29" s="8">
        <v>1</v>
      </c>
      <c r="F29" s="10">
        <v>1</v>
      </c>
      <c r="G29" s="8">
        <v>1</v>
      </c>
      <c r="H29" s="8">
        <v>1</v>
      </c>
      <c r="I29" s="8">
        <v>1</v>
      </c>
      <c r="J29" s="8">
        <v>1</v>
      </c>
      <c r="K29" s="8">
        <v>1</v>
      </c>
      <c r="L29" s="8">
        <v>1</v>
      </c>
      <c r="M29" s="8">
        <v>1</v>
      </c>
      <c r="N29" s="8">
        <v>1</v>
      </c>
      <c r="O29" s="8">
        <v>1</v>
      </c>
      <c r="P29" s="8">
        <v>1</v>
      </c>
      <c r="Q29" s="20">
        <v>1</v>
      </c>
      <c r="R29" s="8">
        <v>1</v>
      </c>
      <c r="S29" s="8" t="s">
        <v>31</v>
      </c>
      <c r="T29" s="9"/>
      <c r="U29" s="9"/>
      <c r="V29" s="9"/>
      <c r="W29" s="7" t="s">
        <v>141</v>
      </c>
      <c r="X29" s="9"/>
      <c r="Y29" s="9"/>
      <c r="Z29" s="9"/>
      <c r="AA29" s="9"/>
      <c r="AB29" s="9"/>
      <c r="AC29" s="9" t="s">
        <v>77</v>
      </c>
      <c r="AD29" s="9"/>
      <c r="AE29" s="9"/>
      <c r="AF29" s="9"/>
      <c r="AG29" s="9"/>
      <c r="AH29" s="9"/>
      <c r="AI29" s="9"/>
      <c r="AJ29" s="9"/>
      <c r="AK29" s="9"/>
    </row>
    <row r="30" spans="1:37" ht="14.5" customHeight="1">
      <c r="A30" s="6" t="s">
        <v>74</v>
      </c>
      <c r="B30" s="6">
        <v>0.57769999999999999</v>
      </c>
      <c r="C30" s="6">
        <v>0.53300000000000003</v>
      </c>
      <c r="D30" s="6">
        <v>0.1065</v>
      </c>
      <c r="E30" s="6"/>
      <c r="F30" s="11"/>
      <c r="G30" s="6">
        <v>0.64</v>
      </c>
      <c r="H30" s="6">
        <v>0.28999999999999998</v>
      </c>
      <c r="I30" s="6"/>
      <c r="J30" s="6">
        <v>0.43180000000000002</v>
      </c>
      <c r="K30" s="6">
        <v>4.8000000000000001E-2</v>
      </c>
      <c r="L30" s="6">
        <v>0.13</v>
      </c>
      <c r="M30" s="6">
        <v>0.33</v>
      </c>
      <c r="N30" s="6">
        <v>0.42</v>
      </c>
      <c r="O30" s="6">
        <v>0.498</v>
      </c>
      <c r="P30" s="6">
        <v>0.11700000000000001</v>
      </c>
      <c r="Q30" s="18">
        <v>0.625</v>
      </c>
      <c r="R30" s="6"/>
      <c r="S30" s="6" t="s">
        <v>31</v>
      </c>
      <c r="T30" s="7"/>
      <c r="U30" s="7" t="s">
        <v>161</v>
      </c>
      <c r="V30" s="7" t="s">
        <v>132</v>
      </c>
      <c r="W30" s="7" t="s">
        <v>150</v>
      </c>
      <c r="X30" s="7"/>
      <c r="Y30" s="7"/>
      <c r="Z30" s="23" t="s">
        <v>293</v>
      </c>
      <c r="AA30" s="7"/>
      <c r="AB30" s="7"/>
      <c r="AC30" s="7" t="s">
        <v>77</v>
      </c>
      <c r="AD30" s="7" t="s">
        <v>294</v>
      </c>
      <c r="AE30" s="7"/>
      <c r="AF30" s="7"/>
      <c r="AG30" s="7"/>
      <c r="AH30" s="29" t="s">
        <v>295</v>
      </c>
      <c r="AI30" s="7"/>
      <c r="AJ30" s="7"/>
      <c r="AK30" s="7"/>
    </row>
    <row r="31" spans="1:37" ht="14.5" customHeight="1">
      <c r="A31" s="8" t="s">
        <v>72</v>
      </c>
      <c r="B31" s="8">
        <v>0</v>
      </c>
      <c r="C31" s="8">
        <v>0</v>
      </c>
      <c r="D31" s="8">
        <f>1-0.52/2</f>
        <v>0.74</v>
      </c>
      <c r="E31" s="8"/>
      <c r="F31" s="10"/>
      <c r="G31" s="8">
        <v>1</v>
      </c>
      <c r="H31" s="8">
        <v>1</v>
      </c>
      <c r="I31" s="8">
        <v>1</v>
      </c>
      <c r="J31" s="8">
        <v>0.38869999999999999</v>
      </c>
      <c r="K31" s="8">
        <v>1</v>
      </c>
      <c r="L31" s="8">
        <f>1-$L$11/2</f>
        <v>0.89719400096758584</v>
      </c>
      <c r="M31" s="8">
        <v>1</v>
      </c>
      <c r="N31" s="8">
        <v>1</v>
      </c>
      <c r="O31" s="8">
        <v>1</v>
      </c>
      <c r="P31" s="8">
        <v>1</v>
      </c>
      <c r="Q31" s="20">
        <v>1</v>
      </c>
      <c r="R31" s="8"/>
      <c r="S31" s="8" t="s">
        <v>31</v>
      </c>
      <c r="T31" s="9"/>
      <c r="U31" s="9"/>
      <c r="V31" s="9" t="s">
        <v>131</v>
      </c>
      <c r="W31" s="9" t="s">
        <v>379</v>
      </c>
      <c r="X31" s="9"/>
      <c r="Y31" s="9"/>
      <c r="Z31" s="9"/>
      <c r="AA31" s="9"/>
      <c r="AB31" s="9"/>
      <c r="AC31" s="9" t="s">
        <v>77</v>
      </c>
      <c r="AD31" s="9"/>
      <c r="AE31" s="9" t="s">
        <v>380</v>
      </c>
      <c r="AF31" s="9"/>
      <c r="AG31" s="9"/>
      <c r="AH31" s="9"/>
      <c r="AI31" s="9"/>
      <c r="AJ31" s="9"/>
      <c r="AK31" s="9"/>
    </row>
    <row r="32" spans="1:37" ht="14.5" customHeight="1">
      <c r="A32" s="6" t="s">
        <v>32</v>
      </c>
      <c r="B32" s="6">
        <v>0</v>
      </c>
      <c r="C32" s="6">
        <v>0</v>
      </c>
      <c r="D32" s="8">
        <f>1-0.52/2</f>
        <v>0.74</v>
      </c>
      <c r="E32" s="6"/>
      <c r="F32" s="11"/>
      <c r="G32" s="6">
        <v>1</v>
      </c>
      <c r="H32" s="6">
        <v>1</v>
      </c>
      <c r="I32" s="6">
        <v>1</v>
      </c>
      <c r="J32" s="6">
        <v>0.312</v>
      </c>
      <c r="K32" s="6">
        <v>1</v>
      </c>
      <c r="L32" s="8">
        <f>1-$L$11/2</f>
        <v>0.89719400096758584</v>
      </c>
      <c r="M32" s="6">
        <v>1</v>
      </c>
      <c r="N32" s="6">
        <v>1</v>
      </c>
      <c r="O32" s="6">
        <v>1</v>
      </c>
      <c r="P32" s="6">
        <v>1</v>
      </c>
      <c r="Q32" s="18">
        <v>1</v>
      </c>
      <c r="R32" s="6"/>
      <c r="S32" s="6" t="s">
        <v>31</v>
      </c>
      <c r="T32" s="7"/>
      <c r="U32" s="7"/>
      <c r="V32" s="7" t="s">
        <v>131</v>
      </c>
      <c r="W32" s="9" t="s">
        <v>379</v>
      </c>
      <c r="X32" s="7"/>
      <c r="Y32" s="7"/>
      <c r="Z32" s="7"/>
      <c r="AA32" s="7"/>
      <c r="AB32" s="7"/>
      <c r="AC32" s="7" t="s">
        <v>77</v>
      </c>
      <c r="AD32" s="7"/>
      <c r="AE32" s="9" t="s">
        <v>380</v>
      </c>
      <c r="AF32" s="7"/>
      <c r="AG32" s="7"/>
      <c r="AH32" s="7" t="s">
        <v>213</v>
      </c>
      <c r="AI32" s="7"/>
      <c r="AJ32" s="7"/>
      <c r="AK32" s="7"/>
    </row>
    <row r="33" spans="1:37" ht="14.5" customHeight="1">
      <c r="A33" s="8" t="s">
        <v>73</v>
      </c>
      <c r="B33" s="8">
        <v>0</v>
      </c>
      <c r="C33" s="8">
        <v>0</v>
      </c>
      <c r="D33" s="8">
        <v>0.14099999999999999</v>
      </c>
      <c r="E33" s="8">
        <v>0.69099999999999995</v>
      </c>
      <c r="F33" s="10"/>
      <c r="G33" s="8">
        <v>0</v>
      </c>
      <c r="H33" s="8">
        <v>0</v>
      </c>
      <c r="I33" s="8">
        <v>0</v>
      </c>
      <c r="J33" s="8">
        <v>0.13800000000000001</v>
      </c>
      <c r="K33" s="8">
        <v>0.34300000000000003</v>
      </c>
      <c r="L33" s="8">
        <v>8.0999999999999996E-4</v>
      </c>
      <c r="M33" s="8">
        <v>7.7000000000000002E-3</v>
      </c>
      <c r="N33" s="8">
        <v>0</v>
      </c>
      <c r="O33" s="8">
        <v>8.0999999999999996E-3</v>
      </c>
      <c r="P33" s="8">
        <v>0.55900000000000005</v>
      </c>
      <c r="Q33" s="20">
        <v>1</v>
      </c>
      <c r="R33" s="8"/>
      <c r="S33" s="8" t="s">
        <v>31</v>
      </c>
      <c r="T33" s="9"/>
      <c r="U33" s="9"/>
      <c r="V33" s="9"/>
      <c r="W33" s="9"/>
      <c r="X33" s="9"/>
      <c r="Y33" s="9"/>
      <c r="Z33" s="9"/>
      <c r="AA33" s="9"/>
      <c r="AB33" s="9" t="s">
        <v>296</v>
      </c>
      <c r="AC33" s="9" t="s">
        <v>77</v>
      </c>
      <c r="AD33" s="9" t="s">
        <v>344</v>
      </c>
      <c r="AE33" s="9"/>
      <c r="AF33" s="9"/>
      <c r="AG33" s="9"/>
      <c r="AH33" s="21" t="s">
        <v>298</v>
      </c>
      <c r="AI33" s="9"/>
      <c r="AJ33" s="9"/>
      <c r="AK33" s="9" t="s">
        <v>299</v>
      </c>
    </row>
    <row r="34" spans="1:37" ht="14.5" customHeight="1">
      <c r="A34" s="6" t="s">
        <v>33</v>
      </c>
      <c r="B34" s="6">
        <v>0</v>
      </c>
      <c r="C34" s="6">
        <v>0</v>
      </c>
      <c r="D34" s="6">
        <v>0.14099999999999999</v>
      </c>
      <c r="E34" s="6">
        <v>0.69099999999999995</v>
      </c>
      <c r="F34" s="11"/>
      <c r="G34" s="6">
        <v>0</v>
      </c>
      <c r="H34" s="6">
        <v>0</v>
      </c>
      <c r="I34" s="6">
        <v>0</v>
      </c>
      <c r="J34" s="6">
        <v>1.2E-2</v>
      </c>
      <c r="K34" s="6">
        <v>0.34300000000000003</v>
      </c>
      <c r="L34" s="6">
        <v>8.0999999999999996E-4</v>
      </c>
      <c r="M34" s="6">
        <v>7.7000000000000002E-3</v>
      </c>
      <c r="N34" s="6">
        <v>0</v>
      </c>
      <c r="O34" s="6">
        <v>8.0999999999999996E-3</v>
      </c>
      <c r="P34" s="6">
        <v>0.55900000000000005</v>
      </c>
      <c r="Q34" s="18">
        <v>1</v>
      </c>
      <c r="R34" s="6"/>
      <c r="S34" s="6" t="s">
        <v>31</v>
      </c>
      <c r="T34" s="7"/>
      <c r="U34" s="7"/>
      <c r="V34" s="7"/>
      <c r="W34" s="7"/>
      <c r="X34" s="7"/>
      <c r="Y34" s="7"/>
      <c r="Z34" s="7"/>
      <c r="AA34" s="7"/>
      <c r="AB34" s="7"/>
      <c r="AC34" s="7" t="s">
        <v>77</v>
      </c>
      <c r="AD34" s="23" t="s">
        <v>345</v>
      </c>
      <c r="AE34" s="7"/>
      <c r="AF34" s="7" t="s">
        <v>297</v>
      </c>
      <c r="AG34" s="7"/>
      <c r="AH34" s="7"/>
      <c r="AI34" s="7"/>
      <c r="AJ34" s="7"/>
      <c r="AK34" s="7"/>
    </row>
    <row r="35" spans="1:37" ht="14.5" customHeight="1">
      <c r="A35" s="8" t="s">
        <v>76</v>
      </c>
      <c r="B35" s="8">
        <f>64866+33789</f>
        <v>98655</v>
      </c>
      <c r="C35" s="8">
        <v>1869000</v>
      </c>
      <c r="D35" s="8">
        <v>4.87</v>
      </c>
      <c r="E35" s="8"/>
      <c r="F35" s="10"/>
      <c r="G35" s="8">
        <v>108.5</v>
      </c>
      <c r="H35" s="8">
        <v>307</v>
      </c>
      <c r="I35" s="8">
        <v>2.8</v>
      </c>
      <c r="J35" s="8">
        <v>30613</v>
      </c>
      <c r="K35" s="8">
        <v>2721000</v>
      </c>
      <c r="L35" s="8">
        <v>31968.75</v>
      </c>
      <c r="M35" s="8">
        <v>13518</v>
      </c>
      <c r="N35" s="8">
        <v>5920</v>
      </c>
      <c r="O35" s="8">
        <v>260997</v>
      </c>
      <c r="P35" s="8">
        <v>260</v>
      </c>
      <c r="Q35" s="20">
        <v>260</v>
      </c>
      <c r="R35" s="8"/>
      <c r="S35" s="8" t="s">
        <v>31</v>
      </c>
      <c r="T35" s="9"/>
      <c r="U35" s="9" t="s">
        <v>158</v>
      </c>
      <c r="V35" s="9" t="s">
        <v>132</v>
      </c>
      <c r="W35" s="9" t="s">
        <v>151</v>
      </c>
      <c r="X35" s="9"/>
      <c r="Y35" s="9"/>
      <c r="Z35" s="9" t="s">
        <v>300</v>
      </c>
      <c r="AA35" s="9" t="s">
        <v>301</v>
      </c>
      <c r="AB35" s="9" t="s">
        <v>302</v>
      </c>
      <c r="AC35" s="9" t="s">
        <v>91</v>
      </c>
      <c r="AD35" s="9"/>
      <c r="AE35" s="9"/>
      <c r="AF35" s="9" t="s">
        <v>303</v>
      </c>
      <c r="AG35" s="9"/>
      <c r="AH35" s="9" t="s">
        <v>213</v>
      </c>
      <c r="AI35" s="9"/>
      <c r="AJ35" s="9"/>
      <c r="AK35" s="9"/>
    </row>
    <row r="36" spans="1:37" ht="14.5" customHeight="1">
      <c r="A36" s="6" t="s">
        <v>304</v>
      </c>
      <c r="B36" s="6">
        <v>0.5</v>
      </c>
      <c r="C36" s="6">
        <v>0.5</v>
      </c>
      <c r="D36" s="6">
        <v>0.5</v>
      </c>
      <c r="E36" s="6">
        <v>0.5</v>
      </c>
      <c r="F36" s="6">
        <v>0.5</v>
      </c>
      <c r="G36" s="6">
        <v>0.5</v>
      </c>
      <c r="H36" s="6">
        <v>0.5</v>
      </c>
      <c r="I36" s="6">
        <v>0.5</v>
      </c>
      <c r="J36" s="6">
        <v>0.5</v>
      </c>
      <c r="K36" s="6">
        <v>0.5</v>
      </c>
      <c r="L36" s="6">
        <v>0.5</v>
      </c>
      <c r="M36" s="6">
        <v>0.5</v>
      </c>
      <c r="N36" s="6">
        <v>0.5</v>
      </c>
      <c r="O36" s="6">
        <v>0.23</v>
      </c>
      <c r="P36" s="6">
        <v>0.5</v>
      </c>
      <c r="Q36" s="6">
        <v>0.5</v>
      </c>
      <c r="R36" s="6">
        <v>0.5</v>
      </c>
      <c r="S36" s="6"/>
      <c r="T36" s="6"/>
      <c r="U36" s="6"/>
      <c r="V36" s="6"/>
      <c r="W36" s="6"/>
      <c r="X36" s="6"/>
      <c r="Y36" s="6"/>
      <c r="Z36" s="6"/>
      <c r="AA36" s="6"/>
      <c r="AB36" s="6"/>
      <c r="AC36" s="6"/>
      <c r="AD36" s="6"/>
      <c r="AE36" s="6"/>
      <c r="AF36" s="6"/>
      <c r="AG36" s="6"/>
      <c r="AH36" s="6" t="s">
        <v>305</v>
      </c>
      <c r="AI36" s="6"/>
      <c r="AJ36" s="6"/>
      <c r="AK36" s="6"/>
    </row>
    <row r="37" spans="1:37" ht="14.5" customHeight="1">
      <c r="A37" s="8" t="s">
        <v>14</v>
      </c>
      <c r="B37" s="8">
        <v>64866</v>
      </c>
      <c r="C37" s="8">
        <v>1351500</v>
      </c>
      <c r="D37" s="8">
        <v>3.5972</v>
      </c>
      <c r="E37" s="8"/>
      <c r="F37" s="10"/>
      <c r="G37" s="19">
        <v>83.8</v>
      </c>
      <c r="H37" s="8">
        <v>296</v>
      </c>
      <c r="I37" s="8">
        <v>1.85</v>
      </c>
      <c r="J37" s="8">
        <v>20400</v>
      </c>
      <c r="K37" s="8">
        <v>2610</v>
      </c>
      <c r="L37" s="8">
        <v>26.5</v>
      </c>
      <c r="M37" s="8">
        <v>12700</v>
      </c>
      <c r="N37" s="8">
        <v>4720</v>
      </c>
      <c r="O37" s="8">
        <v>294</v>
      </c>
      <c r="P37" s="8">
        <v>0.186</v>
      </c>
      <c r="Q37" s="20">
        <v>0.52</v>
      </c>
      <c r="R37" s="8"/>
      <c r="S37" s="8" t="s">
        <v>34</v>
      </c>
      <c r="T37" s="9"/>
      <c r="U37" s="9"/>
      <c r="V37" s="9" t="s">
        <v>92</v>
      </c>
      <c r="W37" s="9" t="s">
        <v>150</v>
      </c>
      <c r="X37" s="9" t="s">
        <v>93</v>
      </c>
      <c r="Y37" s="9"/>
      <c r="Z37" s="9" t="s">
        <v>306</v>
      </c>
      <c r="AA37" s="21" t="s">
        <v>307</v>
      </c>
      <c r="AB37" s="9" t="s">
        <v>208</v>
      </c>
      <c r="AC37" s="9"/>
      <c r="AD37" s="9"/>
      <c r="AE37" s="9"/>
      <c r="AF37" s="9"/>
      <c r="AG37" s="9"/>
      <c r="AH37" s="9"/>
      <c r="AI37" s="9" t="s">
        <v>308</v>
      </c>
      <c r="AJ37" s="9"/>
      <c r="AK37" s="9"/>
    </row>
    <row r="38" spans="1:37" ht="14.5" customHeight="1">
      <c r="A38" s="30" t="s">
        <v>15</v>
      </c>
      <c r="B38" s="6">
        <f>2353/5.1</f>
        <v>461.3725490196079</v>
      </c>
      <c r="C38" s="6">
        <v>745.14</v>
      </c>
      <c r="D38" s="6">
        <v>3.5370000000000002E-3</v>
      </c>
      <c r="E38" s="6"/>
      <c r="F38" s="11"/>
      <c r="G38" s="6"/>
      <c r="H38" s="6"/>
      <c r="I38" s="6"/>
      <c r="J38" s="6">
        <v>12.449078</v>
      </c>
      <c r="K38" s="6">
        <v>24.843557000000001</v>
      </c>
      <c r="L38" s="6">
        <v>8.0507999999999996E-2</v>
      </c>
      <c r="M38" s="6">
        <v>16.420480999999999</v>
      </c>
      <c r="N38" s="6">
        <v>4.8053819999999998</v>
      </c>
      <c r="O38" s="6">
        <v>8.8008670000000002</v>
      </c>
      <c r="P38" s="6">
        <v>5.6010000000000001E-3</v>
      </c>
      <c r="Q38" s="18"/>
      <c r="R38" s="6"/>
      <c r="S38" s="6" t="s">
        <v>34</v>
      </c>
      <c r="T38" s="7"/>
      <c r="U38" s="7" t="s">
        <v>175</v>
      </c>
      <c r="V38" s="7" t="s">
        <v>90</v>
      </c>
      <c r="W38" s="7" t="s">
        <v>112</v>
      </c>
      <c r="X38" s="7"/>
      <c r="Y38" s="7"/>
      <c r="Z38" s="7"/>
      <c r="AA38" s="7"/>
      <c r="AB38" s="7"/>
      <c r="AC38" s="7" t="s">
        <v>112</v>
      </c>
      <c r="AD38" s="7" t="s">
        <v>112</v>
      </c>
      <c r="AE38" s="7" t="s">
        <v>112</v>
      </c>
      <c r="AF38" s="7" t="s">
        <v>112</v>
      </c>
      <c r="AG38" s="7" t="s">
        <v>112</v>
      </c>
      <c r="AH38" s="7" t="s">
        <v>112</v>
      </c>
      <c r="AI38" s="7" t="s">
        <v>112</v>
      </c>
      <c r="AJ38" s="7"/>
      <c r="AK38" s="7"/>
    </row>
    <row r="39" spans="1:37" ht="14.5" customHeight="1">
      <c r="A39" s="31" t="s">
        <v>16</v>
      </c>
      <c r="B39" s="8">
        <v>0.995</v>
      </c>
      <c r="C39" s="8">
        <v>1.75414</v>
      </c>
      <c r="D39" s="8">
        <v>1.119928</v>
      </c>
      <c r="E39" s="8"/>
      <c r="F39" s="10"/>
      <c r="G39" s="8"/>
      <c r="H39" s="8"/>
      <c r="I39" s="8"/>
      <c r="J39" s="8">
        <v>4.5063310000000003</v>
      </c>
      <c r="K39" s="8">
        <v>0.73005399999999998</v>
      </c>
      <c r="L39" s="8">
        <v>1.164431</v>
      </c>
      <c r="M39" s="8">
        <v>2.6196540000000001</v>
      </c>
      <c r="N39" s="8">
        <v>2.6128360000000002</v>
      </c>
      <c r="O39" s="8">
        <v>8.2200999999999996E-2</v>
      </c>
      <c r="P39" s="8">
        <v>0.60348800000000002</v>
      </c>
      <c r="Q39" s="20"/>
      <c r="R39" s="8"/>
      <c r="S39" s="8" t="s">
        <v>34</v>
      </c>
      <c r="T39" s="9"/>
      <c r="U39" s="9" t="s">
        <v>164</v>
      </c>
      <c r="V39" s="9" t="s">
        <v>89</v>
      </c>
      <c r="W39" s="9" t="s">
        <v>112</v>
      </c>
      <c r="X39" s="9"/>
      <c r="Y39" s="9"/>
      <c r="Z39" s="9"/>
      <c r="AA39" s="9"/>
      <c r="AB39" s="9"/>
      <c r="AC39" s="9" t="s">
        <v>112</v>
      </c>
      <c r="AD39" s="9" t="s">
        <v>112</v>
      </c>
      <c r="AE39" s="9" t="s">
        <v>112</v>
      </c>
      <c r="AF39" s="9" t="s">
        <v>112</v>
      </c>
      <c r="AG39" s="9" t="s">
        <v>112</v>
      </c>
      <c r="AH39" s="9" t="s">
        <v>112</v>
      </c>
      <c r="AI39" s="9" t="s">
        <v>112</v>
      </c>
      <c r="AJ39" s="9"/>
      <c r="AK39" s="9"/>
    </row>
    <row r="40" spans="1:37" ht="14.5" customHeight="1">
      <c r="A40" s="30" t="s">
        <v>35</v>
      </c>
      <c r="B40" s="6">
        <f>39.886/1.93</f>
        <v>20.666321243523317</v>
      </c>
      <c r="C40" s="6">
        <v>63.37</v>
      </c>
      <c r="D40" s="6">
        <v>2.2100000000000001E-4</v>
      </c>
      <c r="E40" s="6"/>
      <c r="G40" s="6"/>
      <c r="H40" s="6"/>
      <c r="I40" s="6"/>
      <c r="J40" s="6">
        <v>0.64898900000000004</v>
      </c>
      <c r="K40" s="6">
        <v>1.2763679999999999</v>
      </c>
      <c r="L40" s="6">
        <v>1.6863E-2</v>
      </c>
      <c r="M40" s="6">
        <v>3.8657819999999998</v>
      </c>
      <c r="N40" s="6">
        <v>2.2956560000000001</v>
      </c>
      <c r="O40" s="6">
        <v>0.19573199999999999</v>
      </c>
      <c r="P40" s="6">
        <v>1.7799999999999999E-4</v>
      </c>
      <c r="Q40" s="18"/>
      <c r="R40" s="6"/>
      <c r="S40" s="6" t="s">
        <v>34</v>
      </c>
      <c r="T40" s="7"/>
      <c r="U40" s="7" t="s">
        <v>174</v>
      </c>
      <c r="V40" s="7" t="s">
        <v>89</v>
      </c>
      <c r="W40" s="7" t="s">
        <v>112</v>
      </c>
      <c r="X40" s="7"/>
      <c r="Y40" s="7"/>
      <c r="Z40" s="7"/>
      <c r="AA40" s="7"/>
      <c r="AB40" s="7"/>
      <c r="AC40" s="7" t="s">
        <v>112</v>
      </c>
      <c r="AD40" s="7" t="s">
        <v>112</v>
      </c>
      <c r="AE40" s="7" t="s">
        <v>112</v>
      </c>
      <c r="AF40" s="7" t="s">
        <v>112</v>
      </c>
      <c r="AG40" s="7" t="s">
        <v>112</v>
      </c>
      <c r="AH40" s="7" t="s">
        <v>112</v>
      </c>
      <c r="AI40" s="7" t="s">
        <v>112</v>
      </c>
      <c r="AJ40" s="7"/>
      <c r="AK40" s="7"/>
    </row>
    <row r="41" spans="1:37" ht="14.5" customHeight="1">
      <c r="A41" s="31" t="s">
        <v>36</v>
      </c>
      <c r="B41" s="8">
        <v>0.13320000000000001</v>
      </c>
      <c r="C41" s="8">
        <v>6.0100000000000001E-2</v>
      </c>
      <c r="D41" s="8">
        <v>0.90450399999999997</v>
      </c>
      <c r="E41" s="8"/>
      <c r="F41" s="10"/>
      <c r="G41" s="8"/>
      <c r="H41" s="8"/>
      <c r="I41" s="8"/>
      <c r="J41" s="8">
        <v>0.52081299999999997</v>
      </c>
      <c r="K41" s="8">
        <v>0.39409699999999998</v>
      </c>
      <c r="L41" s="8">
        <v>0.59282599999999996</v>
      </c>
      <c r="M41" s="8">
        <v>0.385681</v>
      </c>
      <c r="N41" s="8">
        <v>0.55151899999999998</v>
      </c>
      <c r="O41" s="8">
        <v>1.142E-3</v>
      </c>
      <c r="P41" s="8">
        <v>0.119309</v>
      </c>
      <c r="Q41" s="20"/>
      <c r="R41" s="8"/>
      <c r="S41" s="8" t="s">
        <v>34</v>
      </c>
      <c r="T41" s="9" t="s">
        <v>328</v>
      </c>
      <c r="U41" s="9" t="s">
        <v>327</v>
      </c>
      <c r="V41" s="9" t="s">
        <v>89</v>
      </c>
      <c r="W41" s="9" t="s">
        <v>112</v>
      </c>
      <c r="X41" s="9"/>
      <c r="Y41" s="9"/>
      <c r="Z41" s="9"/>
      <c r="AA41" s="9"/>
      <c r="AB41" s="9"/>
      <c r="AC41" s="9" t="s">
        <v>112</v>
      </c>
      <c r="AD41" s="9" t="s">
        <v>112</v>
      </c>
      <c r="AE41" s="9" t="s">
        <v>112</v>
      </c>
      <c r="AF41" s="9" t="s">
        <v>112</v>
      </c>
      <c r="AG41" s="9" t="s">
        <v>112</v>
      </c>
      <c r="AH41" s="9" t="s">
        <v>112</v>
      </c>
      <c r="AI41" s="9" t="s">
        <v>112</v>
      </c>
      <c r="AJ41" s="9"/>
      <c r="AK41" s="9"/>
    </row>
    <row r="42" spans="1:37" ht="14.5" customHeight="1">
      <c r="A42" s="6" t="s">
        <v>37</v>
      </c>
      <c r="B42" s="6">
        <v>1807.7719999999999</v>
      </c>
      <c r="C42" s="6">
        <v>670</v>
      </c>
      <c r="D42" s="15">
        <v>44806598</v>
      </c>
      <c r="E42" s="15">
        <v>35736</v>
      </c>
      <c r="F42" s="11"/>
      <c r="G42" s="6">
        <v>30800</v>
      </c>
      <c r="H42" s="15">
        <v>19444</v>
      </c>
      <c r="I42" s="6">
        <v>161000</v>
      </c>
      <c r="J42" s="6">
        <v>6018.558</v>
      </c>
      <c r="K42" s="6">
        <v>14285.808000000001</v>
      </c>
      <c r="L42" s="11">
        <f>16.22*35274</f>
        <v>572144.27999999991</v>
      </c>
      <c r="M42" s="6">
        <v>2535.29</v>
      </c>
      <c r="N42" s="6">
        <v>2006.1859999999999</v>
      </c>
      <c r="O42" s="15">
        <v>24647.428</v>
      </c>
      <c r="P42" s="15">
        <v>27710303</v>
      </c>
      <c r="Q42" s="18">
        <v>58419.6</v>
      </c>
      <c r="R42" s="32">
        <v>11120.835754394531</v>
      </c>
      <c r="S42" s="6" t="s">
        <v>34</v>
      </c>
      <c r="T42" s="7" t="s">
        <v>126</v>
      </c>
      <c r="U42" s="7"/>
      <c r="V42" s="7"/>
      <c r="W42" s="7"/>
      <c r="X42" s="7"/>
      <c r="Y42" s="7"/>
      <c r="Z42" s="23" t="s">
        <v>346</v>
      </c>
      <c r="AA42" s="7"/>
      <c r="AB42" s="23" t="s">
        <v>347</v>
      </c>
      <c r="AC42" s="7" t="s">
        <v>309</v>
      </c>
      <c r="AD42" s="7"/>
      <c r="AE42" s="43" t="s">
        <v>349</v>
      </c>
      <c r="AF42" s="7"/>
      <c r="AG42" s="23" t="s">
        <v>310</v>
      </c>
      <c r="AH42" s="7"/>
      <c r="AI42" s="7"/>
      <c r="AJ42" s="7"/>
      <c r="AK42" s="7" t="s">
        <v>311</v>
      </c>
    </row>
    <row r="43" spans="1:37" ht="14.5" customHeight="1">
      <c r="A43" s="8" t="s">
        <v>125</v>
      </c>
      <c r="B43" s="8">
        <v>706</v>
      </c>
      <c r="C43" s="8">
        <v>25</v>
      </c>
      <c r="D43" s="14">
        <f>D42-1000*35274</f>
        <v>9532598</v>
      </c>
      <c r="E43" s="8"/>
      <c r="F43" s="10"/>
      <c r="G43" s="8">
        <v>15.968999999999999</v>
      </c>
      <c r="H43" s="8">
        <v>4661</v>
      </c>
      <c r="I43" s="8">
        <v>-27033</v>
      </c>
      <c r="J43" s="8">
        <v>211</v>
      </c>
      <c r="K43" s="8">
        <v>1394</v>
      </c>
      <c r="L43" s="14">
        <f>L42-14.86*35274</f>
        <v>47972.639999999956</v>
      </c>
      <c r="M43" s="8">
        <f>M42-0.88*2204.6</f>
        <v>595.24199999999996</v>
      </c>
      <c r="N43" s="8">
        <f>N42-0.77*2204.6</f>
        <v>308.64400000000001</v>
      </c>
      <c r="O43" s="8">
        <v>23820</v>
      </c>
      <c r="P43" s="14">
        <f>P42-696.31*35274</f>
        <v>3148664.0600000024</v>
      </c>
      <c r="Q43" s="20"/>
      <c r="R43" s="8"/>
      <c r="S43" s="8"/>
      <c r="T43" s="8"/>
      <c r="U43" s="8" t="s">
        <v>167</v>
      </c>
      <c r="V43" s="8" t="s">
        <v>169</v>
      </c>
      <c r="W43" s="8" t="s">
        <v>168</v>
      </c>
      <c r="X43" s="8" t="s">
        <v>127</v>
      </c>
      <c r="Y43" s="8"/>
      <c r="Z43" s="24" t="s">
        <v>312</v>
      </c>
      <c r="AA43" s="8" t="s">
        <v>313</v>
      </c>
      <c r="AB43" s="1" t="s">
        <v>348</v>
      </c>
      <c r="AC43" s="8" t="s">
        <v>314</v>
      </c>
      <c r="AD43" s="8" t="s">
        <v>315</v>
      </c>
      <c r="AE43" s="8" t="s">
        <v>350</v>
      </c>
      <c r="AF43" s="8" t="s">
        <v>172</v>
      </c>
      <c r="AG43" s="8" t="s">
        <v>171</v>
      </c>
      <c r="AH43" s="8" t="s">
        <v>127</v>
      </c>
      <c r="AI43" s="8" t="s">
        <v>170</v>
      </c>
      <c r="AJ43" s="8"/>
      <c r="AK43" s="9"/>
    </row>
    <row r="44" spans="1:37" ht="14.5" customHeight="1">
      <c r="A44" s="30" t="s">
        <v>38</v>
      </c>
      <c r="B44" s="6">
        <v>0</v>
      </c>
      <c r="C44" s="6">
        <v>3.5595105672969966E-2</v>
      </c>
      <c r="D44" s="6">
        <v>0.41146924083769632</v>
      </c>
      <c r="E44" s="6">
        <v>0.23853211009174313</v>
      </c>
      <c r="F44" s="11"/>
      <c r="G44" s="6"/>
      <c r="H44" s="6"/>
      <c r="I44" s="6"/>
      <c r="J44" s="6">
        <v>0.33660000000000001</v>
      </c>
      <c r="K44" s="6">
        <v>0.29027355623100304</v>
      </c>
      <c r="L44" s="6">
        <v>0.56660119287056465</v>
      </c>
      <c r="M44" s="6">
        <v>0.60416666666666663</v>
      </c>
      <c r="N44" s="6">
        <v>0.68702522029778179</v>
      </c>
      <c r="O44" s="6">
        <v>0.26022304832713755</v>
      </c>
      <c r="P44" s="6">
        <v>0.54192825112107623</v>
      </c>
      <c r="Q44" s="18"/>
      <c r="R44" s="6">
        <v>0.22445561139028475</v>
      </c>
      <c r="S44" s="6" t="s">
        <v>34</v>
      </c>
      <c r="T44" s="6"/>
      <c r="U44" s="6" t="s">
        <v>166</v>
      </c>
      <c r="V44" s="7" t="s">
        <v>88</v>
      </c>
      <c r="W44" s="7" t="s">
        <v>88</v>
      </c>
      <c r="X44" s="7"/>
      <c r="Y44" s="7"/>
      <c r="Z44" s="7" t="s">
        <v>316</v>
      </c>
      <c r="AA44" s="7"/>
      <c r="AB44" s="7"/>
      <c r="AC44" s="7" t="s">
        <v>124</v>
      </c>
      <c r="AD44" s="7" t="s">
        <v>124</v>
      </c>
      <c r="AE44" s="7" t="s">
        <v>124</v>
      </c>
      <c r="AF44" s="7" t="s">
        <v>124</v>
      </c>
      <c r="AG44" s="7" t="s">
        <v>124</v>
      </c>
      <c r="AH44" s="7" t="s">
        <v>124</v>
      </c>
      <c r="AI44" s="7" t="s">
        <v>124</v>
      </c>
      <c r="AJ44" s="7" t="s">
        <v>123</v>
      </c>
      <c r="AK44" s="7"/>
    </row>
    <row r="45" spans="1:37" ht="14.5" customHeight="1">
      <c r="A45" s="31" t="s">
        <v>39</v>
      </c>
      <c r="B45" s="8">
        <v>1</v>
      </c>
      <c r="C45" s="8">
        <v>0.46329254727474972</v>
      </c>
      <c r="D45" s="8">
        <v>0.49825752617801045</v>
      </c>
      <c r="E45" s="8">
        <v>0.67889908256880738</v>
      </c>
      <c r="F45" s="10"/>
      <c r="G45" s="8"/>
      <c r="H45" s="8"/>
      <c r="I45" s="8"/>
      <c r="J45" s="8">
        <v>0.61550000000000005</v>
      </c>
      <c r="K45" s="8">
        <v>0.68844984802431608</v>
      </c>
      <c r="L45" s="8">
        <v>0.37476819923156995</v>
      </c>
      <c r="M45" s="8">
        <v>0.35165550595238093</v>
      </c>
      <c r="N45" s="8">
        <v>0.2707383773928897</v>
      </c>
      <c r="O45" s="8">
        <v>0.64312267657992561</v>
      </c>
      <c r="P45" s="8">
        <v>0.33004484304932735</v>
      </c>
      <c r="Q45" s="28"/>
      <c r="R45" s="8">
        <v>0.45561139028475711</v>
      </c>
      <c r="S45" s="8" t="s">
        <v>34</v>
      </c>
      <c r="T45" s="8"/>
      <c r="U45" s="8" t="s">
        <v>166</v>
      </c>
      <c r="V45" s="9" t="s">
        <v>88</v>
      </c>
      <c r="W45" s="9" t="s">
        <v>88</v>
      </c>
      <c r="X45" s="9"/>
      <c r="Y45" s="9"/>
      <c r="Z45" s="9" t="s">
        <v>317</v>
      </c>
      <c r="AA45" s="9"/>
      <c r="AB45" s="9"/>
      <c r="AC45" s="9" t="s">
        <v>124</v>
      </c>
      <c r="AD45" s="9" t="s">
        <v>124</v>
      </c>
      <c r="AE45" s="9" t="s">
        <v>124</v>
      </c>
      <c r="AF45" s="9" t="s">
        <v>124</v>
      </c>
      <c r="AG45" s="9" t="s">
        <v>124</v>
      </c>
      <c r="AH45" s="9" t="s">
        <v>124</v>
      </c>
      <c r="AI45" s="9" t="s">
        <v>124</v>
      </c>
      <c r="AJ45" s="9" t="s">
        <v>123</v>
      </c>
      <c r="AK45" s="9"/>
    </row>
    <row r="46" spans="1:37" ht="14.5" customHeight="1">
      <c r="A46" s="30" t="s">
        <v>40</v>
      </c>
      <c r="B46" s="6">
        <v>0</v>
      </c>
      <c r="C46" s="6">
        <v>1.1123470522803114E-3</v>
      </c>
      <c r="D46" s="6">
        <v>2.6333442408376963E-2</v>
      </c>
      <c r="E46" s="6">
        <v>4.5871559633027525E-2</v>
      </c>
      <c r="F46" s="11"/>
      <c r="G46" s="6"/>
      <c r="H46" s="6"/>
      <c r="I46" s="6"/>
      <c r="J46" s="6">
        <v>2.8199999999999999E-2</v>
      </c>
      <c r="K46" s="6">
        <v>2.1276595744680851E-2</v>
      </c>
      <c r="L46" s="6">
        <v>3.2714861804723751E-2</v>
      </c>
      <c r="M46" s="6">
        <v>2.7994791666666668E-2</v>
      </c>
      <c r="N46" s="6">
        <v>2.3701002734731084E-2</v>
      </c>
      <c r="O46" s="6">
        <v>9.6654275092936809E-2</v>
      </c>
      <c r="P46" s="6">
        <v>0.12645739910313902</v>
      </c>
      <c r="Q46" s="26"/>
      <c r="R46" s="6">
        <v>8.3752093802345051E-3</v>
      </c>
      <c r="S46" s="6" t="s">
        <v>34</v>
      </c>
      <c r="T46" s="6"/>
      <c r="U46" s="6" t="s">
        <v>166</v>
      </c>
      <c r="V46" s="7" t="s">
        <v>88</v>
      </c>
      <c r="W46" s="7" t="s">
        <v>88</v>
      </c>
      <c r="X46" s="7"/>
      <c r="Y46" s="7"/>
      <c r="Z46" s="7"/>
      <c r="AA46" s="7"/>
      <c r="AB46" s="7"/>
      <c r="AC46" s="7" t="s">
        <v>124</v>
      </c>
      <c r="AD46" s="7" t="s">
        <v>124</v>
      </c>
      <c r="AE46" s="7" t="s">
        <v>124</v>
      </c>
      <c r="AF46" s="7" t="s">
        <v>124</v>
      </c>
      <c r="AG46" s="7" t="s">
        <v>124</v>
      </c>
      <c r="AH46" s="7" t="s">
        <v>124</v>
      </c>
      <c r="AI46" s="7" t="s">
        <v>124</v>
      </c>
      <c r="AJ46" s="7" t="s">
        <v>123</v>
      </c>
      <c r="AK46" s="7"/>
    </row>
    <row r="47" spans="1:37" ht="14.5" customHeight="1">
      <c r="A47" s="31" t="s">
        <v>41</v>
      </c>
      <c r="B47" s="8">
        <v>0</v>
      </c>
      <c r="C47" s="8">
        <v>0.5</v>
      </c>
      <c r="D47" s="8">
        <v>6.1420157068062829E-2</v>
      </c>
      <c r="E47" s="8">
        <v>3.669724770642202E-2</v>
      </c>
      <c r="F47" s="8"/>
      <c r="G47" s="8"/>
      <c r="H47" s="8"/>
      <c r="I47" s="8"/>
      <c r="J47" s="8">
        <v>1.9699999999999999E-2</v>
      </c>
      <c r="K47" s="8">
        <v>0</v>
      </c>
      <c r="L47" s="8">
        <v>2.5156055840595024E-2</v>
      </c>
      <c r="M47" s="8">
        <v>1.6183035714285716E-2</v>
      </c>
      <c r="N47" s="8">
        <v>1.8535399574597388E-2</v>
      </c>
      <c r="O47" s="8">
        <v>0</v>
      </c>
      <c r="P47" s="8">
        <v>1.569506726457399E-3</v>
      </c>
      <c r="Q47" s="28"/>
      <c r="R47" s="8">
        <v>3.350083752093802E-2</v>
      </c>
      <c r="S47" s="8" t="s">
        <v>34</v>
      </c>
      <c r="T47" s="8"/>
      <c r="U47" s="8" t="s">
        <v>166</v>
      </c>
      <c r="V47" s="9" t="s">
        <v>88</v>
      </c>
      <c r="W47" s="9" t="s">
        <v>88</v>
      </c>
      <c r="X47" s="9"/>
      <c r="Y47" s="9"/>
      <c r="Z47" s="9"/>
      <c r="AA47" s="9"/>
      <c r="AB47" s="9"/>
      <c r="AC47" s="9" t="s">
        <v>124</v>
      </c>
      <c r="AD47" s="9" t="s">
        <v>124</v>
      </c>
      <c r="AE47" s="9" t="s">
        <v>124</v>
      </c>
      <c r="AF47" s="9" t="s">
        <v>124</v>
      </c>
      <c r="AG47" s="9" t="s">
        <v>124</v>
      </c>
      <c r="AH47" s="9" t="s">
        <v>124</v>
      </c>
      <c r="AI47" s="9" t="s">
        <v>124</v>
      </c>
      <c r="AJ47" s="9" t="s">
        <v>123</v>
      </c>
      <c r="AK47" s="9"/>
    </row>
    <row r="48" spans="1:37" ht="14.5" customHeight="1">
      <c r="A48" s="30" t="s">
        <v>42</v>
      </c>
      <c r="B48" s="6">
        <v>0</v>
      </c>
      <c r="C48" s="6">
        <v>0</v>
      </c>
      <c r="D48" s="6">
        <v>2.5196335078534033E-3</v>
      </c>
      <c r="E48" s="6">
        <v>0</v>
      </c>
      <c r="F48" s="6"/>
      <c r="G48" s="6"/>
      <c r="H48" s="6"/>
      <c r="I48" s="6"/>
      <c r="J48" s="6">
        <v>0</v>
      </c>
      <c r="K48" s="6">
        <v>0</v>
      </c>
      <c r="L48" s="6">
        <v>7.5969025254658709E-4</v>
      </c>
      <c r="M48" s="6">
        <v>0</v>
      </c>
      <c r="N48" s="6">
        <v>0</v>
      </c>
      <c r="O48" s="6">
        <v>0</v>
      </c>
      <c r="P48" s="6">
        <v>0</v>
      </c>
      <c r="Q48" s="26"/>
      <c r="R48" s="6">
        <v>0.27805695142378561</v>
      </c>
      <c r="S48" s="6" t="s">
        <v>34</v>
      </c>
      <c r="T48" s="6"/>
      <c r="U48" s="6" t="s">
        <v>166</v>
      </c>
      <c r="V48" s="7" t="s">
        <v>88</v>
      </c>
      <c r="W48" s="7" t="s">
        <v>88</v>
      </c>
      <c r="X48" s="7"/>
      <c r="Y48" s="7"/>
      <c r="Z48" s="7"/>
      <c r="AA48" s="7"/>
      <c r="AB48" s="7"/>
      <c r="AC48" s="7" t="s">
        <v>124</v>
      </c>
      <c r="AD48" s="7" t="s">
        <v>124</v>
      </c>
      <c r="AE48" s="7" t="s">
        <v>124</v>
      </c>
      <c r="AF48" s="7" t="s">
        <v>124</v>
      </c>
      <c r="AG48" s="7" t="s">
        <v>124</v>
      </c>
      <c r="AH48" s="7" t="s">
        <v>124</v>
      </c>
      <c r="AI48" s="7" t="s">
        <v>124</v>
      </c>
      <c r="AJ48" s="7" t="s">
        <v>123</v>
      </c>
      <c r="AK48" s="7"/>
    </row>
    <row r="49" spans="1:37" ht="14.5" customHeight="1">
      <c r="A49" s="33" t="s">
        <v>43</v>
      </c>
      <c r="B49" s="16"/>
      <c r="C49" s="16"/>
      <c r="D49" s="16"/>
      <c r="E49" s="16"/>
      <c r="F49" s="16"/>
      <c r="G49" s="16"/>
      <c r="H49" s="16"/>
      <c r="I49" s="16"/>
      <c r="J49" s="16"/>
      <c r="K49" s="16"/>
      <c r="L49" s="16"/>
      <c r="M49" s="16"/>
      <c r="N49" s="16"/>
      <c r="O49" s="16"/>
      <c r="P49" s="16"/>
      <c r="Q49" s="34"/>
      <c r="R49" s="16"/>
      <c r="S49" s="16" t="s">
        <v>34</v>
      </c>
      <c r="T49" s="16"/>
      <c r="U49" s="16"/>
      <c r="V49" s="17"/>
      <c r="W49" s="17"/>
      <c r="X49" s="17"/>
      <c r="Y49" s="17"/>
      <c r="Z49" s="17"/>
      <c r="AA49" s="17"/>
      <c r="AB49" s="17"/>
      <c r="AC49" s="17"/>
      <c r="AD49" s="17"/>
      <c r="AE49" s="17"/>
      <c r="AF49" s="17"/>
      <c r="AG49" s="17"/>
      <c r="AH49" s="17"/>
      <c r="AI49" s="17"/>
      <c r="AJ49" s="17"/>
      <c r="AK49" s="9"/>
    </row>
    <row r="50" spans="1:37" ht="14.5" customHeight="1">
      <c r="A50" s="6" t="s">
        <v>44</v>
      </c>
      <c r="B50" s="6"/>
      <c r="C50" s="6"/>
      <c r="D50" s="6"/>
      <c r="E50" s="6"/>
      <c r="F50" s="6"/>
      <c r="G50" s="6"/>
      <c r="H50" s="6"/>
      <c r="I50" s="6"/>
      <c r="J50" s="6"/>
      <c r="K50" s="6"/>
      <c r="L50" s="6"/>
      <c r="M50" s="6"/>
      <c r="N50" s="6"/>
      <c r="O50" s="6"/>
      <c r="P50" s="6"/>
      <c r="Q50" s="26"/>
      <c r="R50" s="6"/>
      <c r="S50" s="6" t="s">
        <v>34</v>
      </c>
      <c r="T50" s="7"/>
      <c r="U50" s="7"/>
      <c r="V50" s="7"/>
      <c r="W50" s="7"/>
      <c r="X50" s="7"/>
      <c r="Y50" s="7"/>
      <c r="Z50" s="7"/>
      <c r="AA50" s="7"/>
      <c r="AB50" s="7"/>
      <c r="AC50" s="7"/>
      <c r="AD50" s="7"/>
      <c r="AE50" s="7"/>
      <c r="AF50" s="7"/>
      <c r="AG50" s="7"/>
      <c r="AH50" s="7"/>
      <c r="AI50" s="7"/>
      <c r="AJ50" s="7"/>
      <c r="AK50" s="7"/>
    </row>
    <row r="51" spans="1:37" ht="14.5" customHeight="1">
      <c r="A51" s="8" t="s">
        <v>45</v>
      </c>
      <c r="B51" s="8"/>
      <c r="C51" s="8"/>
      <c r="D51" s="8"/>
      <c r="E51" s="8"/>
      <c r="F51" s="8"/>
      <c r="G51" s="8"/>
      <c r="H51" s="8"/>
      <c r="I51" s="8"/>
      <c r="J51" s="8"/>
      <c r="K51" s="8"/>
      <c r="L51" s="8"/>
      <c r="M51" s="8"/>
      <c r="N51" s="8"/>
      <c r="O51" s="8"/>
      <c r="P51" s="8"/>
      <c r="Q51" s="28"/>
      <c r="R51" s="8"/>
      <c r="S51" s="8" t="s">
        <v>34</v>
      </c>
      <c r="T51" s="9"/>
      <c r="U51" s="9"/>
      <c r="V51" s="9"/>
      <c r="W51" s="9"/>
      <c r="X51" s="9"/>
      <c r="Y51" s="9"/>
      <c r="Z51" s="9"/>
      <c r="AA51" s="9"/>
      <c r="AB51" s="9"/>
      <c r="AC51" s="9"/>
      <c r="AD51" s="9"/>
      <c r="AE51" s="9"/>
      <c r="AF51" s="9"/>
      <c r="AG51" s="9"/>
      <c r="AH51" s="9"/>
      <c r="AI51" s="9"/>
      <c r="AJ51" s="9"/>
      <c r="AK51" s="9"/>
    </row>
    <row r="52" spans="1:37" ht="14.5" customHeight="1">
      <c r="A52" s="6" t="s">
        <v>46</v>
      </c>
      <c r="B52" s="6"/>
      <c r="C52" s="6"/>
      <c r="D52" s="6"/>
      <c r="E52" s="6"/>
      <c r="F52" s="6"/>
      <c r="G52" s="6"/>
      <c r="H52" s="6"/>
      <c r="I52" s="6"/>
      <c r="J52" s="6"/>
      <c r="K52" s="6"/>
      <c r="L52" s="6"/>
      <c r="M52" s="6"/>
      <c r="N52" s="6"/>
      <c r="O52" s="6"/>
      <c r="P52" s="6"/>
      <c r="Q52" s="26"/>
      <c r="R52" s="6"/>
      <c r="S52" s="6" t="s">
        <v>34</v>
      </c>
      <c r="T52" s="7"/>
      <c r="U52" s="7"/>
      <c r="V52" s="7"/>
      <c r="W52" s="7"/>
      <c r="X52" s="7"/>
      <c r="Y52" s="7"/>
      <c r="Z52" s="7"/>
      <c r="AA52" s="7"/>
      <c r="AB52" s="7"/>
      <c r="AC52" s="7"/>
      <c r="AD52" s="7"/>
      <c r="AE52" s="7"/>
      <c r="AF52" s="7"/>
      <c r="AG52" s="7"/>
      <c r="AH52" s="7"/>
      <c r="AI52" s="7"/>
      <c r="AJ52" s="7"/>
      <c r="AK52" s="7"/>
    </row>
    <row r="53" spans="1:37" ht="14.5" customHeight="1">
      <c r="A53" s="8" t="s">
        <v>47</v>
      </c>
      <c r="B53" s="8"/>
      <c r="C53" s="8"/>
      <c r="D53" s="8"/>
      <c r="E53" s="8"/>
      <c r="F53" s="8"/>
      <c r="G53" s="8"/>
      <c r="H53" s="8"/>
      <c r="I53" s="8"/>
      <c r="J53" s="8"/>
      <c r="K53" s="8"/>
      <c r="L53" s="8"/>
      <c r="M53" s="8"/>
      <c r="N53" s="8"/>
      <c r="O53" s="8"/>
      <c r="P53" s="8"/>
      <c r="Q53" s="28"/>
      <c r="R53" s="8"/>
      <c r="S53" s="8" t="s">
        <v>34</v>
      </c>
      <c r="T53" s="9"/>
      <c r="U53" s="9"/>
      <c r="V53" s="9"/>
      <c r="W53" s="9"/>
      <c r="X53" s="9"/>
      <c r="Y53" s="9"/>
      <c r="Z53" s="9"/>
      <c r="AA53" s="9"/>
      <c r="AB53" s="9"/>
      <c r="AC53" s="9"/>
      <c r="AD53" s="9"/>
      <c r="AE53" s="9"/>
      <c r="AF53" s="9"/>
      <c r="AG53" s="9"/>
      <c r="AH53" s="9"/>
      <c r="AI53" s="9"/>
      <c r="AJ53" s="9"/>
      <c r="AK53" s="9"/>
    </row>
    <row r="54" spans="1:37" ht="14.5" customHeight="1">
      <c r="A54" s="6" t="s">
        <v>48</v>
      </c>
      <c r="B54" s="6"/>
      <c r="C54" s="6"/>
      <c r="D54" s="6"/>
      <c r="E54" s="6"/>
      <c r="F54" s="6"/>
      <c r="G54" s="6"/>
      <c r="H54" s="6"/>
      <c r="I54" s="6"/>
      <c r="J54" s="6"/>
      <c r="K54" s="6"/>
      <c r="L54" s="6"/>
      <c r="M54" s="6"/>
      <c r="N54" s="6"/>
      <c r="O54" s="6"/>
      <c r="P54" s="6"/>
      <c r="Q54" s="26"/>
      <c r="R54" s="6"/>
      <c r="S54" s="6" t="s">
        <v>34</v>
      </c>
      <c r="T54" s="7"/>
      <c r="U54" s="7"/>
      <c r="V54" s="7"/>
      <c r="W54" s="7"/>
      <c r="X54" s="7"/>
      <c r="Y54" s="7"/>
      <c r="Z54" s="7"/>
      <c r="AA54" s="7"/>
      <c r="AB54" s="7"/>
      <c r="AC54" s="7"/>
      <c r="AD54" s="7"/>
      <c r="AE54" s="7"/>
      <c r="AF54" s="7"/>
      <c r="AG54" s="7"/>
      <c r="AH54" s="7"/>
      <c r="AI54" s="7"/>
      <c r="AJ54" s="7"/>
      <c r="AK54" s="7"/>
    </row>
    <row r="55" spans="1:37" ht="14.5" customHeight="1">
      <c r="A55" s="8" t="s">
        <v>49</v>
      </c>
      <c r="B55" s="8"/>
      <c r="C55" s="8"/>
      <c r="D55" s="8"/>
      <c r="E55" s="8"/>
      <c r="F55" s="8"/>
      <c r="G55" s="8"/>
      <c r="H55" s="8"/>
      <c r="I55" s="8"/>
      <c r="J55" s="8"/>
      <c r="K55" s="8"/>
      <c r="L55" s="8"/>
      <c r="M55" s="8"/>
      <c r="N55" s="8"/>
      <c r="O55" s="8"/>
      <c r="P55" s="8"/>
      <c r="Q55" s="28"/>
      <c r="R55" s="8"/>
      <c r="S55" s="8" t="s">
        <v>34</v>
      </c>
      <c r="T55" s="9"/>
      <c r="U55" s="9"/>
      <c r="V55" s="9"/>
      <c r="W55" s="9"/>
      <c r="X55" s="9"/>
      <c r="Y55" s="9"/>
      <c r="Z55" s="9"/>
      <c r="AA55" s="9"/>
      <c r="AB55" s="9"/>
      <c r="AC55" s="9"/>
      <c r="AD55" s="9"/>
      <c r="AE55" s="9"/>
      <c r="AF55" s="9"/>
      <c r="AG55" s="9"/>
      <c r="AH55" s="9"/>
      <c r="AI55" s="9"/>
      <c r="AJ55" s="9"/>
      <c r="AK55" s="9"/>
    </row>
    <row r="56" spans="1:37" ht="14.5" customHeight="1">
      <c r="A56" s="6" t="s">
        <v>50</v>
      </c>
      <c r="B56" s="6"/>
      <c r="C56" s="6"/>
      <c r="D56" s="6"/>
      <c r="E56" s="6"/>
      <c r="F56" s="6"/>
      <c r="G56" s="6"/>
      <c r="H56" s="6"/>
      <c r="I56" s="6"/>
      <c r="J56" s="6"/>
      <c r="K56" s="6"/>
      <c r="L56" s="6"/>
      <c r="M56" s="6"/>
      <c r="N56" s="6"/>
      <c r="O56" s="6"/>
      <c r="P56" s="6"/>
      <c r="Q56" s="26"/>
      <c r="R56" s="6"/>
      <c r="S56" s="6" t="s">
        <v>34</v>
      </c>
      <c r="T56" s="7"/>
      <c r="U56" s="7"/>
      <c r="V56" s="7"/>
      <c r="W56" s="7"/>
      <c r="X56" s="7"/>
      <c r="Y56" s="7"/>
      <c r="Z56" s="7"/>
      <c r="AA56" s="7"/>
      <c r="AB56" s="7"/>
      <c r="AC56" s="7"/>
      <c r="AD56" s="7"/>
      <c r="AE56" s="7"/>
      <c r="AF56" s="7"/>
      <c r="AG56" s="7"/>
      <c r="AH56" s="7"/>
      <c r="AI56" s="7"/>
      <c r="AJ56" s="7"/>
      <c r="AK56" s="7"/>
    </row>
    <row r="57" spans="1:37" ht="14.5" customHeight="1">
      <c r="A57" s="8" t="s">
        <v>51</v>
      </c>
      <c r="B57" s="8"/>
      <c r="C57" s="8"/>
      <c r="D57" s="8"/>
      <c r="E57" s="8"/>
      <c r="F57" s="8"/>
      <c r="G57" s="8"/>
      <c r="H57" s="8"/>
      <c r="I57" s="8"/>
      <c r="J57" s="8"/>
      <c r="K57" s="8"/>
      <c r="L57" s="8"/>
      <c r="M57" s="8"/>
      <c r="N57" s="8"/>
      <c r="O57" s="8"/>
      <c r="P57" s="8"/>
      <c r="Q57" s="28"/>
      <c r="R57" s="8"/>
      <c r="S57" s="8" t="s">
        <v>34</v>
      </c>
      <c r="T57" s="9"/>
      <c r="U57" s="9"/>
      <c r="V57" s="9"/>
      <c r="W57" s="9"/>
      <c r="X57" s="9"/>
      <c r="Y57" s="9"/>
      <c r="Z57" s="9"/>
      <c r="AA57" s="9"/>
      <c r="AB57" s="9"/>
      <c r="AC57" s="9"/>
      <c r="AD57" s="9"/>
      <c r="AE57" s="9"/>
      <c r="AF57" s="9"/>
      <c r="AG57" s="9"/>
      <c r="AH57" s="9"/>
      <c r="AI57" s="9"/>
      <c r="AJ57" s="9"/>
      <c r="AK57" s="9"/>
    </row>
    <row r="58" spans="1:37" ht="14.5" customHeight="1">
      <c r="A58" s="6" t="s">
        <v>52</v>
      </c>
      <c r="B58" s="6"/>
      <c r="C58" s="6"/>
      <c r="D58" s="6"/>
      <c r="E58" s="6"/>
      <c r="F58" s="6"/>
      <c r="G58" s="6"/>
      <c r="H58" s="6"/>
      <c r="I58" s="6"/>
      <c r="J58" s="6"/>
      <c r="K58" s="6"/>
      <c r="L58" s="6"/>
      <c r="M58" s="6"/>
      <c r="N58" s="6"/>
      <c r="O58" s="6"/>
      <c r="P58" s="6"/>
      <c r="Q58" s="26"/>
      <c r="R58" s="6"/>
      <c r="S58" s="6" t="s">
        <v>34</v>
      </c>
      <c r="T58" s="7"/>
      <c r="U58" s="7"/>
      <c r="V58" s="7"/>
      <c r="W58" s="7"/>
      <c r="X58" s="7"/>
      <c r="Y58" s="7"/>
      <c r="Z58" s="7"/>
      <c r="AA58" s="7"/>
      <c r="AB58" s="7"/>
      <c r="AC58" s="7"/>
      <c r="AD58" s="7"/>
      <c r="AE58" s="7"/>
      <c r="AF58" s="7"/>
      <c r="AG58" s="7"/>
      <c r="AH58" s="7"/>
      <c r="AI58" s="7"/>
      <c r="AJ58" s="7"/>
      <c r="AK58" s="7"/>
    </row>
    <row r="59" spans="1:37" ht="14.5" customHeight="1">
      <c r="A59" s="8" t="s">
        <v>53</v>
      </c>
      <c r="B59" s="8"/>
      <c r="C59" s="8"/>
      <c r="D59" s="8"/>
      <c r="E59" s="8"/>
      <c r="F59" s="8"/>
      <c r="G59" s="8"/>
      <c r="H59" s="8"/>
      <c r="I59" s="8"/>
      <c r="J59" s="8"/>
      <c r="K59" s="8"/>
      <c r="L59" s="8"/>
      <c r="M59" s="8"/>
      <c r="N59" s="8"/>
      <c r="O59" s="8"/>
      <c r="P59" s="8"/>
      <c r="Q59" s="28"/>
      <c r="R59" s="8"/>
      <c r="S59" s="8" t="s">
        <v>34</v>
      </c>
      <c r="T59" s="9"/>
      <c r="U59" s="9"/>
      <c r="V59" s="9"/>
      <c r="W59" s="9"/>
      <c r="X59" s="9"/>
      <c r="Y59" s="9"/>
      <c r="Z59" s="9"/>
      <c r="AA59" s="9"/>
      <c r="AB59" s="9"/>
      <c r="AC59" s="9"/>
      <c r="AD59" s="9"/>
      <c r="AE59" s="9"/>
      <c r="AF59" s="9"/>
      <c r="AG59" s="9"/>
      <c r="AH59" s="9"/>
      <c r="AI59" s="9"/>
      <c r="AJ59" s="9"/>
      <c r="AK59" s="9"/>
    </row>
    <row r="60" spans="1:37" ht="14.5" customHeight="1">
      <c r="A60" s="6" t="s">
        <v>54</v>
      </c>
      <c r="B60" s="6"/>
      <c r="C60" s="6"/>
      <c r="D60" s="6"/>
      <c r="E60" s="6"/>
      <c r="F60" s="6"/>
      <c r="G60" s="6"/>
      <c r="H60" s="6"/>
      <c r="I60" s="6"/>
      <c r="J60" s="6"/>
      <c r="K60" s="6"/>
      <c r="L60" s="6"/>
      <c r="M60" s="6"/>
      <c r="N60" s="6"/>
      <c r="O60" s="6"/>
      <c r="P60" s="6"/>
      <c r="Q60" s="26"/>
      <c r="R60" s="6"/>
      <c r="S60" s="6" t="s">
        <v>34</v>
      </c>
      <c r="T60" s="7"/>
      <c r="U60" s="7"/>
      <c r="V60" s="7"/>
      <c r="W60" s="7"/>
      <c r="X60" s="7"/>
      <c r="Y60" s="7"/>
      <c r="Z60" s="7"/>
      <c r="AA60" s="7"/>
      <c r="AB60" s="7"/>
      <c r="AC60" s="7"/>
      <c r="AD60" s="7"/>
      <c r="AE60" s="7"/>
      <c r="AF60" s="7"/>
      <c r="AG60" s="7"/>
      <c r="AH60" s="7"/>
      <c r="AI60" s="7"/>
      <c r="AJ60" s="7"/>
      <c r="AK60" s="7"/>
    </row>
    <row r="61" spans="1:37" ht="14.5" customHeight="1">
      <c r="A61" s="8" t="s">
        <v>55</v>
      </c>
      <c r="B61" s="8"/>
      <c r="C61" s="8"/>
      <c r="D61" s="8"/>
      <c r="E61" s="8"/>
      <c r="F61" s="8"/>
      <c r="G61" s="8"/>
      <c r="H61" s="8"/>
      <c r="I61" s="8"/>
      <c r="J61" s="8"/>
      <c r="K61" s="8"/>
      <c r="L61" s="8"/>
      <c r="M61" s="8"/>
      <c r="N61" s="8"/>
      <c r="O61" s="8"/>
      <c r="P61" s="8"/>
      <c r="Q61" s="28"/>
      <c r="R61" s="8"/>
      <c r="S61" s="8" t="s">
        <v>34</v>
      </c>
      <c r="T61" s="9"/>
      <c r="U61" s="9"/>
      <c r="V61" s="9"/>
      <c r="W61" s="9"/>
      <c r="X61" s="9"/>
      <c r="Y61" s="9"/>
      <c r="Z61" s="9"/>
      <c r="AA61" s="9"/>
      <c r="AB61" s="9"/>
      <c r="AC61" s="9"/>
      <c r="AD61" s="9"/>
      <c r="AE61" s="9"/>
      <c r="AF61" s="9"/>
      <c r="AG61" s="9"/>
      <c r="AH61" s="9"/>
      <c r="AI61" s="9"/>
      <c r="AJ61" s="9"/>
      <c r="AK61" s="9"/>
    </row>
    <row r="62" spans="1:37" ht="14.5" customHeight="1">
      <c r="A62" s="6" t="s">
        <v>56</v>
      </c>
      <c r="B62" s="6"/>
      <c r="C62" s="6"/>
      <c r="D62" s="6"/>
      <c r="E62" s="6"/>
      <c r="F62" s="6"/>
      <c r="G62" s="6"/>
      <c r="H62" s="6"/>
      <c r="I62" s="6"/>
      <c r="J62" s="6"/>
      <c r="K62" s="6"/>
      <c r="L62" s="6"/>
      <c r="M62" s="6"/>
      <c r="N62" s="6"/>
      <c r="O62" s="6"/>
      <c r="P62" s="6"/>
      <c r="Q62" s="26"/>
      <c r="R62" s="6"/>
      <c r="S62" s="6" t="s">
        <v>34</v>
      </c>
      <c r="T62" s="7"/>
      <c r="U62" s="7"/>
      <c r="V62" s="7"/>
      <c r="W62" s="7"/>
      <c r="X62" s="7"/>
      <c r="Y62" s="7"/>
      <c r="Z62" s="7"/>
      <c r="AA62" s="7"/>
      <c r="AB62" s="7"/>
      <c r="AC62" s="7"/>
      <c r="AD62" s="7"/>
      <c r="AE62" s="7"/>
      <c r="AF62" s="7"/>
      <c r="AG62" s="7"/>
      <c r="AH62" s="7"/>
      <c r="AI62" s="7"/>
      <c r="AJ62" s="7"/>
      <c r="AK62" s="7"/>
    </row>
    <row r="63" spans="1:37" ht="14.5" customHeight="1">
      <c r="A63" s="8" t="s">
        <v>57</v>
      </c>
      <c r="B63" s="8"/>
      <c r="C63" s="8"/>
      <c r="D63" s="8"/>
      <c r="E63" s="8"/>
      <c r="F63" s="8"/>
      <c r="G63" s="8"/>
      <c r="H63" s="8"/>
      <c r="I63" s="8"/>
      <c r="J63" s="8"/>
      <c r="K63" s="8"/>
      <c r="L63" s="8"/>
      <c r="M63" s="8"/>
      <c r="N63" s="8"/>
      <c r="O63" s="8"/>
      <c r="P63" s="8"/>
      <c r="Q63" s="28"/>
      <c r="R63" s="8"/>
      <c r="S63" s="8" t="s">
        <v>34</v>
      </c>
      <c r="T63" s="9"/>
      <c r="U63" s="9"/>
      <c r="V63" s="9"/>
      <c r="W63" s="9"/>
      <c r="X63" s="9"/>
      <c r="Y63" s="9"/>
      <c r="Z63" s="9"/>
      <c r="AA63" s="9"/>
      <c r="AB63" s="9"/>
      <c r="AC63" s="9"/>
      <c r="AD63" s="9"/>
      <c r="AE63" s="9"/>
      <c r="AF63" s="9"/>
      <c r="AG63" s="9"/>
      <c r="AH63" s="9"/>
      <c r="AI63" s="9"/>
      <c r="AJ63" s="9"/>
      <c r="AK63" s="9"/>
    </row>
    <row r="64" spans="1:37">
      <c r="A64" s="6" t="s">
        <v>58</v>
      </c>
      <c r="B64" s="6"/>
      <c r="C64" s="6"/>
      <c r="D64" s="6"/>
      <c r="E64" s="6"/>
      <c r="F64" s="6"/>
      <c r="G64" s="6"/>
      <c r="H64" s="6"/>
      <c r="I64" s="6"/>
      <c r="J64" s="6"/>
      <c r="K64" s="6"/>
      <c r="L64" s="6"/>
      <c r="M64" s="6"/>
      <c r="N64" s="6"/>
      <c r="O64" s="6"/>
      <c r="P64" s="6"/>
      <c r="Q64" s="26"/>
      <c r="R64" s="6"/>
      <c r="S64" s="6" t="s">
        <v>34</v>
      </c>
      <c r="T64" s="7"/>
      <c r="U64" s="7"/>
      <c r="V64" s="7"/>
      <c r="W64" s="7"/>
      <c r="X64" s="7"/>
      <c r="Y64" s="7"/>
      <c r="Z64" s="7"/>
      <c r="AA64" s="7"/>
      <c r="AB64" s="7"/>
      <c r="AC64" s="7"/>
      <c r="AD64" s="7"/>
      <c r="AE64" s="7"/>
      <c r="AF64" s="7"/>
      <c r="AG64" s="7"/>
      <c r="AH64" s="7"/>
      <c r="AI64" s="7"/>
      <c r="AJ64" s="7"/>
      <c r="AK64" s="7"/>
    </row>
    <row r="65" spans="1:37">
      <c r="A65" s="8" t="s">
        <v>59</v>
      </c>
      <c r="B65" s="8"/>
      <c r="C65" s="8"/>
      <c r="D65" s="8"/>
      <c r="E65" s="8"/>
      <c r="F65" s="8"/>
      <c r="G65" s="8"/>
      <c r="H65" s="8"/>
      <c r="I65" s="8"/>
      <c r="J65" s="8"/>
      <c r="K65" s="8"/>
      <c r="L65" s="8"/>
      <c r="M65" s="8"/>
      <c r="N65" s="8"/>
      <c r="O65" s="8"/>
      <c r="P65" s="8"/>
      <c r="Q65" s="28"/>
      <c r="R65" s="8"/>
      <c r="S65" s="8" t="s">
        <v>34</v>
      </c>
      <c r="T65" s="9"/>
      <c r="U65" s="9"/>
      <c r="V65" s="9"/>
      <c r="W65" s="9"/>
      <c r="X65" s="9"/>
      <c r="Y65" s="9"/>
      <c r="Z65" s="9"/>
      <c r="AA65" s="9"/>
      <c r="AB65" s="9"/>
      <c r="AC65" s="9"/>
      <c r="AD65" s="9"/>
      <c r="AE65" s="9"/>
      <c r="AF65" s="9"/>
      <c r="AG65" s="9"/>
      <c r="AH65" s="9"/>
      <c r="AI65" s="9"/>
      <c r="AJ65" s="9"/>
      <c r="AK65" s="9"/>
    </row>
    <row r="66" spans="1:37">
      <c r="A66" s="6" t="s">
        <v>60</v>
      </c>
      <c r="B66" s="6"/>
      <c r="C66" s="6"/>
      <c r="D66" s="6"/>
      <c r="E66" s="6"/>
      <c r="F66" s="6"/>
      <c r="G66" s="6"/>
      <c r="H66" s="6"/>
      <c r="I66" s="6"/>
      <c r="J66" s="6"/>
      <c r="K66" s="6"/>
      <c r="L66" s="6"/>
      <c r="M66" s="6"/>
      <c r="N66" s="6"/>
      <c r="O66" s="6"/>
      <c r="P66" s="6"/>
      <c r="Q66" s="26"/>
      <c r="R66" s="6"/>
      <c r="S66" s="6" t="s">
        <v>34</v>
      </c>
      <c r="T66" s="7"/>
      <c r="U66" s="7"/>
      <c r="V66" s="7"/>
      <c r="W66" s="7"/>
      <c r="X66" s="7"/>
      <c r="Y66" s="7"/>
      <c r="Z66" s="7"/>
      <c r="AA66" s="7"/>
      <c r="AB66" s="7"/>
      <c r="AC66" s="7"/>
      <c r="AD66" s="7"/>
      <c r="AE66" s="7"/>
      <c r="AF66" s="7"/>
      <c r="AG66" s="7"/>
      <c r="AH66" s="7"/>
      <c r="AI66" s="7"/>
      <c r="AJ66" s="7"/>
      <c r="AK66" s="7"/>
    </row>
    <row r="67" spans="1:37">
      <c r="A67" s="8" t="s">
        <v>61</v>
      </c>
      <c r="B67" s="8"/>
      <c r="C67" s="8"/>
      <c r="D67" s="8"/>
      <c r="E67" s="8"/>
      <c r="F67" s="8"/>
      <c r="G67" s="8"/>
      <c r="H67" s="8"/>
      <c r="I67" s="8"/>
      <c r="J67" s="8"/>
      <c r="K67" s="8"/>
      <c r="L67" s="8"/>
      <c r="M67" s="8"/>
      <c r="N67" s="8"/>
      <c r="O67" s="8"/>
      <c r="P67" s="8"/>
      <c r="Q67" s="28"/>
      <c r="R67" s="8"/>
      <c r="S67" s="8" t="s">
        <v>34</v>
      </c>
      <c r="T67" s="9"/>
      <c r="U67" s="9"/>
      <c r="V67" s="9"/>
      <c r="W67" s="9"/>
      <c r="X67" s="9"/>
      <c r="Y67" s="9"/>
      <c r="Z67" s="9"/>
      <c r="AA67" s="9"/>
      <c r="AB67" s="9"/>
      <c r="AC67" s="9"/>
      <c r="AD67" s="9"/>
      <c r="AE67" s="9"/>
      <c r="AF67" s="9"/>
      <c r="AG67" s="9"/>
      <c r="AH67" s="9"/>
      <c r="AI67" s="9"/>
      <c r="AJ67" s="9"/>
      <c r="AK67" s="9"/>
    </row>
    <row r="68" spans="1:37">
      <c r="A68" s="6" t="s">
        <v>62</v>
      </c>
      <c r="B68" s="6"/>
      <c r="C68" s="6"/>
      <c r="D68" s="6"/>
      <c r="E68" s="6"/>
      <c r="F68" s="6"/>
      <c r="G68" s="6"/>
      <c r="H68" s="6"/>
      <c r="I68" s="6"/>
      <c r="J68" s="6"/>
      <c r="K68" s="6"/>
      <c r="L68" s="6"/>
      <c r="M68" s="6"/>
      <c r="N68" s="6"/>
      <c r="O68" s="6"/>
      <c r="P68" s="6"/>
      <c r="Q68" s="26"/>
      <c r="R68" s="6"/>
      <c r="S68" s="6" t="s">
        <v>34</v>
      </c>
      <c r="T68" s="7"/>
      <c r="U68" s="7"/>
      <c r="V68" s="7"/>
      <c r="W68" s="7"/>
      <c r="X68" s="7"/>
      <c r="Y68" s="7"/>
      <c r="Z68" s="7"/>
      <c r="AA68" s="7"/>
      <c r="AB68" s="7"/>
      <c r="AC68" s="7"/>
      <c r="AD68" s="7"/>
      <c r="AE68" s="7"/>
      <c r="AF68" s="7"/>
      <c r="AG68" s="7"/>
      <c r="AH68" s="7"/>
      <c r="AI68" s="7"/>
      <c r="AJ68" s="7"/>
      <c r="AK68" s="7"/>
    </row>
    <row r="69" spans="1:37">
      <c r="A69" s="8" t="s">
        <v>63</v>
      </c>
      <c r="B69" s="8"/>
      <c r="C69" s="8"/>
      <c r="D69" s="8"/>
      <c r="E69" s="8"/>
      <c r="F69" s="8"/>
      <c r="G69" s="8"/>
      <c r="H69" s="8"/>
      <c r="I69" s="8"/>
      <c r="J69" s="8"/>
      <c r="K69" s="8"/>
      <c r="L69" s="8"/>
      <c r="M69" s="8"/>
      <c r="N69" s="8"/>
      <c r="O69" s="8"/>
      <c r="P69" s="8"/>
      <c r="Q69" s="28"/>
      <c r="R69" s="8"/>
      <c r="S69" s="8" t="s">
        <v>34</v>
      </c>
      <c r="T69" s="9"/>
      <c r="U69" s="9"/>
      <c r="V69" s="9"/>
      <c r="W69" s="9"/>
      <c r="X69" s="9"/>
      <c r="Y69" s="9"/>
      <c r="Z69" s="9"/>
      <c r="AA69" s="9"/>
      <c r="AB69" s="9"/>
      <c r="AC69" s="9"/>
      <c r="AD69" s="9"/>
      <c r="AE69" s="9"/>
      <c r="AF69" s="9"/>
      <c r="AG69" s="9"/>
      <c r="AH69" s="9"/>
      <c r="AI69" s="9"/>
      <c r="AJ69" s="9"/>
      <c r="AK69" s="9"/>
    </row>
    <row r="70" spans="1:37">
      <c r="A70" s="6" t="s">
        <v>64</v>
      </c>
      <c r="B70" s="6"/>
      <c r="C70" s="6"/>
      <c r="D70" s="6"/>
      <c r="E70" s="6"/>
      <c r="F70" s="6"/>
      <c r="G70" s="6"/>
      <c r="H70" s="6"/>
      <c r="I70" s="6"/>
      <c r="J70" s="6"/>
      <c r="K70" s="6"/>
      <c r="L70" s="6"/>
      <c r="M70" s="6"/>
      <c r="N70" s="6"/>
      <c r="O70" s="6"/>
      <c r="P70" s="6"/>
      <c r="Q70" s="26"/>
      <c r="R70" s="6"/>
      <c r="S70" s="6" t="s">
        <v>34</v>
      </c>
      <c r="T70" s="7"/>
      <c r="U70" s="7"/>
      <c r="V70" s="7"/>
      <c r="W70" s="7"/>
      <c r="X70" s="7"/>
      <c r="Y70" s="7"/>
      <c r="Z70" s="7"/>
      <c r="AA70" s="7"/>
      <c r="AB70" s="7"/>
      <c r="AC70" s="7"/>
      <c r="AD70" s="7"/>
      <c r="AE70" s="7"/>
      <c r="AF70" s="7"/>
      <c r="AG70" s="7"/>
      <c r="AH70" s="7"/>
      <c r="AI70" s="7"/>
      <c r="AJ70" s="7"/>
      <c r="AK70" s="7"/>
    </row>
    <row r="71" spans="1:37">
      <c r="A71" s="8" t="s">
        <v>65</v>
      </c>
      <c r="B71" s="8"/>
      <c r="C71" s="8"/>
      <c r="D71" s="8"/>
      <c r="E71" s="8"/>
      <c r="F71" s="8"/>
      <c r="G71" s="8"/>
      <c r="H71" s="8"/>
      <c r="I71" s="8"/>
      <c r="J71" s="8"/>
      <c r="K71" s="8"/>
      <c r="L71" s="8"/>
      <c r="M71" s="8"/>
      <c r="N71" s="8"/>
      <c r="O71" s="8"/>
      <c r="P71" s="8"/>
      <c r="Q71" s="28"/>
      <c r="R71" s="8"/>
      <c r="S71" s="8" t="s">
        <v>34</v>
      </c>
      <c r="T71" s="9"/>
      <c r="U71" s="9"/>
      <c r="V71" s="9"/>
      <c r="W71" s="9"/>
      <c r="X71" s="9"/>
      <c r="Y71" s="9"/>
      <c r="Z71" s="9"/>
      <c r="AA71" s="9"/>
      <c r="AB71" s="9"/>
      <c r="AC71" s="9"/>
      <c r="AD71" s="9"/>
      <c r="AE71" s="9"/>
      <c r="AF71" s="9"/>
      <c r="AG71" s="9"/>
      <c r="AH71" s="9"/>
      <c r="AI71" s="9"/>
      <c r="AJ71" s="9"/>
      <c r="AK71" s="9"/>
    </row>
    <row r="72" spans="1:37">
      <c r="A72" s="6" t="s">
        <v>66</v>
      </c>
      <c r="B72" s="6"/>
      <c r="C72" s="6"/>
      <c r="D72" s="6"/>
      <c r="E72" s="6"/>
      <c r="F72" s="6"/>
      <c r="G72" s="6"/>
      <c r="H72" s="6"/>
      <c r="I72" s="6"/>
      <c r="J72" s="6"/>
      <c r="K72" s="6"/>
      <c r="L72" s="6"/>
      <c r="M72" s="6"/>
      <c r="N72" s="6"/>
      <c r="O72" s="6"/>
      <c r="P72" s="6"/>
      <c r="Q72" s="26"/>
      <c r="R72" s="6"/>
      <c r="S72" s="6" t="s">
        <v>34</v>
      </c>
      <c r="T72" s="7"/>
      <c r="U72" s="7"/>
      <c r="V72" s="7"/>
      <c r="W72" s="7"/>
      <c r="X72" s="7"/>
      <c r="Y72" s="7"/>
      <c r="Z72" s="7"/>
      <c r="AA72" s="7"/>
      <c r="AB72" s="7"/>
      <c r="AC72" s="7"/>
      <c r="AD72" s="7"/>
      <c r="AE72" s="7"/>
      <c r="AF72" s="7"/>
      <c r="AG72" s="7"/>
      <c r="AH72" s="7"/>
      <c r="AI72" s="7"/>
      <c r="AJ72" s="7"/>
      <c r="AK72" s="7"/>
    </row>
    <row r="73" spans="1:37">
      <c r="A73" s="8" t="s">
        <v>67</v>
      </c>
      <c r="B73" s="8"/>
      <c r="C73" s="8"/>
      <c r="D73" s="8"/>
      <c r="E73" s="8"/>
      <c r="F73" s="8"/>
      <c r="G73" s="8"/>
      <c r="H73" s="8"/>
      <c r="I73" s="8"/>
      <c r="J73" s="8"/>
      <c r="K73" s="8"/>
      <c r="L73" s="8"/>
      <c r="M73" s="8"/>
      <c r="N73" s="8"/>
      <c r="O73" s="8"/>
      <c r="P73" s="8"/>
      <c r="Q73" s="28"/>
      <c r="R73" s="8"/>
      <c r="S73" s="8" t="s">
        <v>34</v>
      </c>
      <c r="T73" s="9"/>
      <c r="U73" s="9"/>
      <c r="V73" s="9"/>
      <c r="W73" s="9"/>
      <c r="X73" s="9"/>
      <c r="Y73" s="9"/>
      <c r="Z73" s="9"/>
      <c r="AA73" s="9"/>
      <c r="AB73" s="9"/>
      <c r="AC73" s="9"/>
      <c r="AD73" s="9"/>
      <c r="AE73" s="9"/>
      <c r="AF73" s="9"/>
      <c r="AG73" s="9"/>
      <c r="AH73" s="9"/>
      <c r="AI73" s="9"/>
      <c r="AJ73" s="9"/>
      <c r="AK73" s="9"/>
    </row>
    <row r="74" spans="1:37">
      <c r="A74" s="48" t="s">
        <v>68</v>
      </c>
      <c r="B74" s="48"/>
      <c r="C74" s="48"/>
      <c r="D74" s="48"/>
      <c r="E74" s="48"/>
      <c r="F74" s="48"/>
      <c r="G74" s="48"/>
      <c r="H74" s="48"/>
      <c r="I74" s="48"/>
      <c r="J74" s="48"/>
      <c r="K74" s="48"/>
      <c r="L74" s="48"/>
      <c r="M74" s="48"/>
      <c r="N74" s="48"/>
      <c r="O74" s="48"/>
      <c r="P74" s="48"/>
      <c r="Q74" s="49"/>
      <c r="R74" s="48"/>
      <c r="S74" s="48" t="s">
        <v>34</v>
      </c>
      <c r="T74" s="50"/>
      <c r="U74" s="50"/>
      <c r="V74" s="50"/>
      <c r="W74" s="50"/>
      <c r="X74" s="50"/>
      <c r="Y74" s="50"/>
      <c r="Z74" s="50"/>
      <c r="AA74" s="50"/>
      <c r="AB74" s="50"/>
      <c r="AC74" s="50"/>
      <c r="AD74" s="50"/>
      <c r="AE74" s="50"/>
      <c r="AF74" s="50"/>
      <c r="AG74" s="50"/>
      <c r="AH74" s="50"/>
      <c r="AI74" s="50"/>
      <c r="AJ74" s="50"/>
      <c r="AK74" s="50"/>
    </row>
    <row r="90" spans="1:30">
      <c r="A90" s="8" t="s">
        <v>26</v>
      </c>
      <c r="B90">
        <f>1-SUM(B91:B94)</f>
        <v>0.19100000000000006</v>
      </c>
      <c r="F90" t="s">
        <v>359</v>
      </c>
      <c r="G90" t="s">
        <v>360</v>
      </c>
      <c r="H90" t="s">
        <v>361</v>
      </c>
      <c r="AA90" t="s">
        <v>364</v>
      </c>
      <c r="AB90" t="s">
        <v>236</v>
      </c>
      <c r="AC90" t="s">
        <v>362</v>
      </c>
      <c r="AD90" t="s">
        <v>363</v>
      </c>
    </row>
    <row r="91" spans="1:30">
      <c r="A91" s="6" t="s">
        <v>27</v>
      </c>
      <c r="B91">
        <f>(48.3/2+1+5.2/2)/100</f>
        <v>0.27750000000000002</v>
      </c>
      <c r="F91">
        <v>48.3</v>
      </c>
      <c r="G91">
        <v>15.5</v>
      </c>
      <c r="H91">
        <v>14.7</v>
      </c>
      <c r="AA91">
        <v>5.2</v>
      </c>
      <c r="AB91">
        <v>7.3</v>
      </c>
      <c r="AC91">
        <v>2</v>
      </c>
      <c r="AD91">
        <v>7</v>
      </c>
    </row>
    <row r="92" spans="1:30">
      <c r="A92" s="8" t="s">
        <v>28</v>
      </c>
      <c r="B92">
        <f>48.3/2/100</f>
        <v>0.24149999999999999</v>
      </c>
      <c r="F92" t="s">
        <v>365</v>
      </c>
      <c r="G92" t="s">
        <v>366</v>
      </c>
      <c r="H92" t="s">
        <v>367</v>
      </c>
      <c r="AA92" t="s">
        <v>366</v>
      </c>
      <c r="AB92" t="s">
        <v>368</v>
      </c>
      <c r="AC92" t="s">
        <v>369</v>
      </c>
    </row>
    <row r="93" spans="1:30">
      <c r="A93" s="6" t="s">
        <v>29</v>
      </c>
      <c r="B93">
        <f>(7+14.7)/100</f>
        <v>0.217</v>
      </c>
    </row>
    <row r="94" spans="1:30">
      <c r="A94" s="8" t="s">
        <v>30</v>
      </c>
      <c r="B94">
        <f>7.3/100</f>
        <v>7.2999999999999995E-2</v>
      </c>
    </row>
  </sheetData>
  <phoneticPr fontId="12" type="noConversion"/>
  <hyperlinks>
    <hyperlink ref="AA37" r:id="rId1" xr:uid="{6C67CDAA-2665-4775-9282-51BF337D6400}"/>
    <hyperlink ref="Z18" r:id="rId2" xr:uid="{DA6EF610-1C91-4FFC-B33E-FCB1533D420F}"/>
    <hyperlink ref="AB18" r:id="rId3" location=":~:text=Whilst%20MLCCs%20are%20susceptible%20to,of%202%20years%20or%20less." xr:uid="{FABCDFF4-E4CA-458B-BCEE-0CAD21F7BF23}"/>
    <hyperlink ref="Z3" r:id="rId4" xr:uid="{058CD847-D57F-4B41-8903-40B77D35105D}"/>
    <hyperlink ref="Z27" r:id="rId5" display="https://www.sciencedirect.com/science/article/pii/S0263436821000780" xr:uid="{895943B2-F3C7-4D0B-B90F-3A30C24BE91A}"/>
    <hyperlink ref="Z30" r:id="rId6" xr:uid="{FFFDAB7D-1256-45F7-AFB1-D22344886650}"/>
    <hyperlink ref="Z42" r:id="rId7" display="https://www.statista.com/statistics/1009446/tungsten-price/" xr:uid="{97F82DFC-6810-4593-8955-863ACBB3DF37}"/>
    <hyperlink ref="AA5" r:id="rId8" display="https://pubs.usgs.gov/periodicals/mcs2020/mcs2020-tin.pdf" xr:uid="{A3F1EB02-E5A1-49A7-8496-FD8516064D80}"/>
    <hyperlink ref="AB3" r:id="rId9" xr:uid="{ED5EB351-2DB6-48D4-A8B2-6EB12F62BC77}"/>
    <hyperlink ref="AB43" r:id="rId10" xr:uid="{846992AD-3ACB-4557-A7FA-7B00720CF198}"/>
    <hyperlink ref="AB42" r:id="rId11" display="https://www.argusmedia.com/en/news/2222244-eu-tantalum-prices-rebound-on-higher-input-costs" xr:uid="{B03EDC8A-A85B-4AE1-81A1-8460229585D4}"/>
    <hyperlink ref="AB27" r:id="rId12" xr:uid="{F9134EB4-AF7C-4CC4-BB1D-F4A8A307BE54}"/>
    <hyperlink ref="AB28" r:id="rId13" xr:uid="{E0E0ACF1-2E42-4611-9CCF-374D8A3492D0}"/>
    <hyperlink ref="Z43" r:id="rId14" xr:uid="{9E254A45-F310-4AC5-BD1A-6656B4CE3760}"/>
    <hyperlink ref="AG42" r:id="rId15" xr:uid="{6B03944F-71E5-41D8-B06A-84DE89DA203B}"/>
    <hyperlink ref="AH33" r:id="rId16" xr:uid="{908B8CEB-0A15-4A26-8D30-F41FB42DECF8}"/>
    <hyperlink ref="AI19" r:id="rId17" display="https://www.mdpi.com/2079-9276/10/9/93/pdf" xr:uid="{6918E342-8074-47B2-B087-613D5AC7C8D0}"/>
    <hyperlink ref="AD34" r:id="rId18" display="https://www.copper.org/publications/newsletters/innovations/2001/08/hydrometallurgy.html" xr:uid="{BF4C9410-63BA-47BC-A63D-15337BE7BC5D}"/>
    <hyperlink ref="AE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 ref="AG6" r:id="rId20" xr:uid="{0F67CDD1-7035-DC44-9CA6-CA547F4A120E}"/>
    <hyperlink ref="AE7" r:id="rId21" xr:uid="{798E403D-86FA-8F4E-A18B-F39FDE87D1E1}"/>
    <hyperlink ref="AF7" r:id="rId22" xr:uid="{0E247788-8755-934D-922D-DF24A7747C35}"/>
    <hyperlink ref="AD7" r:id="rId23" display="https://www.sciencedirect.com/science/article/pii/S0921344917301817" xr:uid="{00987C5A-86EF-7449-830B-14136FA25644}"/>
    <hyperlink ref="AA7" r:id="rId24" display="https://www.sciencedirect.com/science/article/pii/S0048969718312373" xr:uid="{2FC36872-A372-8149-979C-5C1EB12DAB3C}"/>
    <hyperlink ref="AA8" r:id="rId25" display="https://www.sciencedirect.com/science/article/pii/S0048969718312373" xr:uid="{6485F26B-C8ED-7D47-AA92-D1F7CF8E46F1}"/>
    <hyperlink ref="AA9" r:id="rId26" display="https://www.sciencedirect.com/science/article/pii/S0048969718312373" xr:uid="{D2CF26CA-B025-4C41-899C-2215D4981909}"/>
    <hyperlink ref="AA10" r:id="rId27" display="https://www.sciencedirect.com/science/article/pii/S0048969718312373" xr:uid="{1F472A81-9D59-9340-B578-AD40B57FC5DB}"/>
    <hyperlink ref="AA11" r:id="rId28" display="https://www.sciencedirect.com/science/article/pii/S0048969718312373" xr:uid="{6A858768-DF1D-7A42-9B84-D34C269B492D}"/>
    <hyperlink ref="AG7" r:id="rId29" xr:uid="{BDB1FBCE-8E5B-E446-9521-78DC3859DF64}"/>
    <hyperlink ref="AG26" r:id="rId30" display="https://www.recyclingtoday.com/article/battery-council-international-lead-battery-recycling/" xr:uid="{EEE1D733-973D-194D-89E1-ED66138A0CA6}"/>
    <hyperlink ref="AF22" r:id="rId31" xr:uid="{1EBCFBC8-5E0B-3343-B5E4-413BE8F9F076}"/>
    <hyperlink ref="AD17" r:id="rId32" xr:uid="{5BF8B3C9-6734-4540-AB66-56985B2BD4D4}"/>
    <hyperlink ref="AD18" r:id="rId33" xr:uid="{3F6D9065-8733-8048-969F-D3F9B2D846FF}"/>
    <hyperlink ref="AD19" r:id="rId34" xr:uid="{DDC6013A-65C0-C747-8B90-58FABD091EA8}"/>
    <hyperlink ref="AD20" r:id="rId35" xr:uid="{34C61E79-65B5-784B-91E7-D6EFA72E1C16}"/>
    <hyperlink ref="AD21" r:id="rId36" xr:uid="{28856D38-242E-DF4D-A9C7-34619BAC263B}"/>
    <hyperlink ref="AD22" r:id="rId37" xr:uid="{DD334BF5-7CCC-854C-87DB-FD9A495C64E3}"/>
    <hyperlink ref="AD23" r:id="rId38" xr:uid="{960BA8A2-4FFC-D049-A2D2-78ED92322EB5}"/>
    <hyperlink ref="AD24" r:id="rId39" xr:uid="{9776F84E-607F-4340-99D2-0CF5831412A8}"/>
    <hyperlink ref="AD25" r:id="rId40" xr:uid="{E9CAE11E-46BE-D941-AC51-89FBCFAD8F10}"/>
    <hyperlink ref="AD26" r:id="rId41" xr:uid="{08C1E42C-92E1-A54A-9894-BB1716DCEAAE}"/>
    <hyperlink ref="AA22" r:id="rId42" xr:uid="{AB2B8C02-763D-B846-8D3A-C52B9C52ECE4}"/>
    <hyperlink ref="AA23" r:id="rId43" xr:uid="{D83C3CF7-5DCF-3B40-A3CE-426314CA2F28}"/>
    <hyperlink ref="AA24" r:id="rId44" xr:uid="{3658CDFA-B475-A248-8C69-D9B9ABC6614B}"/>
    <hyperlink ref="AA25" r:id="rId45" xr:uid="{8080BCC5-66E2-2349-97CE-9A809D50840E}"/>
    <hyperlink ref="AA26" r:id="rId46" xr:uid="{BBF2DF10-2671-734D-88B6-394D9C60D4A5}"/>
    <hyperlink ref="AF23" r:id="rId47" xr:uid="{DEC718A9-543E-DA46-97C4-748B0830EED9}"/>
    <hyperlink ref="AF24" r:id="rId48" xr:uid="{841D0090-CE2C-6B4D-8911-C602FC5CA170}"/>
    <hyperlink ref="AF25" r:id="rId49" xr:uid="{EF554BD6-D3AF-2A4B-AB8C-E9433478750A}"/>
    <hyperlink ref="AF26" r:id="rId50" xr:uid="{F7723C52-BBC3-F24E-AAE4-A9B42CB8045B}"/>
  </hyperlinks>
  <pageMargins left="0.7" right="0.7" top="0.75" bottom="0.75" header="0.3" footer="0.3"/>
  <pageSetup orientation="portrait" r:id="rId51"/>
  <tableParts count="1">
    <tablePart r:id="rId5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E34"/>
  <sheetViews>
    <sheetView topLeftCell="A9" workbookViewId="0">
      <selection activeCell="F31" sqref="F31"/>
    </sheetView>
  </sheetViews>
  <sheetFormatPr baseColWidth="10" defaultColWidth="8.83203125" defaultRowHeight="15"/>
  <cols>
    <col min="3" max="3" width="10.1640625" bestFit="1" customWidth="1"/>
    <col min="6" max="6" width="10.5" customWidth="1"/>
    <col min="27" max="27" width="9.1640625" bestFit="1" customWidth="1"/>
  </cols>
  <sheetData>
    <row r="1" spans="1:5">
      <c r="B1" t="s">
        <v>184</v>
      </c>
      <c r="C1" t="s">
        <v>188</v>
      </c>
      <c r="D1" t="s">
        <v>190</v>
      </c>
      <c r="E1" t="s">
        <v>196</v>
      </c>
    </row>
    <row r="2" spans="1:5">
      <c r="A2" t="s">
        <v>176</v>
      </c>
      <c r="B2" t="s">
        <v>335</v>
      </c>
      <c r="E2" t="s">
        <v>336</v>
      </c>
    </row>
    <row r="3" spans="1:5">
      <c r="A3">
        <v>1991</v>
      </c>
      <c r="B3">
        <v>19.179588989644255</v>
      </c>
      <c r="D3" s="1"/>
      <c r="E3">
        <v>3.8069431775500351</v>
      </c>
    </row>
    <row r="4" spans="1:5">
      <c r="A4">
        <v>1992</v>
      </c>
      <c r="B4">
        <v>19.579331437463111</v>
      </c>
      <c r="D4" s="1"/>
      <c r="E4">
        <v>3.9786446316467243</v>
      </c>
    </row>
    <row r="5" spans="1:5">
      <c r="A5">
        <v>1993</v>
      </c>
      <c r="B5">
        <v>20.700756559532117</v>
      </c>
      <c r="D5" s="1"/>
      <c r="E5">
        <v>3.9840103020872455</v>
      </c>
    </row>
    <row r="6" spans="1:5">
      <c r="A6">
        <v>1994</v>
      </c>
      <c r="B6">
        <v>20.593443150721683</v>
      </c>
      <c r="D6" s="1"/>
      <c r="E6">
        <v>4.0779095347963734</v>
      </c>
    </row>
    <row r="7" spans="1:5">
      <c r="A7">
        <v>1995</v>
      </c>
      <c r="B7">
        <v>20.6470998551269</v>
      </c>
      <c r="D7" s="1"/>
      <c r="E7">
        <v>4.3703385738047968</v>
      </c>
    </row>
    <row r="8" spans="1:5">
      <c r="A8">
        <v>1996</v>
      </c>
      <c r="B8">
        <v>21.808767505499812</v>
      </c>
      <c r="D8" s="1"/>
      <c r="E8">
        <v>4.2496109888930622</v>
      </c>
    </row>
    <row r="9" spans="1:5">
      <c r="A9">
        <v>1997</v>
      </c>
      <c r="B9">
        <v>22.672640446423781</v>
      </c>
      <c r="D9" s="1"/>
      <c r="E9">
        <v>4.5420400279014865</v>
      </c>
    </row>
    <row r="10" spans="1:5">
      <c r="A10">
        <v>1998</v>
      </c>
      <c r="B10">
        <v>22.358748725653271</v>
      </c>
      <c r="D10" s="1"/>
      <c r="E10">
        <v>5.204163760261844</v>
      </c>
    </row>
    <row r="11" spans="1:5">
      <c r="A11">
        <v>1999</v>
      </c>
      <c r="B11">
        <v>23.802114074153568</v>
      </c>
      <c r="D11" s="1"/>
      <c r="E11">
        <v>4.8720287599935608</v>
      </c>
    </row>
    <row r="12" spans="1:5">
      <c r="A12">
        <v>2000</v>
      </c>
      <c r="B12">
        <v>25.38766968932768</v>
      </c>
      <c r="D12" s="1"/>
      <c r="E12">
        <v>4.8505660782314761</v>
      </c>
    </row>
    <row r="13" spans="1:5">
      <c r="A13">
        <v>2001</v>
      </c>
      <c r="B13">
        <v>23.772602886730695</v>
      </c>
      <c r="E13">
        <v>5.0705585662928581</v>
      </c>
    </row>
    <row r="14" spans="1:5">
      <c r="A14">
        <v>2002</v>
      </c>
      <c r="B14">
        <v>23.35944626281054</v>
      </c>
      <c r="E14">
        <v>5.2932338895745019</v>
      </c>
    </row>
    <row r="15" spans="1:5">
      <c r="A15">
        <v>2003</v>
      </c>
      <c r="B15">
        <v>23.871867789880344</v>
      </c>
      <c r="E15">
        <v>5.2583570317111121</v>
      </c>
    </row>
    <row r="16" spans="1:5">
      <c r="A16">
        <v>2004</v>
      </c>
      <c r="B16">
        <v>23.67333798358105</v>
      </c>
      <c r="E16">
        <v>5.3307935826581527</v>
      </c>
    </row>
    <row r="17" spans="1:5">
      <c r="A17">
        <v>2005</v>
      </c>
      <c r="B17">
        <v>25.623759188710629</v>
      </c>
      <c r="E17">
        <v>5.4568868380104094</v>
      </c>
    </row>
    <row r="18" spans="1:5">
      <c r="A18">
        <v>2006</v>
      </c>
      <c r="B18">
        <v>24.843054139614743</v>
      </c>
      <c r="E18">
        <v>5.5561517411600576</v>
      </c>
    </row>
    <row r="19" spans="1:5">
      <c r="A19">
        <v>2007</v>
      </c>
      <c r="B19">
        <v>24.494285560980845</v>
      </c>
      <c r="E19">
        <v>5.4783495197724958</v>
      </c>
    </row>
    <row r="20" spans="1:5">
      <c r="A20">
        <v>2008</v>
      </c>
      <c r="B20">
        <v>24.547942265386059</v>
      </c>
      <c r="E20">
        <v>5.4193271449267586</v>
      </c>
    </row>
    <row r="21" spans="1:5">
      <c r="A21">
        <v>2009</v>
      </c>
      <c r="B21">
        <v>24.995975747169609</v>
      </c>
      <c r="E21">
        <v>5.3978644631646722</v>
      </c>
    </row>
    <row r="22" spans="1:5">
      <c r="A22">
        <v>2010</v>
      </c>
      <c r="B22">
        <v>28.872672640446424</v>
      </c>
      <c r="E22">
        <v>6.1383269839566461</v>
      </c>
    </row>
    <row r="23" spans="1:5">
      <c r="A23">
        <v>2011</v>
      </c>
      <c r="B23">
        <v>28.046359392606107</v>
      </c>
      <c r="E23">
        <v>7.0156141009819182</v>
      </c>
    </row>
    <row r="24" spans="1:5">
      <c r="A24">
        <v>2012</v>
      </c>
      <c r="B24">
        <v>28.124161613993667</v>
      </c>
      <c r="E24">
        <v>6.8546439877662708</v>
      </c>
    </row>
    <row r="25" spans="1:5">
      <c r="A25">
        <v>2013</v>
      </c>
      <c r="B25">
        <v>28.738530879433384</v>
      </c>
      <c r="E25">
        <v>5.1698234694425063</v>
      </c>
    </row>
    <row r="26" spans="1:5">
      <c r="A26">
        <v>2014</v>
      </c>
      <c r="B26">
        <v>28.486344368728872</v>
      </c>
      <c r="E26">
        <v>4.6949616354563499</v>
      </c>
    </row>
    <row r="27" spans="1:5">
      <c r="A27">
        <v>2015</v>
      </c>
      <c r="B27">
        <v>28.717068197671303</v>
      </c>
      <c r="E27">
        <v>4.4669206417341849</v>
      </c>
    </row>
    <row r="28" spans="1:5">
      <c r="A28">
        <v>2016</v>
      </c>
      <c r="B28">
        <v>27.520523689434992</v>
      </c>
      <c r="E28">
        <v>4.4132639373289697</v>
      </c>
    </row>
    <row r="29" spans="1:5">
      <c r="A29">
        <v>2017</v>
      </c>
      <c r="B29">
        <v>27.702956484412727</v>
      </c>
      <c r="E29">
        <v>4.5017974995975756</v>
      </c>
    </row>
    <row r="30" spans="1:5">
      <c r="A30">
        <v>2018</v>
      </c>
      <c r="B30">
        <v>26.943714117078926</v>
      </c>
      <c r="E30">
        <v>4.5017974995975756</v>
      </c>
    </row>
    <row r="31" spans="1:5">
      <c r="A31">
        <v>2019</v>
      </c>
      <c r="B31">
        <v>26.704941782475718</v>
      </c>
      <c r="E31">
        <v>4.5742340505446153</v>
      </c>
    </row>
    <row r="32" spans="1:5">
      <c r="A32">
        <v>2020</v>
      </c>
      <c r="B32">
        <v>25.846434511992275</v>
      </c>
      <c r="E32">
        <v>4.885442936094865</v>
      </c>
    </row>
    <row r="33" spans="1:5">
      <c r="A33">
        <v>2021</v>
      </c>
      <c r="B33">
        <v>28.142941460535493</v>
      </c>
      <c r="E33">
        <v>5.2637227021516342</v>
      </c>
    </row>
    <row r="34" spans="1:5">
      <c r="A34">
        <v>2022</v>
      </c>
      <c r="B34">
        <v>29.55947845683318</v>
      </c>
      <c r="E34">
        <v>4.8425175725706922</v>
      </c>
    </row>
  </sheetData>
  <phoneticPr fontId="1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E23"/>
  <sheetViews>
    <sheetView workbookViewId="0">
      <selection activeCell="B2" sqref="B2"/>
    </sheetView>
  </sheetViews>
  <sheetFormatPr baseColWidth="10" defaultColWidth="8.83203125" defaultRowHeight="15"/>
  <sheetData>
    <row r="1" spans="1:5">
      <c r="B1" t="s">
        <v>184</v>
      </c>
      <c r="C1" t="s">
        <v>188</v>
      </c>
      <c r="D1" t="s">
        <v>190</v>
      </c>
      <c r="E1" t="s">
        <v>196</v>
      </c>
    </row>
    <row r="2" spans="1:5">
      <c r="A2" t="s">
        <v>176</v>
      </c>
      <c r="B2" t="s">
        <v>337</v>
      </c>
      <c r="E2" t="s">
        <v>338</v>
      </c>
    </row>
    <row r="3" spans="1:5" ht="16">
      <c r="A3">
        <v>2000</v>
      </c>
      <c r="B3">
        <v>10351.0764090917</v>
      </c>
      <c r="C3" s="3"/>
      <c r="E3" s="41">
        <v>2773.9087386823398</v>
      </c>
    </row>
    <row r="4" spans="1:5">
      <c r="A4">
        <v>2001</v>
      </c>
      <c r="B4">
        <v>9866.3488428836899</v>
      </c>
      <c r="E4" s="41">
        <v>2928.8230456715701</v>
      </c>
    </row>
    <row r="5" spans="1:5">
      <c r="A5">
        <v>2002</v>
      </c>
      <c r="B5">
        <v>9828.3789110155994</v>
      </c>
      <c r="E5" s="41">
        <v>2839.615578167</v>
      </c>
    </row>
    <row r="6" spans="1:5">
      <c r="A6">
        <v>2003</v>
      </c>
      <c r="B6">
        <v>10237.2191670264</v>
      </c>
      <c r="E6" s="41">
        <v>2772.58314615476</v>
      </c>
    </row>
    <row r="7" spans="1:5">
      <c r="A7">
        <v>2004</v>
      </c>
      <c r="B7">
        <v>11502.3667861634</v>
      </c>
      <c r="E7" s="41">
        <v>2883.1146514796301</v>
      </c>
    </row>
    <row r="8" spans="1:5">
      <c r="A8">
        <v>2005</v>
      </c>
      <c r="B8">
        <v>12022.857035605</v>
      </c>
      <c r="E8" s="41">
        <v>3237.7352006186102</v>
      </c>
    </row>
    <row r="9" spans="1:5">
      <c r="A9">
        <v>2006</v>
      </c>
      <c r="B9">
        <v>12543.399838585501</v>
      </c>
      <c r="C9" t="s">
        <v>334</v>
      </c>
      <c r="E9" s="41">
        <v>3592.3557497575903</v>
      </c>
    </row>
    <row r="10" spans="1:5">
      <c r="A10">
        <v>2007</v>
      </c>
      <c r="B10">
        <v>13026.787289551199</v>
      </c>
      <c r="E10" s="41">
        <v>3946.9762988965699</v>
      </c>
    </row>
    <row r="11" spans="1:5">
      <c r="A11">
        <v>2008</v>
      </c>
      <c r="B11">
        <v>13249.404080406901</v>
      </c>
      <c r="E11" s="41">
        <v>4124.0656413781198</v>
      </c>
    </row>
    <row r="12" spans="1:5">
      <c r="A12">
        <v>2009</v>
      </c>
      <c r="B12">
        <v>13025.236960153099</v>
      </c>
      <c r="E12" s="41">
        <v>4234.58078136315</v>
      </c>
    </row>
    <row r="13" spans="1:5">
      <c r="A13">
        <v>2010</v>
      </c>
      <c r="B13">
        <v>13583.0402222264</v>
      </c>
      <c r="E13" s="41">
        <v>4034.3835790179996</v>
      </c>
    </row>
    <row r="14" spans="1:5">
      <c r="A14">
        <v>2011</v>
      </c>
      <c r="B14">
        <v>14066.2700125753</v>
      </c>
      <c r="E14" s="41">
        <v>4033.9417148421398</v>
      </c>
    </row>
    <row r="15" spans="1:5">
      <c r="A15">
        <v>2012</v>
      </c>
      <c r="B15">
        <v>14475.0577150472</v>
      </c>
      <c r="E15" s="41">
        <v>4055.6912514984501</v>
      </c>
    </row>
    <row r="16" spans="1:5">
      <c r="A16">
        <v>2013</v>
      </c>
      <c r="B16">
        <v>14809.429606411501</v>
      </c>
      <c r="E16" s="41">
        <v>4410.3118006374398</v>
      </c>
    </row>
    <row r="17" spans="1:5">
      <c r="A17">
        <v>2014</v>
      </c>
      <c r="B17">
        <v>15255.504044745499</v>
      </c>
      <c r="E17" s="41">
        <v>4676.1831117875499</v>
      </c>
    </row>
    <row r="18" spans="1:5">
      <c r="A18">
        <v>2015</v>
      </c>
      <c r="B18">
        <v>15664.3705775258</v>
      </c>
      <c r="E18" s="41">
        <v>4897.6552559334596</v>
      </c>
    </row>
    <row r="19" spans="1:5">
      <c r="A19">
        <v>2016</v>
      </c>
      <c r="B19">
        <v>16073.184556767199</v>
      </c>
      <c r="E19" s="41">
        <v>5052.5531975828408</v>
      </c>
    </row>
    <row r="20" spans="1:5">
      <c r="A20">
        <v>2017</v>
      </c>
      <c r="B20">
        <v>16593.7273597477</v>
      </c>
      <c r="E20" s="41">
        <v>5296.2167425609305</v>
      </c>
    </row>
    <row r="21" spans="1:5">
      <c r="A21">
        <v>2018</v>
      </c>
      <c r="B21">
        <v>17077.0097036355</v>
      </c>
      <c r="E21" s="41">
        <v>5673.0286925320897</v>
      </c>
    </row>
    <row r="22" spans="1:5">
      <c r="A22">
        <v>2019</v>
      </c>
      <c r="B22">
        <v>17448.642054092597</v>
      </c>
      <c r="E22" s="41">
        <v>6205.1804483284905</v>
      </c>
    </row>
    <row r="23" spans="1:5">
      <c r="A23">
        <v>2020</v>
      </c>
      <c r="B23">
        <v>16889.367292929597</v>
      </c>
      <c r="E23" s="41">
        <v>6226.8972543050995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J34"/>
  <sheetViews>
    <sheetView workbookViewId="0">
      <selection activeCell="B32" sqref="B32"/>
    </sheetView>
  </sheetViews>
  <sheetFormatPr baseColWidth="10" defaultColWidth="8.83203125" defaultRowHeight="15"/>
  <cols>
    <col min="2" max="2" width="10.6640625" bestFit="1" customWidth="1"/>
  </cols>
  <sheetData>
    <row r="1" spans="1:10">
      <c r="B1" t="s">
        <v>184</v>
      </c>
      <c r="C1" t="s">
        <v>188</v>
      </c>
      <c r="D1" t="s">
        <v>190</v>
      </c>
      <c r="E1" t="s">
        <v>196</v>
      </c>
    </row>
    <row r="2" spans="1:10">
      <c r="A2" t="s">
        <v>176</v>
      </c>
      <c r="B2" t="s">
        <v>339</v>
      </c>
      <c r="E2" t="s">
        <v>342</v>
      </c>
      <c r="H2" t="s">
        <v>341</v>
      </c>
      <c r="I2" t="s">
        <v>191</v>
      </c>
      <c r="J2" t="s">
        <v>340</v>
      </c>
    </row>
    <row r="3" spans="1:10">
      <c r="A3">
        <v>1990</v>
      </c>
      <c r="B3">
        <v>5403</v>
      </c>
      <c r="E3" s="41">
        <v>2290</v>
      </c>
    </row>
    <row r="4" spans="1:10">
      <c r="A4">
        <v>1991</v>
      </c>
      <c r="B4">
        <v>5255</v>
      </c>
      <c r="E4" s="41">
        <v>2276</v>
      </c>
    </row>
    <row r="5" spans="1:10">
      <c r="A5">
        <v>1992</v>
      </c>
      <c r="B5">
        <v>5279</v>
      </c>
      <c r="E5" s="41">
        <v>2468</v>
      </c>
    </row>
    <row r="6" spans="1:10">
      <c r="A6">
        <v>1993</v>
      </c>
      <c r="B6">
        <v>5224</v>
      </c>
      <c r="E6" s="41">
        <v>2811</v>
      </c>
    </row>
    <row r="7" spans="1:10">
      <c r="A7">
        <v>1994</v>
      </c>
      <c r="B7">
        <v>5486</v>
      </c>
      <c r="E7" s="41">
        <v>2773</v>
      </c>
    </row>
    <row r="8" spans="1:10">
      <c r="A8">
        <v>1995</v>
      </c>
      <c r="B8">
        <v>5870</v>
      </c>
      <c r="E8" s="41">
        <v>3022</v>
      </c>
    </row>
    <row r="9" spans="1:10">
      <c r="A9">
        <v>1996</v>
      </c>
      <c r="B9">
        <v>5975</v>
      </c>
      <c r="E9" s="41">
        <v>2841</v>
      </c>
    </row>
    <row r="10" spans="1:10">
      <c r="A10">
        <v>1997</v>
      </c>
      <c r="B10">
        <v>6053</v>
      </c>
      <c r="E10" s="41">
        <v>3006</v>
      </c>
    </row>
    <row r="11" spans="1:10">
      <c r="A11">
        <v>1998</v>
      </c>
      <c r="B11">
        <v>6067</v>
      </c>
      <c r="E11" s="41">
        <v>3032</v>
      </c>
    </row>
    <row r="12" spans="1:10">
      <c r="A12">
        <v>1999</v>
      </c>
      <c r="B12">
        <v>6242</v>
      </c>
      <c r="E12" s="41">
        <v>3322</v>
      </c>
    </row>
    <row r="13" spans="1:10">
      <c r="A13">
        <v>2000</v>
      </c>
      <c r="B13">
        <v>6508</v>
      </c>
      <c r="E13" s="41">
        <v>3596</v>
      </c>
    </row>
    <row r="14" spans="1:10">
      <c r="A14">
        <v>2001</v>
      </c>
      <c r="B14">
        <v>6482</v>
      </c>
      <c r="E14" s="41">
        <v>3584</v>
      </c>
    </row>
    <row r="15" spans="1:10">
      <c r="A15">
        <v>2002</v>
      </c>
      <c r="B15">
        <v>6647</v>
      </c>
      <c r="E15" s="41">
        <v>3846</v>
      </c>
    </row>
    <row r="16" spans="1:10">
      <c r="A16">
        <v>2003</v>
      </c>
      <c r="B16">
        <v>6826</v>
      </c>
      <c r="E16" s="41">
        <v>3649</v>
      </c>
    </row>
    <row r="17" spans="1:5">
      <c r="A17">
        <v>2004</v>
      </c>
      <c r="B17">
        <v>7141</v>
      </c>
      <c r="E17" s="41">
        <v>3746</v>
      </c>
    </row>
    <row r="18" spans="1:5">
      <c r="A18">
        <v>2005</v>
      </c>
      <c r="B18">
        <v>7652</v>
      </c>
      <c r="E18" s="41">
        <v>4316.50818139284</v>
      </c>
    </row>
    <row r="19" spans="1:5">
      <c r="A19">
        <v>2006</v>
      </c>
      <c r="B19" s="41">
        <v>8042.6223021582719</v>
      </c>
      <c r="E19" s="41">
        <v>4854.7482013480203</v>
      </c>
    </row>
    <row r="20" spans="1:5">
      <c r="A20">
        <v>2007</v>
      </c>
      <c r="B20" s="41">
        <v>8243.8446043165368</v>
      </c>
      <c r="E20" s="41">
        <v>5198.2613767341099</v>
      </c>
    </row>
    <row r="21" spans="1:5">
      <c r="A21">
        <v>2008</v>
      </c>
      <c r="B21" s="41">
        <v>9064.5039568345273</v>
      </c>
      <c r="E21" s="41">
        <v>5444.4611366192803</v>
      </c>
    </row>
    <row r="22" spans="1:5">
      <c r="A22">
        <v>2009</v>
      </c>
      <c r="B22" s="41">
        <v>9174.295683453227</v>
      </c>
      <c r="E22" s="41">
        <v>5812.6119620613499</v>
      </c>
    </row>
    <row r="23" spans="1:5">
      <c r="A23">
        <v>2010</v>
      </c>
      <c r="B23" s="41">
        <v>9810.2935251798444</v>
      </c>
      <c r="E23" s="41">
        <v>6083.0428684506496</v>
      </c>
    </row>
    <row r="24" spans="1:5">
      <c r="A24">
        <v>2011</v>
      </c>
      <c r="B24" s="41">
        <v>10504.199999999899</v>
      </c>
      <c r="E24" s="41">
        <v>5963.3187353952198</v>
      </c>
    </row>
    <row r="25" spans="1:5">
      <c r="A25">
        <v>2012</v>
      </c>
      <c r="B25" s="41">
        <v>10623.157194244588</v>
      </c>
      <c r="E25" s="41">
        <v>6209.4124508755604</v>
      </c>
    </row>
    <row r="26" spans="1:5">
      <c r="A26">
        <v>2013</v>
      </c>
      <c r="B26" s="41">
        <v>11329.666187050343</v>
      </c>
      <c r="E26" s="41">
        <v>6357.9806620453201</v>
      </c>
    </row>
    <row r="27" spans="1:5">
      <c r="A27">
        <v>2014</v>
      </c>
      <c r="B27" s="41">
        <v>11171.206834532331</v>
      </c>
      <c r="E27" s="41">
        <v>6335.9057517727697</v>
      </c>
    </row>
    <row r="28" spans="1:5">
      <c r="A28">
        <v>2015</v>
      </c>
      <c r="B28" s="41">
        <v>11190.713669064722</v>
      </c>
      <c r="E28" s="41">
        <v>6581.9287709832197</v>
      </c>
    </row>
    <row r="29" spans="1:5">
      <c r="A29">
        <v>2016</v>
      </c>
      <c r="B29" s="41">
        <v>11261.582374100692</v>
      </c>
      <c r="E29" s="41">
        <v>7169.52081815783</v>
      </c>
    </row>
    <row r="30" spans="1:5">
      <c r="A30">
        <v>2017</v>
      </c>
      <c r="B30">
        <v>12104</v>
      </c>
      <c r="E30" s="41">
        <v>7269.2732549698803</v>
      </c>
    </row>
    <row r="31" spans="1:5">
      <c r="A31">
        <v>2018</v>
      </c>
      <c r="B31">
        <v>12290</v>
      </c>
      <c r="E31" s="41">
        <v>7674</v>
      </c>
    </row>
    <row r="32" spans="1:5">
      <c r="A32">
        <v>2019</v>
      </c>
      <c r="B32">
        <v>12244</v>
      </c>
      <c r="E32" s="41">
        <v>7599</v>
      </c>
    </row>
    <row r="33" spans="1:5">
      <c r="A33">
        <v>2020</v>
      </c>
      <c r="B33">
        <v>11375</v>
      </c>
      <c r="E33" s="41">
        <v>7427</v>
      </c>
    </row>
    <row r="34" spans="1:5">
      <c r="A34">
        <v>2021</v>
      </c>
      <c r="B34">
        <v>12205</v>
      </c>
      <c r="E34" s="41">
        <v>7717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E21"/>
  <sheetViews>
    <sheetView workbookViewId="0">
      <selection sqref="A1:E22"/>
    </sheetView>
  </sheetViews>
  <sheetFormatPr baseColWidth="10" defaultColWidth="8.83203125" defaultRowHeight="15"/>
  <sheetData>
    <row r="1" spans="1:5">
      <c r="B1" t="s">
        <v>184</v>
      </c>
      <c r="C1" t="s">
        <v>188</v>
      </c>
      <c r="D1" t="s">
        <v>190</v>
      </c>
      <c r="E1" t="s">
        <v>196</v>
      </c>
    </row>
    <row r="2" spans="1:5">
      <c r="A2" t="s">
        <v>176</v>
      </c>
      <c r="B2" s="1"/>
      <c r="D2" s="1"/>
    </row>
    <row r="3" spans="1:5" ht="16">
      <c r="A3">
        <v>2001</v>
      </c>
      <c r="C3" s="3"/>
    </row>
    <row r="4" spans="1:5">
      <c r="A4">
        <v>2002</v>
      </c>
    </row>
    <row r="5" spans="1:5">
      <c r="A5">
        <v>2003</v>
      </c>
    </row>
    <row r="6" spans="1:5">
      <c r="A6">
        <v>2004</v>
      </c>
    </row>
    <row r="7" spans="1:5">
      <c r="A7">
        <v>2005</v>
      </c>
    </row>
    <row r="8" spans="1:5">
      <c r="A8">
        <v>2006</v>
      </c>
    </row>
    <row r="9" spans="1:5">
      <c r="A9">
        <v>2007</v>
      </c>
    </row>
    <row r="10" spans="1:5">
      <c r="A10">
        <v>2008</v>
      </c>
    </row>
    <row r="11" spans="1:5">
      <c r="A11">
        <v>2009</v>
      </c>
    </row>
    <row r="12" spans="1:5">
      <c r="A12">
        <v>2010</v>
      </c>
    </row>
    <row r="13" spans="1:5">
      <c r="A13">
        <v>2011</v>
      </c>
    </row>
    <row r="14" spans="1:5">
      <c r="A14">
        <v>2012</v>
      </c>
    </row>
    <row r="15" spans="1:5">
      <c r="A15">
        <v>2013</v>
      </c>
    </row>
    <row r="16" spans="1:5">
      <c r="A16">
        <v>2014</v>
      </c>
    </row>
    <row r="17" spans="1:1">
      <c r="A17">
        <v>2015</v>
      </c>
    </row>
    <row r="18" spans="1:1">
      <c r="A18">
        <v>2016</v>
      </c>
    </row>
    <row r="19" spans="1:1">
      <c r="A19">
        <v>2017</v>
      </c>
    </row>
    <row r="20" spans="1:1">
      <c r="A20">
        <v>2018</v>
      </c>
    </row>
    <row r="21" spans="1:1">
      <c r="A21">
        <v>2019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E21"/>
  <sheetViews>
    <sheetView workbookViewId="0">
      <selection sqref="A1:E22"/>
    </sheetView>
  </sheetViews>
  <sheetFormatPr baseColWidth="10" defaultColWidth="8.83203125" defaultRowHeight="15"/>
  <sheetData>
    <row r="1" spans="1:5">
      <c r="B1" t="s">
        <v>184</v>
      </c>
      <c r="C1" t="s">
        <v>188</v>
      </c>
      <c r="D1" t="s">
        <v>190</v>
      </c>
      <c r="E1" t="s">
        <v>196</v>
      </c>
    </row>
    <row r="2" spans="1:5">
      <c r="A2" t="s">
        <v>176</v>
      </c>
      <c r="B2" s="1"/>
      <c r="D2" s="1"/>
    </row>
    <row r="3" spans="1:5" ht="16">
      <c r="A3">
        <v>2001</v>
      </c>
      <c r="C3" s="3"/>
    </row>
    <row r="4" spans="1:5">
      <c r="A4">
        <v>2002</v>
      </c>
    </row>
    <row r="5" spans="1:5">
      <c r="A5">
        <v>2003</v>
      </c>
    </row>
    <row r="6" spans="1:5">
      <c r="A6">
        <v>2004</v>
      </c>
    </row>
    <row r="7" spans="1:5">
      <c r="A7">
        <v>2005</v>
      </c>
    </row>
    <row r="8" spans="1:5">
      <c r="A8">
        <v>2006</v>
      </c>
    </row>
    <row r="9" spans="1:5">
      <c r="A9">
        <v>2007</v>
      </c>
    </row>
    <row r="10" spans="1:5">
      <c r="A10">
        <v>2008</v>
      </c>
    </row>
    <row r="11" spans="1:5">
      <c r="A11">
        <v>2009</v>
      </c>
    </row>
    <row r="12" spans="1:5">
      <c r="A12">
        <v>2010</v>
      </c>
    </row>
    <row r="13" spans="1:5">
      <c r="A13">
        <v>2011</v>
      </c>
    </row>
    <row r="14" spans="1:5">
      <c r="A14">
        <v>2012</v>
      </c>
    </row>
    <row r="15" spans="1:5">
      <c r="A15">
        <v>2013</v>
      </c>
    </row>
    <row r="16" spans="1:5">
      <c r="A16">
        <v>2014</v>
      </c>
    </row>
    <row r="17" spans="1:1">
      <c r="A17">
        <v>2015</v>
      </c>
    </row>
    <row r="18" spans="1:1">
      <c r="A18">
        <v>2016</v>
      </c>
    </row>
    <row r="19" spans="1:1">
      <c r="A19">
        <v>2017</v>
      </c>
    </row>
    <row r="20" spans="1:1">
      <c r="A20">
        <v>2018</v>
      </c>
    </row>
    <row r="21" spans="1:1">
      <c r="A21">
        <v>2019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O26" sqref="O26"/>
    </sheetView>
  </sheetViews>
  <sheetFormatPr baseColWidth="10" defaultColWidth="8.83203125" defaultRowHeight="15"/>
  <cols>
    <col min="9" max="9" width="29.5" bestFit="1" customWidth="1"/>
  </cols>
  <sheetData>
    <row r="1" spans="1:5">
      <c r="B1" t="s">
        <v>184</v>
      </c>
      <c r="C1" t="s">
        <v>185</v>
      </c>
      <c r="D1" t="s">
        <v>188</v>
      </c>
      <c r="E1" t="s">
        <v>190</v>
      </c>
    </row>
    <row r="2" spans="1:5">
      <c r="A2" t="s">
        <v>176</v>
      </c>
      <c r="B2" t="s">
        <v>202</v>
      </c>
      <c r="C2" t="s">
        <v>203</v>
      </c>
      <c r="D2" t="s">
        <v>204</v>
      </c>
      <c r="E2" t="s">
        <v>205</v>
      </c>
    </row>
    <row r="3" spans="1:5">
      <c r="A3">
        <v>2001</v>
      </c>
      <c r="D3" s="5">
        <v>1958.0425618489601</v>
      </c>
      <c r="E3" s="5">
        <v>58.591498999999999</v>
      </c>
    </row>
    <row r="4" spans="1:5">
      <c r="A4">
        <v>2002</v>
      </c>
      <c r="D4" s="5">
        <v>1919.4593854631717</v>
      </c>
      <c r="E4" s="5">
        <v>67.924413999999999</v>
      </c>
    </row>
    <row r="5" spans="1:5">
      <c r="A5">
        <v>2003</v>
      </c>
      <c r="D5" s="5">
        <v>2096.3778424944198</v>
      </c>
      <c r="E5" s="5">
        <v>76.145567</v>
      </c>
    </row>
    <row r="6" spans="1:5">
      <c r="A6">
        <v>2004</v>
      </c>
      <c r="B6">
        <f>C6</f>
        <v>78.5</v>
      </c>
      <c r="C6">
        <v>78.5</v>
      </c>
      <c r="D6" s="5">
        <v>2375.8771057128938</v>
      </c>
      <c r="E6" s="5">
        <v>85.971186000000003</v>
      </c>
    </row>
    <row r="7" spans="1:5">
      <c r="A7">
        <v>2005</v>
      </c>
      <c r="B7">
        <f t="shared" ref="B7:B21" si="0">C7</f>
        <v>90</v>
      </c>
      <c r="C7">
        <v>90</v>
      </c>
      <c r="D7" s="5">
        <v>3256.0443542480489</v>
      </c>
      <c r="E7" s="5">
        <v>96.04539299999999</v>
      </c>
    </row>
    <row r="8" spans="1:5">
      <c r="A8">
        <v>2006</v>
      </c>
      <c r="B8">
        <f t="shared" si="0"/>
        <v>80</v>
      </c>
      <c r="C8">
        <v>80</v>
      </c>
      <c r="D8" s="5">
        <v>4287.9830078124996</v>
      </c>
      <c r="E8" s="5">
        <v>105.140455</v>
      </c>
    </row>
    <row r="9" spans="1:5">
      <c r="A9">
        <v>2007</v>
      </c>
      <c r="B9">
        <f t="shared" si="0"/>
        <v>86.6</v>
      </c>
      <c r="C9">
        <v>86.6</v>
      </c>
      <c r="D9" s="5">
        <v>6010.4877522786455</v>
      </c>
      <c r="E9" s="5">
        <v>121.12909199999999</v>
      </c>
    </row>
    <row r="10" spans="1:5">
      <c r="A10">
        <v>2008</v>
      </c>
      <c r="B10">
        <f t="shared" si="0"/>
        <v>112.8</v>
      </c>
      <c r="C10">
        <v>112.8</v>
      </c>
      <c r="D10" s="5">
        <v>6046.8367309570312</v>
      </c>
      <c r="E10" s="5">
        <v>125.57747800000001</v>
      </c>
    </row>
    <row r="11" spans="1:5">
      <c r="A11">
        <v>2009</v>
      </c>
      <c r="B11">
        <f t="shared" si="0"/>
        <v>95</v>
      </c>
      <c r="C11">
        <v>95</v>
      </c>
      <c r="D11" s="5">
        <v>5452.4385986328125</v>
      </c>
      <c r="E11" s="5">
        <v>99.382306999999997</v>
      </c>
    </row>
    <row r="12" spans="1:5">
      <c r="A12">
        <v>2010</v>
      </c>
      <c r="B12">
        <f t="shared" si="0"/>
        <v>125</v>
      </c>
      <c r="C12">
        <v>125</v>
      </c>
      <c r="D12" s="5">
        <v>4979.4941030649043</v>
      </c>
      <c r="E12" s="5">
        <v>143.25536400000001</v>
      </c>
    </row>
    <row r="13" spans="1:5">
      <c r="A13">
        <v>2011</v>
      </c>
      <c r="B13">
        <f t="shared" si="0"/>
        <v>122.429</v>
      </c>
      <c r="C13">
        <v>122.429</v>
      </c>
      <c r="D13" s="5">
        <v>4948.2326096754823</v>
      </c>
      <c r="E13" s="5">
        <v>177.108566</v>
      </c>
    </row>
    <row r="14" spans="1:5">
      <c r="A14">
        <v>2012</v>
      </c>
      <c r="B14">
        <f t="shared" si="0"/>
        <v>150.1086</v>
      </c>
      <c r="C14">
        <v>150.1086</v>
      </c>
      <c r="D14" s="5">
        <v>5233.7805350167409</v>
      </c>
      <c r="E14" s="5">
        <v>183.31275300000004</v>
      </c>
    </row>
    <row r="15" spans="1:5">
      <c r="A15">
        <v>2013</v>
      </c>
      <c r="B15">
        <f t="shared" si="0"/>
        <v>159.69</v>
      </c>
      <c r="C15">
        <v>159.69</v>
      </c>
      <c r="D15" s="5">
        <v>5540.7611607142853</v>
      </c>
      <c r="E15" s="5">
        <v>172.04403400000001</v>
      </c>
    </row>
    <row r="16" spans="1:5">
      <c r="A16">
        <v>2014</v>
      </c>
      <c r="B16">
        <f t="shared" si="0"/>
        <v>165</v>
      </c>
      <c r="C16">
        <v>165</v>
      </c>
      <c r="D16" s="5">
        <v>5611.9737025669647</v>
      </c>
      <c r="E16" s="5">
        <v>186.019372</v>
      </c>
    </row>
    <row r="17" spans="1:5">
      <c r="A17">
        <v>2015</v>
      </c>
      <c r="B17">
        <f t="shared" si="0"/>
        <v>194</v>
      </c>
      <c r="C17">
        <v>194</v>
      </c>
      <c r="D17" s="5">
        <v>6032.6183919270834</v>
      </c>
      <c r="E17" s="5">
        <v>201.32204200000001</v>
      </c>
    </row>
    <row r="18" spans="1:5">
      <c r="A18">
        <v>2016</v>
      </c>
      <c r="B18">
        <f t="shared" si="0"/>
        <v>195.35410000000002</v>
      </c>
      <c r="C18">
        <v>195.35410000000002</v>
      </c>
      <c r="D18" s="5">
        <v>10903.384212239584</v>
      </c>
      <c r="E18" s="5">
        <v>246.11897900000002</v>
      </c>
    </row>
    <row r="19" spans="1:5">
      <c r="A19">
        <v>2017</v>
      </c>
      <c r="B19">
        <f t="shared" si="0"/>
        <v>211.32310000000004</v>
      </c>
      <c r="C19">
        <v>211.32310000000004</v>
      </c>
      <c r="D19" s="5">
        <v>14657.141308593749</v>
      </c>
      <c r="E19" s="5">
        <v>312.55251800000002</v>
      </c>
    </row>
    <row r="20" spans="1:5">
      <c r="A20">
        <v>2018</v>
      </c>
      <c r="B20">
        <f t="shared" si="0"/>
        <v>253.37480000000002</v>
      </c>
      <c r="C20">
        <v>253.37480000000002</v>
      </c>
      <c r="D20" s="5">
        <v>15786.893098958333</v>
      </c>
      <c r="E20" s="5">
        <v>361.04267200000004</v>
      </c>
    </row>
    <row r="21" spans="1:5">
      <c r="A21">
        <v>2019</v>
      </c>
      <c r="B21">
        <f t="shared" si="0"/>
        <v>298.08800000000002</v>
      </c>
      <c r="C21">
        <v>298.08800000000002</v>
      </c>
      <c r="D21" s="5">
        <v>11120.835754394531</v>
      </c>
      <c r="E21" s="5">
        <v>439.40106200000008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zoomScaleNormal="100" workbookViewId="0">
      <selection activeCell="D2" sqref="D2"/>
    </sheetView>
  </sheetViews>
  <sheetFormatPr baseColWidth="10" defaultColWidth="8.83203125" defaultRowHeight="15"/>
  <cols>
    <col min="2" max="2" width="19.83203125" customWidth="1"/>
    <col min="3" max="3" width="21.33203125" customWidth="1"/>
    <col min="4" max="4" width="17.6640625" customWidth="1"/>
    <col min="5" max="5" width="24" customWidth="1"/>
    <col min="6" max="6" width="21.33203125" customWidth="1"/>
  </cols>
  <sheetData>
    <row r="1" spans="1:9">
      <c r="B1" t="s">
        <v>184</v>
      </c>
      <c r="C1" t="s">
        <v>188</v>
      </c>
      <c r="D1" t="s">
        <v>190</v>
      </c>
      <c r="E1" t="s">
        <v>185</v>
      </c>
    </row>
    <row r="2" spans="1:9">
      <c r="A2" t="s">
        <v>176</v>
      </c>
      <c r="B2" t="s">
        <v>187</v>
      </c>
      <c r="C2" t="s">
        <v>200</v>
      </c>
      <c r="D2" t="s">
        <v>189</v>
      </c>
      <c r="E2" t="s">
        <v>186</v>
      </c>
    </row>
    <row r="3" spans="1:9" ht="16">
      <c r="A3">
        <v>2001</v>
      </c>
      <c r="B3">
        <v>36692.949911590506</v>
      </c>
      <c r="C3">
        <v>1997.9905450000001</v>
      </c>
      <c r="D3">
        <v>24167.135874890071</v>
      </c>
      <c r="E3">
        <v>23586.24209233735</v>
      </c>
      <c r="I3" s="4"/>
    </row>
    <row r="4" spans="1:9" ht="16">
      <c r="A4">
        <v>2002</v>
      </c>
      <c r="B4">
        <v>37848.563480029639</v>
      </c>
      <c r="C4">
        <v>1842.596871</v>
      </c>
      <c r="D4">
        <v>25796.265334244981</v>
      </c>
      <c r="E4">
        <v>25194.165146347539</v>
      </c>
      <c r="I4" s="4"/>
    </row>
    <row r="5" spans="1:9" ht="16">
      <c r="A5">
        <v>2003</v>
      </c>
      <c r="B5">
        <v>39032.795796776976</v>
      </c>
      <c r="C5">
        <v>1835.3739820000001</v>
      </c>
      <c r="D5">
        <v>28039.01855706616</v>
      </c>
      <c r="E5">
        <v>27745.08599541587</v>
      </c>
      <c r="I5" s="4"/>
    </row>
    <row r="6" spans="1:9" ht="16">
      <c r="A6">
        <v>2004</v>
      </c>
      <c r="B6">
        <v>41805.11473666539</v>
      </c>
      <c r="C6">
        <v>1999.007353</v>
      </c>
      <c r="D6">
        <v>29971.20629725781</v>
      </c>
      <c r="E6">
        <v>30515.48678321252</v>
      </c>
      <c r="I6" s="4"/>
    </row>
    <row r="7" spans="1:9" ht="16">
      <c r="A7">
        <v>2005</v>
      </c>
      <c r="B7">
        <v>44267.889348260738</v>
      </c>
      <c r="C7">
        <v>1933.6908249999999</v>
      </c>
      <c r="D7">
        <v>32666.511542675049</v>
      </c>
      <c r="E7">
        <v>32643.722467116389</v>
      </c>
      <c r="I7" s="4"/>
    </row>
    <row r="8" spans="1:9" ht="16">
      <c r="A8">
        <v>2006</v>
      </c>
      <c r="B8">
        <v>47496.510431695337</v>
      </c>
      <c r="C8">
        <v>2554.8448189999999</v>
      </c>
      <c r="D8">
        <v>33941.411133336558</v>
      </c>
      <c r="E8">
        <v>34462.637786284176</v>
      </c>
      <c r="I8" s="4"/>
    </row>
    <row r="9" spans="1:9" ht="16">
      <c r="A9">
        <v>2007</v>
      </c>
      <c r="B9">
        <v>50523.975766098505</v>
      </c>
      <c r="C9">
        <v>2480.7119269999998</v>
      </c>
      <c r="D9">
        <v>38125.836811938731</v>
      </c>
      <c r="E9">
        <v>37969.643535283409</v>
      </c>
      <c r="I9" s="4"/>
    </row>
    <row r="10" spans="1:9" ht="16">
      <c r="A10">
        <v>2008</v>
      </c>
      <c r="B10">
        <v>51796.681981430542</v>
      </c>
      <c r="C10">
        <v>1928.688547</v>
      </c>
      <c r="D10">
        <v>40157.535936797438</v>
      </c>
      <c r="E10">
        <v>37362.88382821971</v>
      </c>
      <c r="I10" s="4"/>
    </row>
    <row r="11" spans="1:9" ht="16">
      <c r="A11">
        <v>2009</v>
      </c>
      <c r="B11">
        <v>47647.595349280331</v>
      </c>
      <c r="C11">
        <v>1462.735707</v>
      </c>
      <c r="D11">
        <v>37722.714939577898</v>
      </c>
      <c r="E11">
        <v>34310.548171226808</v>
      </c>
      <c r="I11" s="4"/>
    </row>
    <row r="12" spans="1:9" ht="16">
      <c r="A12">
        <v>2010</v>
      </c>
      <c r="B12">
        <v>56753.117543155669</v>
      </c>
      <c r="C12">
        <v>1760.3780730000001</v>
      </c>
      <c r="D12">
        <v>42037.512284553821</v>
      </c>
      <c r="E12">
        <v>40964.877386645618</v>
      </c>
      <c r="I12" s="4"/>
    </row>
    <row r="13" spans="1:9" ht="16">
      <c r="A13">
        <v>2011</v>
      </c>
      <c r="B13">
        <v>62002.864398770726</v>
      </c>
      <c r="C13">
        <v>1744.15533</v>
      </c>
      <c r="D13">
        <v>46046.389963577501</v>
      </c>
      <c r="E13">
        <v>44837.939514223071</v>
      </c>
      <c r="I13" s="4"/>
    </row>
    <row r="14" spans="1:9" ht="16">
      <c r="A14">
        <v>2012</v>
      </c>
      <c r="B14">
        <v>66078.322142422825</v>
      </c>
      <c r="C14">
        <v>1324.5091210000001</v>
      </c>
      <c r="D14">
        <v>47963.674854665776</v>
      </c>
      <c r="E14">
        <v>47385.393635782973</v>
      </c>
      <c r="I14" s="4"/>
    </row>
    <row r="15" spans="1:9" ht="16">
      <c r="A15">
        <v>2013</v>
      </c>
      <c r="B15">
        <v>70072.125266348477</v>
      </c>
      <c r="C15">
        <v>1079.9049930000001</v>
      </c>
      <c r="D15">
        <v>50607.084465954482</v>
      </c>
      <c r="E15">
        <v>50616.171567437828</v>
      </c>
      <c r="I15" s="4"/>
    </row>
    <row r="16" spans="1:9" ht="16">
      <c r="A16">
        <v>2014</v>
      </c>
      <c r="B16">
        <v>73716.033463737695</v>
      </c>
      <c r="C16">
        <v>1153.3966969999999</v>
      </c>
      <c r="D16">
        <v>54162.389639146997</v>
      </c>
      <c r="E16">
        <v>54441.448371809187</v>
      </c>
      <c r="I16" s="4"/>
    </row>
    <row r="17" spans="1:9" ht="16">
      <c r="A17">
        <v>2015</v>
      </c>
      <c r="B17">
        <v>76701.865604324368</v>
      </c>
      <c r="C17">
        <v>1533.278067</v>
      </c>
      <c r="D17">
        <v>57059.219971922008</v>
      </c>
      <c r="E17">
        <v>56457.355204526582</v>
      </c>
      <c r="I17" s="4"/>
    </row>
    <row r="18" spans="1:9" ht="16">
      <c r="A18">
        <v>2016</v>
      </c>
      <c r="B18">
        <v>80735.380132877632</v>
      </c>
      <c r="C18">
        <v>1533.1627209999999</v>
      </c>
      <c r="D18">
        <v>58985.576857823617</v>
      </c>
      <c r="E18">
        <v>59840.904293387277</v>
      </c>
      <c r="I18" s="4"/>
    </row>
    <row r="19" spans="1:9" ht="16">
      <c r="A19">
        <v>2017</v>
      </c>
      <c r="B19">
        <v>84891.170758308959</v>
      </c>
      <c r="C19">
        <v>1776.4595509999999</v>
      </c>
      <c r="D19">
        <v>63536.365395741508</v>
      </c>
      <c r="E19">
        <v>63286.825501539977</v>
      </c>
      <c r="I19" s="4"/>
    </row>
    <row r="20" spans="1:9" ht="16">
      <c r="A20">
        <v>2018</v>
      </c>
      <c r="B20">
        <v>86886.090340495837</v>
      </c>
      <c r="C20">
        <v>1687.8842059999999</v>
      </c>
      <c r="D20">
        <v>63966.904071947458</v>
      </c>
      <c r="E20">
        <v>65227.740682118529</v>
      </c>
      <c r="I20" s="4"/>
    </row>
    <row r="21" spans="1:9" ht="16">
      <c r="A21">
        <v>2019</v>
      </c>
      <c r="B21">
        <f>B20*E21/E20</f>
        <v>85768.388145129153</v>
      </c>
      <c r="C21">
        <v>1689.1425320000001</v>
      </c>
      <c r="D21">
        <v>67223.3764402956</v>
      </c>
      <c r="E21">
        <v>64388.651379406132</v>
      </c>
      <c r="I21"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sqref="A1:E21"/>
    </sheetView>
  </sheetViews>
  <sheetFormatPr baseColWidth="10" defaultColWidth="8.83203125" defaultRowHeight="15"/>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c r="B1" t="s">
        <v>184</v>
      </c>
      <c r="C1" t="s">
        <v>188</v>
      </c>
      <c r="D1" t="s">
        <v>190</v>
      </c>
      <c r="E1" t="s">
        <v>196</v>
      </c>
      <c r="F1" t="s">
        <v>191</v>
      </c>
      <c r="G1" t="s">
        <v>199</v>
      </c>
    </row>
    <row r="2" spans="1:14">
      <c r="A2" t="s">
        <v>176</v>
      </c>
      <c r="B2" s="1" t="s">
        <v>193</v>
      </c>
      <c r="C2" t="s">
        <v>198</v>
      </c>
      <c r="D2" s="1" t="s">
        <v>195</v>
      </c>
      <c r="F2" s="1" t="s">
        <v>192</v>
      </c>
      <c r="G2" t="s">
        <v>194</v>
      </c>
    </row>
    <row r="3" spans="1:14" ht="16">
      <c r="A3">
        <v>2001</v>
      </c>
      <c r="B3">
        <v>857999.99999999104</v>
      </c>
      <c r="C3" s="3">
        <f>AVERAGE(C4:C5)</f>
        <v>424.80860100000001</v>
      </c>
      <c r="D3">
        <f t="shared" ref="D3:D21" si="0">F3-E3</f>
        <v>502359.71223021601</v>
      </c>
      <c r="E3">
        <v>349640.28776978399</v>
      </c>
      <c r="F3">
        <v>852000</v>
      </c>
      <c r="G3">
        <f>AVERAGE(G4:G5)</f>
        <v>447.61374899999998</v>
      </c>
    </row>
    <row r="4" spans="1:14" ht="16">
      <c r="A4">
        <v>2002</v>
      </c>
      <c r="B4">
        <v>906000</v>
      </c>
      <c r="C4">
        <v>421.81073500000002</v>
      </c>
      <c r="D4">
        <f t="shared" si="0"/>
        <v>537230.21582733793</v>
      </c>
      <c r="E4">
        <v>367769.78417266201</v>
      </c>
      <c r="F4">
        <v>905000</v>
      </c>
      <c r="G4" s="2">
        <v>424.685877</v>
      </c>
    </row>
    <row r="5" spans="1:14" ht="16">
      <c r="A5">
        <v>2003</v>
      </c>
      <c r="B5">
        <v>972000</v>
      </c>
      <c r="C5">
        <v>427.806467</v>
      </c>
      <c r="D5">
        <f t="shared" si="0"/>
        <v>561791.36690647504</v>
      </c>
      <c r="E5">
        <v>409208.63309352502</v>
      </c>
      <c r="F5">
        <v>971000</v>
      </c>
      <c r="G5" s="2">
        <v>470.54162100000002</v>
      </c>
    </row>
    <row r="6" spans="1:14" ht="16">
      <c r="A6">
        <v>2004</v>
      </c>
      <c r="B6">
        <v>1058000</v>
      </c>
      <c r="C6">
        <v>643.47930599999995</v>
      </c>
      <c r="D6">
        <f t="shared" si="0"/>
        <v>617532.37410072004</v>
      </c>
      <c r="E6">
        <v>445467.62589928001</v>
      </c>
      <c r="F6">
        <v>1063000</v>
      </c>
      <c r="G6" s="2">
        <v>767.02960299999995</v>
      </c>
    </row>
    <row r="7" spans="1:14" ht="16">
      <c r="A7">
        <v>2005</v>
      </c>
      <c r="B7">
        <v>1132000</v>
      </c>
      <c r="C7">
        <v>438.71921800000001</v>
      </c>
      <c r="D7">
        <f t="shared" si="0"/>
        <v>668863.30935251806</v>
      </c>
      <c r="E7">
        <v>479136.690647482</v>
      </c>
      <c r="F7">
        <v>1148000</v>
      </c>
      <c r="G7" s="2">
        <v>674.22585800000002</v>
      </c>
    </row>
    <row r="8" spans="1:14" ht="16">
      <c r="A8">
        <v>2006</v>
      </c>
      <c r="B8">
        <v>1230000</v>
      </c>
      <c r="C8">
        <v>371.68281200000001</v>
      </c>
      <c r="D8">
        <f t="shared" si="0"/>
        <v>747553.95683453302</v>
      </c>
      <c r="E8">
        <v>502446.04316546698</v>
      </c>
      <c r="F8">
        <v>1250000</v>
      </c>
      <c r="G8" s="2">
        <v>671.66403600000001</v>
      </c>
    </row>
    <row r="9" spans="1:14" ht="16">
      <c r="A9">
        <v>2007</v>
      </c>
      <c r="B9">
        <v>1316000</v>
      </c>
      <c r="C9">
        <v>352.816913</v>
      </c>
      <c r="D9">
        <f t="shared" si="0"/>
        <v>801525.17985611595</v>
      </c>
      <c r="E9">
        <v>546474.82014388405</v>
      </c>
      <c r="F9">
        <v>1348000</v>
      </c>
      <c r="G9" s="2">
        <v>688.86588400000005</v>
      </c>
      <c r="J9" s="2"/>
    </row>
    <row r="10" spans="1:14" ht="16">
      <c r="A10">
        <v>2008</v>
      </c>
      <c r="B10">
        <v>1318000</v>
      </c>
      <c r="C10">
        <v>465.04678100000001</v>
      </c>
      <c r="D10">
        <f t="shared" si="0"/>
        <v>793935.25179856096</v>
      </c>
      <c r="E10">
        <v>549064.74820143904</v>
      </c>
      <c r="F10">
        <v>1343000</v>
      </c>
      <c r="G10" s="2">
        <v>980.35921399999995</v>
      </c>
      <c r="H10" s="2"/>
      <c r="J10" s="2"/>
      <c r="L10" s="2"/>
    </row>
    <row r="11" spans="1:14" ht="16">
      <c r="A11">
        <v>2009</v>
      </c>
      <c r="B11">
        <v>1226000</v>
      </c>
      <c r="C11">
        <v>355.09328699999998</v>
      </c>
      <c r="D11">
        <f t="shared" si="0"/>
        <v>710654.67625899299</v>
      </c>
      <c r="E11">
        <v>528345.32374100701</v>
      </c>
      <c r="F11">
        <v>1239000</v>
      </c>
      <c r="G11" s="2">
        <v>589.88204900000005</v>
      </c>
      <c r="H11" s="2"/>
      <c r="J11" s="2"/>
      <c r="L11" s="2"/>
      <c r="N11" s="2"/>
    </row>
    <row r="12" spans="1:14" ht="16">
      <c r="A12">
        <v>2010</v>
      </c>
      <c r="B12">
        <v>1398000</v>
      </c>
      <c r="C12">
        <v>357.09431999999998</v>
      </c>
      <c r="D12">
        <f t="shared" si="0"/>
        <v>870985.61151079205</v>
      </c>
      <c r="E12">
        <v>562014.38848920795</v>
      </c>
      <c r="F12">
        <v>1433000</v>
      </c>
      <c r="G12" s="2">
        <v>717.75586199999998</v>
      </c>
      <c r="H12" s="2"/>
      <c r="J12" s="2"/>
      <c r="L12" s="2"/>
      <c r="N12" s="2"/>
    </row>
    <row r="13" spans="1:14" ht="16">
      <c r="A13">
        <v>2011</v>
      </c>
      <c r="B13">
        <v>1484000</v>
      </c>
      <c r="C13">
        <v>364.30087800000001</v>
      </c>
      <c r="D13">
        <f t="shared" si="0"/>
        <v>934546.762589928</v>
      </c>
      <c r="E13">
        <v>603453.237410072</v>
      </c>
      <c r="F13">
        <v>1538000</v>
      </c>
      <c r="G13" s="2">
        <v>818.573082</v>
      </c>
      <c r="H13" s="2"/>
      <c r="J13" s="2"/>
      <c r="L13" s="2"/>
      <c r="N13" s="2"/>
    </row>
    <row r="14" spans="1:14" ht="16">
      <c r="A14">
        <v>2012</v>
      </c>
      <c r="B14">
        <f>(B13+B15)/2</f>
        <v>1514300</v>
      </c>
      <c r="C14">
        <v>261.788614</v>
      </c>
      <c r="D14">
        <f t="shared" si="0"/>
        <v>948776.97841726698</v>
      </c>
      <c r="E14">
        <v>611223.02158273302</v>
      </c>
      <c r="F14">
        <v>1560000</v>
      </c>
      <c r="G14">
        <v>697.02143899999999</v>
      </c>
      <c r="H14" s="2"/>
      <c r="J14" s="2"/>
      <c r="L14" s="2"/>
      <c r="N14" s="2"/>
    </row>
    <row r="15" spans="1:14" ht="16">
      <c r="A15">
        <v>2013</v>
      </c>
      <c r="B15">
        <v>1544600</v>
      </c>
      <c r="C15">
        <v>203.18601000000001</v>
      </c>
      <c r="D15">
        <f t="shared" si="0"/>
        <v>1049136.690647484</v>
      </c>
      <c r="E15">
        <v>600863.30935251596</v>
      </c>
      <c r="F15">
        <v>1650000</v>
      </c>
      <c r="G15">
        <v>655.78911400000004</v>
      </c>
      <c r="H15" s="2"/>
      <c r="J15" s="2"/>
      <c r="L15" s="2"/>
      <c r="N15" s="2"/>
    </row>
    <row r="16" spans="1:14" ht="16">
      <c r="A16">
        <v>2014</v>
      </c>
      <c r="B16">
        <v>1551500</v>
      </c>
      <c r="C16">
        <v>218.00930500000001</v>
      </c>
      <c r="D16">
        <f t="shared" si="0"/>
        <v>1062366.906474821</v>
      </c>
      <c r="E16">
        <v>608633.09352517896</v>
      </c>
      <c r="F16">
        <v>1671000</v>
      </c>
      <c r="G16">
        <v>625.94569000000001</v>
      </c>
      <c r="H16" s="2"/>
      <c r="J16" s="2"/>
      <c r="L16" s="2"/>
      <c r="N16" s="2"/>
    </row>
    <row r="17" spans="1:14" ht="16">
      <c r="A17">
        <v>2015</v>
      </c>
      <c r="B17">
        <v>1505800</v>
      </c>
      <c r="C17">
        <v>358.61809</v>
      </c>
      <c r="D17">
        <f t="shared" si="0"/>
        <v>1043446.043165468</v>
      </c>
      <c r="E17">
        <v>577553.95683453197</v>
      </c>
      <c r="F17">
        <v>1621000</v>
      </c>
      <c r="G17">
        <v>455.83717999999999</v>
      </c>
      <c r="H17" s="2"/>
      <c r="J17" s="2"/>
      <c r="L17" s="2"/>
      <c r="N17" s="2"/>
    </row>
    <row r="18" spans="1:14" ht="16">
      <c r="A18">
        <v>2016</v>
      </c>
      <c r="B18">
        <v>1520000</v>
      </c>
      <c r="C18">
        <v>408.31106399999999</v>
      </c>
      <c r="D18">
        <f t="shared" si="0"/>
        <v>1048856.115107914</v>
      </c>
      <c r="E18">
        <v>580143.88489208603</v>
      </c>
      <c r="F18">
        <v>1629000</v>
      </c>
      <c r="G18">
        <v>466.806218</v>
      </c>
      <c r="H18" s="2"/>
      <c r="J18" s="2"/>
      <c r="L18" s="2"/>
      <c r="N18" s="2"/>
    </row>
    <row r="19" spans="1:14" ht="16">
      <c r="A19">
        <v>2017</v>
      </c>
      <c r="B19">
        <v>1633400</v>
      </c>
      <c r="C19">
        <v>494.15014000000002</v>
      </c>
      <c r="D19">
        <f t="shared" si="0"/>
        <v>1092287.769784173</v>
      </c>
      <c r="E19">
        <v>639712.230215827</v>
      </c>
      <c r="F19">
        <v>1732000</v>
      </c>
      <c r="G19">
        <v>597.59132699999998</v>
      </c>
      <c r="H19" s="2"/>
      <c r="J19" s="2"/>
      <c r="L19" s="2"/>
      <c r="N19" s="2"/>
    </row>
    <row r="20" spans="1:14" ht="16">
      <c r="A20">
        <v>2018</v>
      </c>
      <c r="B20">
        <v>1708400</v>
      </c>
      <c r="C20">
        <v>482.72191099999998</v>
      </c>
      <c r="D20">
        <f t="shared" si="0"/>
        <v>1140618.7050359719</v>
      </c>
      <c r="E20">
        <v>673381.29496402806</v>
      </c>
      <c r="F20">
        <v>1814000</v>
      </c>
      <c r="G20">
        <v>678.44844699999999</v>
      </c>
      <c r="H20" s="2"/>
      <c r="J20" s="2"/>
      <c r="L20" s="2"/>
      <c r="N20" s="2"/>
    </row>
    <row r="21" spans="1:14" ht="16">
      <c r="A21">
        <v>2019</v>
      </c>
      <c r="B21">
        <v>1767500</v>
      </c>
      <c r="C21">
        <v>480</v>
      </c>
      <c r="D21">
        <f t="shared" si="0"/>
        <v>1159359.712230216</v>
      </c>
      <c r="E21">
        <v>709640.28776978399</v>
      </c>
      <c r="F21">
        <v>1869000</v>
      </c>
      <c r="G21">
        <v>670</v>
      </c>
      <c r="H21" s="2"/>
      <c r="J21" s="2"/>
      <c r="N21" s="2"/>
    </row>
    <row r="22" spans="1:14" ht="16">
      <c r="H22" s="2"/>
    </row>
    <row r="23" spans="1:14" ht="16">
      <c r="H23" s="2"/>
    </row>
    <row r="24" spans="1:14" ht="16">
      <c r="H24" s="2"/>
    </row>
    <row r="25" spans="1:14" ht="16">
      <c r="H25" s="2"/>
    </row>
    <row r="26" spans="1:14" ht="16">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Q41"/>
  <sheetViews>
    <sheetView workbookViewId="0">
      <selection activeCell="E1" sqref="E1"/>
    </sheetView>
  </sheetViews>
  <sheetFormatPr baseColWidth="10" defaultColWidth="8.83203125" defaultRowHeight="15"/>
  <cols>
    <col min="3" max="3" width="13.83203125" bestFit="1" customWidth="1"/>
    <col min="5" max="5" width="14.6640625" customWidth="1"/>
  </cols>
  <sheetData>
    <row r="1" spans="1:17">
      <c r="B1" t="s">
        <v>184</v>
      </c>
      <c r="C1" t="s">
        <v>188</v>
      </c>
      <c r="D1" t="s">
        <v>190</v>
      </c>
      <c r="E1" t="s">
        <v>196</v>
      </c>
      <c r="F1" t="s">
        <v>191</v>
      </c>
      <c r="G1" t="s">
        <v>199</v>
      </c>
      <c r="H1" t="s">
        <v>324</v>
      </c>
      <c r="L1" t="s">
        <v>188</v>
      </c>
      <c r="M1" t="s">
        <v>188</v>
      </c>
      <c r="Q1" t="s">
        <v>321</v>
      </c>
    </row>
    <row r="2" spans="1:17">
      <c r="A2" t="s">
        <v>176</v>
      </c>
      <c r="B2" s="1" t="s">
        <v>323</v>
      </c>
      <c r="C2" t="s">
        <v>320</v>
      </c>
      <c r="D2" s="1" t="s">
        <v>201</v>
      </c>
      <c r="E2" t="s">
        <v>322</v>
      </c>
      <c r="F2" t="s">
        <v>322</v>
      </c>
      <c r="H2" t="s">
        <v>325</v>
      </c>
      <c r="L2" t="s">
        <v>320</v>
      </c>
      <c r="M2" s="39"/>
      <c r="Q2" t="s">
        <v>320</v>
      </c>
    </row>
    <row r="3" spans="1:17">
      <c r="A3">
        <v>2001</v>
      </c>
      <c r="B3" s="39">
        <v>3.7280000000000002</v>
      </c>
      <c r="C3">
        <v>32158607.714417279</v>
      </c>
      <c r="D3">
        <v>2.56</v>
      </c>
      <c r="E3">
        <v>0.94684931506849312</v>
      </c>
      <c r="F3">
        <v>3.506849315068493</v>
      </c>
      <c r="H3" s="39">
        <v>3.7280000000000002</v>
      </c>
      <c r="L3">
        <v>13566761.083007999</v>
      </c>
      <c r="M3">
        <v>384.62169599999999</v>
      </c>
      <c r="Q3">
        <v>11873993.704704</v>
      </c>
    </row>
    <row r="4" spans="1:17">
      <c r="A4">
        <v>2002</v>
      </c>
      <c r="B4" s="39">
        <v>3.3620000000000001</v>
      </c>
      <c r="C4">
        <v>34756129.686718091</v>
      </c>
      <c r="D4">
        <v>2.5499999999999998</v>
      </c>
      <c r="E4">
        <v>1.0415492957746479</v>
      </c>
      <c r="F4">
        <v>3.591549295774648</v>
      </c>
      <c r="H4" s="39">
        <v>3.3620000000000001</v>
      </c>
      <c r="L4">
        <v>15261925.167299999</v>
      </c>
      <c r="M4" s="39">
        <v>432.68009999999998</v>
      </c>
      <c r="Q4">
        <v>13567145.704704</v>
      </c>
    </row>
    <row r="5" spans="1:17">
      <c r="A5">
        <v>2003</v>
      </c>
      <c r="B5" s="39">
        <v>3.206</v>
      </c>
      <c r="C5">
        <v>38240248.805773944</v>
      </c>
      <c r="D5">
        <v>2.54</v>
      </c>
      <c r="E5">
        <v>1.0885714285714287</v>
      </c>
      <c r="F5">
        <v>3.628571428571429</v>
      </c>
      <c r="H5" s="39">
        <v>3.206</v>
      </c>
      <c r="L5">
        <v>17508670.647999998</v>
      </c>
      <c r="M5" s="39">
        <v>496.37599999999998</v>
      </c>
      <c r="Q5">
        <v>15252034.346915999</v>
      </c>
    </row>
    <row r="6" spans="1:17">
      <c r="A6">
        <v>2004</v>
      </c>
      <c r="B6" s="39">
        <v>3.512</v>
      </c>
      <c r="C6">
        <v>33392445.494627818</v>
      </c>
      <c r="D6">
        <v>2.42</v>
      </c>
      <c r="E6">
        <v>1.0371428571428571</v>
      </c>
      <c r="F6">
        <v>3.4571428571428573</v>
      </c>
      <c r="H6" s="39">
        <v>3.512</v>
      </c>
      <c r="L6">
        <v>19169570.399</v>
      </c>
      <c r="M6" s="39">
        <v>543.46299999999997</v>
      </c>
      <c r="Q6">
        <v>15749019.786006</v>
      </c>
    </row>
    <row r="7" spans="1:17">
      <c r="A7">
        <v>2005</v>
      </c>
      <c r="B7" s="39">
        <v>3.7450000000000001</v>
      </c>
      <c r="C7">
        <v>33248775.81758856</v>
      </c>
      <c r="D7">
        <v>2.48</v>
      </c>
      <c r="E7">
        <v>0.91726027397260279</v>
      </c>
      <c r="F7">
        <v>3.397260273972603</v>
      </c>
      <c r="H7" s="39">
        <v>3.7450000000000001</v>
      </c>
      <c r="L7">
        <v>20163133.2084</v>
      </c>
      <c r="M7" s="39">
        <v>571.63080000000002</v>
      </c>
      <c r="Q7">
        <v>15122391.179784</v>
      </c>
    </row>
    <row r="8" spans="1:17">
      <c r="A8">
        <v>2006</v>
      </c>
      <c r="B8" s="39">
        <v>3.4239999999999999</v>
      </c>
      <c r="C8">
        <v>30743276.91313928</v>
      </c>
      <c r="D8">
        <v>2.37</v>
      </c>
      <c r="E8">
        <v>1.2761538461538462</v>
      </c>
      <c r="F8">
        <v>3.6461538461538461</v>
      </c>
      <c r="H8" s="39">
        <v>3.4239999999999999</v>
      </c>
      <c r="L8">
        <v>26549874.226400003</v>
      </c>
      <c r="M8" s="39">
        <v>752.69680000000005</v>
      </c>
      <c r="Q8">
        <v>20608702.998528</v>
      </c>
    </row>
    <row r="9" spans="1:17">
      <c r="A9">
        <v>2007</v>
      </c>
      <c r="B9" s="39">
        <v>3.552</v>
      </c>
      <c r="C9">
        <v>30864252.603043139</v>
      </c>
      <c r="D9">
        <v>2.35</v>
      </c>
      <c r="E9">
        <v>1.1574626865671642</v>
      </c>
      <c r="F9">
        <v>3.5074626865671643</v>
      </c>
      <c r="H9" s="39">
        <v>3.552</v>
      </c>
      <c r="L9">
        <v>29720363.140299998</v>
      </c>
      <c r="M9" s="39">
        <v>842.58109999999999</v>
      </c>
      <c r="Q9">
        <v>23289317.400419999</v>
      </c>
    </row>
    <row r="10" spans="1:17">
      <c r="A10">
        <v>2008</v>
      </c>
      <c r="B10" s="39">
        <v>3.806</v>
      </c>
      <c r="C10">
        <v>35319609.12352629</v>
      </c>
      <c r="D10">
        <v>2.2799999999999998</v>
      </c>
      <c r="E10">
        <v>1.4577049180327868</v>
      </c>
      <c r="F10">
        <v>3.7377049180327866</v>
      </c>
      <c r="H10" s="39">
        <v>3.806</v>
      </c>
      <c r="L10">
        <v>35897191.008000001</v>
      </c>
      <c r="M10" s="39">
        <v>1017.696</v>
      </c>
      <c r="Q10">
        <v>26830921.217274003</v>
      </c>
    </row>
    <row r="11" spans="1:17">
      <c r="A11">
        <v>2009</v>
      </c>
      <c r="B11" s="39">
        <v>3.6116350000000002</v>
      </c>
      <c r="C11">
        <v>38898966.518224157</v>
      </c>
      <c r="D11">
        <v>2.46</v>
      </c>
      <c r="E11">
        <v>1.7813793103448277</v>
      </c>
      <c r="F11">
        <v>4.2413793103448274</v>
      </c>
      <c r="H11" s="39">
        <v>3.6116350000000002</v>
      </c>
      <c r="L11">
        <v>40098416.945999995</v>
      </c>
      <c r="M11" s="39">
        <v>1136.8019999999999</v>
      </c>
      <c r="Q11">
        <v>35094737.355630003</v>
      </c>
    </row>
    <row r="12" spans="1:17">
      <c r="A12">
        <v>2010</v>
      </c>
      <c r="B12" s="39">
        <v>4.1711999999999998</v>
      </c>
      <c r="C12">
        <v>37588090.75913588</v>
      </c>
      <c r="D12">
        <v>2.7545000000000002</v>
      </c>
      <c r="E12">
        <v>1.6710719654124919</v>
      </c>
      <c r="F12">
        <v>4.4255719654124919</v>
      </c>
      <c r="H12" s="39">
        <v>4.1711999999999998</v>
      </c>
      <c r="L12">
        <v>49760044.376000002</v>
      </c>
      <c r="M12" s="39">
        <v>1410.712</v>
      </c>
      <c r="Q12">
        <v>42975239.260650001</v>
      </c>
    </row>
    <row r="13" spans="1:17">
      <c r="A13">
        <v>2011</v>
      </c>
      <c r="B13" s="39">
        <v>4.7247000000000003</v>
      </c>
      <c r="C13">
        <v>30235459.474326681</v>
      </c>
      <c r="D13">
        <v>2.8769</v>
      </c>
      <c r="E13">
        <v>1.6260682952887595</v>
      </c>
      <c r="F13">
        <v>4.5029682952887597</v>
      </c>
      <c r="H13" s="39">
        <v>4.7247000000000003</v>
      </c>
      <c r="L13">
        <v>61920552.217999995</v>
      </c>
      <c r="M13" s="39">
        <v>1755.4659999999999</v>
      </c>
      <c r="Q13">
        <v>53778977.547102004</v>
      </c>
    </row>
    <row r="14" spans="1:17">
      <c r="A14">
        <v>2012</v>
      </c>
      <c r="B14" s="39">
        <v>4.6726999999999999</v>
      </c>
      <c r="C14">
        <v>34760511.443366013</v>
      </c>
      <c r="D14">
        <v>2.9571999999999998</v>
      </c>
      <c r="E14">
        <v>1.636490651685955</v>
      </c>
      <c r="F14">
        <v>4.5936906516859546</v>
      </c>
      <c r="H14" s="39">
        <v>4.6726999999999999</v>
      </c>
      <c r="L14">
        <v>64372413.721000001</v>
      </c>
      <c r="M14" s="39">
        <v>1824.9770000000001</v>
      </c>
      <c r="Q14">
        <v>56518569.477336004</v>
      </c>
    </row>
    <row r="15" spans="1:17">
      <c r="A15">
        <v>2013</v>
      </c>
      <c r="B15" s="39">
        <v>4.5137</v>
      </c>
      <c r="C15">
        <v>36919530.56733261</v>
      </c>
      <c r="D15">
        <v>3.1667999999999998</v>
      </c>
      <c r="E15">
        <v>1.1952304507245022</v>
      </c>
      <c r="F15">
        <v>4.362030450724502</v>
      </c>
      <c r="H15" s="39">
        <v>4.5137</v>
      </c>
      <c r="L15">
        <v>53626494.270999998</v>
      </c>
      <c r="M15" s="39">
        <v>1520.327</v>
      </c>
      <c r="Q15">
        <v>45537007.619892001</v>
      </c>
    </row>
    <row r="16" spans="1:17">
      <c r="A16">
        <v>2014</v>
      </c>
      <c r="B16" s="39">
        <v>4.4260999999999999</v>
      </c>
      <c r="C16">
        <v>39607390.179120421</v>
      </c>
      <c r="D16">
        <v>3.2705000000000002</v>
      </c>
      <c r="E16">
        <v>1.1295000626595046</v>
      </c>
      <c r="F16">
        <v>4.4000000626595046</v>
      </c>
      <c r="H16" s="39">
        <v>4.4260999999999999</v>
      </c>
      <c r="L16">
        <v>47384090.369000003</v>
      </c>
      <c r="M16" s="39">
        <v>1343.3530000000001</v>
      </c>
      <c r="Q16">
        <v>39909789.610542007</v>
      </c>
    </row>
    <row r="17" spans="1:17">
      <c r="A17">
        <v>2015</v>
      </c>
      <c r="B17" s="39">
        <v>4.3685</v>
      </c>
      <c r="C17">
        <v>42508448.15397431</v>
      </c>
      <c r="D17">
        <v>3.3662999999999998</v>
      </c>
      <c r="E17">
        <v>1.0668016412034791</v>
      </c>
      <c r="F17">
        <v>4.4331016412034785</v>
      </c>
      <c r="H17" s="39">
        <v>4.3685</v>
      </c>
      <c r="L17">
        <v>43305191.195</v>
      </c>
      <c r="M17" s="39">
        <v>1227.7149999999999</v>
      </c>
      <c r="Q17">
        <v>40209714.238356002</v>
      </c>
    </row>
    <row r="18" spans="1:17">
      <c r="A18">
        <v>2016</v>
      </c>
      <c r="B18" s="39">
        <v>4.3914</v>
      </c>
      <c r="C18">
        <v>42548544.823638499</v>
      </c>
      <c r="D18">
        <v>3.5173000000000001</v>
      </c>
      <c r="E18">
        <v>1.2321408911587837</v>
      </c>
      <c r="F18">
        <v>4.749440891158784</v>
      </c>
      <c r="H18" s="39">
        <v>4.3914</v>
      </c>
      <c r="L18">
        <v>46124315.173999995</v>
      </c>
      <c r="M18" s="39">
        <v>1307.6379999999999</v>
      </c>
      <c r="Q18">
        <v>43624963.306727998</v>
      </c>
    </row>
    <row r="19" spans="1:17">
      <c r="A19">
        <v>2017</v>
      </c>
      <c r="B19" s="39">
        <v>4.2782999999999998</v>
      </c>
      <c r="C19">
        <v>42679109.372038342</v>
      </c>
      <c r="D19">
        <v>3.5678000000000001</v>
      </c>
      <c r="E19">
        <v>1.112318600152481</v>
      </c>
      <c r="F19">
        <v>4.6801186001524808</v>
      </c>
      <c r="H19" s="39">
        <v>4.2782999999999998</v>
      </c>
      <c r="L19">
        <v>45451976.520999998</v>
      </c>
      <c r="M19" s="39">
        <v>1288.577</v>
      </c>
      <c r="Q19">
        <v>42306183.016679995</v>
      </c>
    </row>
    <row r="20" spans="1:17">
      <c r="A20">
        <v>2018</v>
      </c>
      <c r="B20" s="39">
        <v>4.4542999999999999</v>
      </c>
      <c r="C20">
        <v>45655005.588163659</v>
      </c>
      <c r="D20">
        <v>3.6536</v>
      </c>
      <c r="E20">
        <v>1.1317010124660076</v>
      </c>
      <c r="F20">
        <v>4.7853010124660074</v>
      </c>
      <c r="H20" s="39">
        <v>4.4542999999999999</v>
      </c>
      <c r="L20">
        <v>44895298.035000004</v>
      </c>
      <c r="M20" s="39">
        <v>1272.7950000000001</v>
      </c>
      <c r="Q20">
        <v>40434691.598711997</v>
      </c>
    </row>
    <row r="21" spans="1:17">
      <c r="A21">
        <v>2019</v>
      </c>
      <c r="B21" s="39">
        <v>4.3593999999999999</v>
      </c>
      <c r="C21">
        <f t="shared" ref="C21" si="0">M21*35273</f>
        <v>52976451.681300007</v>
      </c>
      <c r="D21">
        <v>3.5962000000000001</v>
      </c>
      <c r="E21">
        <v>1.2756181422894106</v>
      </c>
      <c r="F21">
        <v>4.8718181422894107</v>
      </c>
      <c r="H21" s="39">
        <v>4.3593999999999999</v>
      </c>
      <c r="L21">
        <v>52976451.681300007</v>
      </c>
      <c r="M21">
        <f>M20+(M20*0.18)</f>
        <v>1501.8981000000001</v>
      </c>
      <c r="Q21">
        <v>47712936.086480156</v>
      </c>
    </row>
    <row r="22" spans="1:17" ht="19">
      <c r="H22" s="38"/>
    </row>
    <row r="23" spans="1:17" ht="19">
      <c r="C23" s="40"/>
      <c r="H23" s="38"/>
    </row>
    <row r="24" spans="1:17" ht="19">
      <c r="C24" s="40"/>
      <c r="H24" s="38"/>
    </row>
    <row r="25" spans="1:17" ht="19">
      <c r="C25" s="40"/>
      <c r="H25" s="38"/>
    </row>
    <row r="26" spans="1:17">
      <c r="C26" s="40"/>
    </row>
    <row r="27" spans="1:17">
      <c r="C27" s="40"/>
    </row>
    <row r="28" spans="1:17">
      <c r="C28" s="40"/>
    </row>
    <row r="29" spans="1:17">
      <c r="C29" s="40"/>
    </row>
    <row r="30" spans="1:17">
      <c r="C30" s="40"/>
    </row>
    <row r="31" spans="1:17">
      <c r="C31" s="40"/>
    </row>
    <row r="32" spans="1:17">
      <c r="C32" s="40"/>
    </row>
    <row r="33" spans="3:3">
      <c r="C33" s="40"/>
    </row>
    <row r="34" spans="3:3">
      <c r="C34" s="40"/>
    </row>
    <row r="35" spans="3:3">
      <c r="C35" s="40"/>
    </row>
    <row r="36" spans="3:3">
      <c r="C36" s="40"/>
    </row>
    <row r="37" spans="3:3">
      <c r="C37" s="40"/>
    </row>
    <row r="38" spans="3:3">
      <c r="C38" s="40"/>
    </row>
    <row r="39" spans="3:3">
      <c r="C39" s="40"/>
    </row>
    <row r="40" spans="3:3">
      <c r="C40" s="40"/>
    </row>
    <row r="41" spans="3:3">
      <c r="C41"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E21"/>
  <sheetViews>
    <sheetView workbookViewId="0">
      <selection activeCell="D16" sqref="D16"/>
    </sheetView>
  </sheetViews>
  <sheetFormatPr baseColWidth="10" defaultColWidth="8.83203125" defaultRowHeight="15"/>
  <sheetData>
    <row r="1" spans="1:5">
      <c r="B1" t="s">
        <v>184</v>
      </c>
      <c r="C1" t="s">
        <v>188</v>
      </c>
      <c r="D1" t="s">
        <v>190</v>
      </c>
      <c r="E1" t="s">
        <v>196</v>
      </c>
    </row>
    <row r="2" spans="1:5">
      <c r="A2" t="s">
        <v>176</v>
      </c>
      <c r="B2" s="1"/>
      <c r="D2" s="1"/>
    </row>
    <row r="3" spans="1:5" ht="16">
      <c r="A3">
        <v>2001</v>
      </c>
      <c r="C3" s="3"/>
    </row>
    <row r="4" spans="1:5">
      <c r="A4">
        <v>2002</v>
      </c>
    </row>
    <row r="5" spans="1:5">
      <c r="A5">
        <v>2003</v>
      </c>
    </row>
    <row r="6" spans="1:5">
      <c r="A6">
        <v>2004</v>
      </c>
    </row>
    <row r="7" spans="1:5">
      <c r="A7">
        <v>2005</v>
      </c>
    </row>
    <row r="8" spans="1:5">
      <c r="A8">
        <v>2006</v>
      </c>
    </row>
    <row r="9" spans="1:5">
      <c r="A9">
        <v>2007</v>
      </c>
    </row>
    <row r="10" spans="1:5">
      <c r="A10">
        <v>2008</v>
      </c>
    </row>
    <row r="11" spans="1:5">
      <c r="A11">
        <v>2009</v>
      </c>
    </row>
    <row r="12" spans="1:5">
      <c r="A12">
        <v>2010</v>
      </c>
    </row>
    <row r="13" spans="1:5">
      <c r="A13">
        <v>2011</v>
      </c>
    </row>
    <row r="14" spans="1:5">
      <c r="A14">
        <v>2012</v>
      </c>
    </row>
    <row r="15" spans="1:5">
      <c r="A15">
        <v>2013</v>
      </c>
    </row>
    <row r="16" spans="1:5">
      <c r="A16">
        <v>2014</v>
      </c>
    </row>
    <row r="17" spans="1:1">
      <c r="A17">
        <v>2015</v>
      </c>
    </row>
    <row r="18" spans="1:1">
      <c r="A18">
        <v>2016</v>
      </c>
    </row>
    <row r="19" spans="1:1">
      <c r="A19">
        <v>2017</v>
      </c>
    </row>
    <row r="20" spans="1:1">
      <c r="A20">
        <v>2018</v>
      </c>
    </row>
    <row r="21" spans="1:1">
      <c r="A21">
        <v>2019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E33"/>
  <sheetViews>
    <sheetView workbookViewId="0">
      <selection activeCell="B32" sqref="B32"/>
    </sheetView>
  </sheetViews>
  <sheetFormatPr baseColWidth="10" defaultColWidth="8.83203125" defaultRowHeight="15"/>
  <sheetData>
    <row r="1" spans="1:5">
      <c r="B1" t="s">
        <v>184</v>
      </c>
      <c r="C1" t="s">
        <v>188</v>
      </c>
      <c r="D1" t="s">
        <v>190</v>
      </c>
      <c r="E1" t="s">
        <v>196</v>
      </c>
    </row>
    <row r="2" spans="1:5">
      <c r="A2" t="s">
        <v>176</v>
      </c>
      <c r="B2" s="1" t="s">
        <v>332</v>
      </c>
      <c r="D2" s="1"/>
    </row>
    <row r="3" spans="1:5">
      <c r="A3">
        <v>1990</v>
      </c>
      <c r="B3">
        <v>227.46799999999999</v>
      </c>
      <c r="D3" s="1"/>
    </row>
    <row r="4" spans="1:5">
      <c r="A4">
        <v>1991</v>
      </c>
      <c r="B4">
        <v>203.57</v>
      </c>
      <c r="D4" s="1"/>
    </row>
    <row r="5" spans="1:5">
      <c r="A5">
        <v>1992</v>
      </c>
      <c r="B5">
        <v>203.13800000000001</v>
      </c>
      <c r="D5" s="1"/>
    </row>
    <row r="6" spans="1:5">
      <c r="A6">
        <v>1993</v>
      </c>
      <c r="B6">
        <v>197.32599999999999</v>
      </c>
      <c r="D6" s="1"/>
    </row>
    <row r="7" spans="1:5">
      <c r="A7">
        <v>1994</v>
      </c>
      <c r="B7">
        <v>231.25700000000001</v>
      </c>
      <c r="D7" s="1"/>
    </row>
    <row r="8" spans="1:5">
      <c r="A8">
        <v>1995</v>
      </c>
      <c r="B8">
        <v>219.834</v>
      </c>
      <c r="D8" s="1"/>
    </row>
    <row r="9" spans="1:5">
      <c r="A9">
        <v>1996</v>
      </c>
      <c r="B9">
        <v>230.744</v>
      </c>
      <c r="D9" s="1"/>
    </row>
    <row r="10" spans="1:5">
      <c r="A10">
        <v>1997</v>
      </c>
      <c r="B10">
        <v>238.179</v>
      </c>
      <c r="D10" s="1"/>
    </row>
    <row r="11" spans="1:5">
      <c r="A11">
        <v>1998</v>
      </c>
      <c r="B11">
        <v>237.03</v>
      </c>
      <c r="D11" s="1"/>
    </row>
    <row r="12" spans="1:5">
      <c r="A12">
        <v>1999</v>
      </c>
      <c r="B12">
        <v>248.10300000000001</v>
      </c>
      <c r="D12" s="1"/>
    </row>
    <row r="13" spans="1:5">
      <c r="A13">
        <v>2000</v>
      </c>
      <c r="B13">
        <v>260.66899999999998</v>
      </c>
      <c r="D13" s="1"/>
    </row>
    <row r="14" spans="1:5" ht="16">
      <c r="A14">
        <v>2001</v>
      </c>
      <c r="B14">
        <v>280.69499999999999</v>
      </c>
      <c r="C14" s="3"/>
    </row>
    <row r="15" spans="1:5">
      <c r="A15">
        <v>2002</v>
      </c>
      <c r="B15">
        <v>264.428</v>
      </c>
    </row>
    <row r="16" spans="1:5">
      <c r="A16">
        <v>2003</v>
      </c>
      <c r="B16">
        <v>275.28199999999998</v>
      </c>
    </row>
    <row r="17" spans="1:2">
      <c r="A17">
        <v>2004</v>
      </c>
      <c r="B17">
        <v>313.08999999999997</v>
      </c>
    </row>
    <row r="18" spans="1:2">
      <c r="A18">
        <v>2005</v>
      </c>
      <c r="B18">
        <v>333.6</v>
      </c>
    </row>
    <row r="19" spans="1:2">
      <c r="A19">
        <v>2006</v>
      </c>
      <c r="B19">
        <v>327.00200000000001</v>
      </c>
    </row>
    <row r="20" spans="1:2">
      <c r="A20">
        <v>2007</v>
      </c>
      <c r="B20">
        <v>335.40800000000002</v>
      </c>
    </row>
    <row r="21" spans="1:2">
      <c r="A21">
        <v>2008</v>
      </c>
      <c r="B21">
        <v>326.262</v>
      </c>
    </row>
    <row r="22" spans="1:2">
      <c r="A22">
        <v>2009</v>
      </c>
      <c r="B22">
        <v>318.16300000000001</v>
      </c>
    </row>
    <row r="23" spans="1:2">
      <c r="A23">
        <v>2010</v>
      </c>
      <c r="B23">
        <v>351.84800000000001</v>
      </c>
    </row>
    <row r="24" spans="1:2">
      <c r="A24">
        <v>2011</v>
      </c>
      <c r="B24">
        <v>364.58600000000001</v>
      </c>
    </row>
    <row r="25" spans="1:2">
      <c r="A25">
        <v>2012</v>
      </c>
      <c r="B25">
        <v>357.89600000000002</v>
      </c>
    </row>
    <row r="26" spans="1:2">
      <c r="A26">
        <v>2013</v>
      </c>
      <c r="B26">
        <v>346.137</v>
      </c>
    </row>
    <row r="27" spans="1:2">
      <c r="A27">
        <v>2014</v>
      </c>
      <c r="B27">
        <v>391.78300000000002</v>
      </c>
    </row>
    <row r="28" spans="1:2">
      <c r="A28">
        <v>2015</v>
      </c>
      <c r="B28">
        <v>348.48</v>
      </c>
    </row>
    <row r="29" spans="1:2">
      <c r="A29">
        <v>2016</v>
      </c>
      <c r="B29">
        <v>362.06099999999998</v>
      </c>
    </row>
    <row r="30" spans="1:2">
      <c r="A30">
        <v>2017</v>
      </c>
      <c r="B30">
        <v>369.08800000000002</v>
      </c>
    </row>
    <row r="31" spans="1:2">
      <c r="A31">
        <v>2018</v>
      </c>
      <c r="B31">
        <v>373.03500000000003</v>
      </c>
    </row>
    <row r="32" spans="1:2">
      <c r="A32">
        <v>2019</v>
      </c>
      <c r="B32">
        <v>371.81700000000001</v>
      </c>
    </row>
    <row r="33" spans="1:2">
      <c r="A33">
        <v>2020</v>
      </c>
      <c r="B33">
        <v>367.46699999999998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E53"/>
  <sheetViews>
    <sheetView workbookViewId="0">
      <selection activeCell="B8" sqref="B8"/>
    </sheetView>
  </sheetViews>
  <sheetFormatPr baseColWidth="10" defaultColWidth="8.83203125" defaultRowHeight="15"/>
  <sheetData>
    <row r="1" spans="1:5">
      <c r="B1" t="s">
        <v>184</v>
      </c>
      <c r="C1" t="s">
        <v>188</v>
      </c>
      <c r="D1" t="s">
        <v>190</v>
      </c>
      <c r="E1" t="s">
        <v>196</v>
      </c>
    </row>
    <row r="2" spans="1:5">
      <c r="A2" t="s">
        <v>176</v>
      </c>
      <c r="B2" t="s">
        <v>197</v>
      </c>
      <c r="D2" s="1"/>
    </row>
    <row r="3" spans="1:5" ht="16">
      <c r="A3">
        <v>1969</v>
      </c>
      <c r="C3" s="3"/>
      <c r="D3">
        <v>388</v>
      </c>
    </row>
    <row r="4" spans="1:5">
      <c r="A4">
        <v>1970</v>
      </c>
      <c r="D4">
        <v>318</v>
      </c>
    </row>
    <row r="5" spans="1:5">
      <c r="A5">
        <v>1971</v>
      </c>
      <c r="D5">
        <v>496</v>
      </c>
    </row>
    <row r="6" spans="1:5">
      <c r="A6">
        <v>1972</v>
      </c>
      <c r="D6">
        <v>371</v>
      </c>
    </row>
    <row r="7" spans="1:5">
      <c r="A7">
        <v>1973</v>
      </c>
      <c r="D7">
        <v>384</v>
      </c>
    </row>
    <row r="8" spans="1:5">
      <c r="A8">
        <v>1974</v>
      </c>
      <c r="D8">
        <v>436</v>
      </c>
    </row>
    <row r="9" spans="1:5">
      <c r="A9">
        <v>1975</v>
      </c>
      <c r="D9">
        <v>411</v>
      </c>
    </row>
    <row r="10" spans="1:5">
      <c r="A10">
        <v>1976</v>
      </c>
      <c r="D10">
        <v>339</v>
      </c>
    </row>
    <row r="11" spans="1:5">
      <c r="A11">
        <v>1977</v>
      </c>
      <c r="D11">
        <v>409</v>
      </c>
    </row>
    <row r="12" spans="1:5">
      <c r="A12">
        <v>1978</v>
      </c>
      <c r="D12">
        <v>362</v>
      </c>
    </row>
    <row r="13" spans="1:5">
      <c r="A13">
        <v>1979</v>
      </c>
      <c r="D13">
        <v>476</v>
      </c>
    </row>
    <row r="14" spans="1:5">
      <c r="A14">
        <v>1980</v>
      </c>
      <c r="D14">
        <v>544</v>
      </c>
    </row>
    <row r="15" spans="1:5">
      <c r="A15">
        <v>1981</v>
      </c>
      <c r="D15">
        <v>403</v>
      </c>
    </row>
    <row r="16" spans="1:5">
      <c r="A16">
        <v>1982</v>
      </c>
      <c r="D16">
        <v>284</v>
      </c>
    </row>
    <row r="17" spans="1:4">
      <c r="A17">
        <v>1983</v>
      </c>
      <c r="D17">
        <v>313</v>
      </c>
    </row>
    <row r="18" spans="1:4">
      <c r="A18">
        <v>1984</v>
      </c>
      <c r="D18">
        <v>315</v>
      </c>
    </row>
    <row r="19" spans="1:4">
      <c r="A19">
        <v>1985</v>
      </c>
      <c r="D19">
        <v>315</v>
      </c>
    </row>
    <row r="20" spans="1:4">
      <c r="A20">
        <v>1986</v>
      </c>
      <c r="D20">
        <v>215</v>
      </c>
    </row>
    <row r="21" spans="1:4">
      <c r="A21">
        <v>1987</v>
      </c>
      <c r="D21">
        <v>275</v>
      </c>
    </row>
    <row r="22" spans="1:4">
      <c r="A22">
        <v>1988</v>
      </c>
      <c r="D22">
        <v>292</v>
      </c>
    </row>
    <row r="23" spans="1:4">
      <c r="A23">
        <v>1989</v>
      </c>
      <c r="D23">
        <v>395</v>
      </c>
    </row>
    <row r="24" spans="1:4">
      <c r="A24">
        <v>1990</v>
      </c>
      <c r="D24">
        <v>396</v>
      </c>
    </row>
    <row r="25" spans="1:4">
      <c r="A25">
        <v>1991</v>
      </c>
      <c r="D25">
        <v>477</v>
      </c>
    </row>
    <row r="26" spans="1:4">
      <c r="A26">
        <v>1992</v>
      </c>
      <c r="D26">
        <v>399</v>
      </c>
    </row>
    <row r="27" spans="1:4">
      <c r="A27">
        <v>1993</v>
      </c>
      <c r="D27">
        <v>292</v>
      </c>
    </row>
    <row r="28" spans="1:4">
      <c r="A28">
        <v>1994</v>
      </c>
      <c r="D28">
        <v>333</v>
      </c>
    </row>
    <row r="29" spans="1:4">
      <c r="A29">
        <v>1995</v>
      </c>
      <c r="D29">
        <v>361</v>
      </c>
    </row>
    <row r="30" spans="1:4">
      <c r="A30">
        <v>1996</v>
      </c>
      <c r="D30">
        <v>436</v>
      </c>
    </row>
    <row r="31" spans="1:4">
      <c r="A31">
        <v>1997</v>
      </c>
      <c r="D31">
        <v>562</v>
      </c>
    </row>
    <row r="32" spans="1:4">
      <c r="A32">
        <v>1998</v>
      </c>
      <c r="D32">
        <v>779</v>
      </c>
    </row>
    <row r="33" spans="1:4">
      <c r="A33">
        <v>1999</v>
      </c>
      <c r="D33">
        <v>656</v>
      </c>
    </row>
    <row r="34" spans="1:4">
      <c r="A34">
        <v>2000</v>
      </c>
      <c r="D34">
        <v>1070</v>
      </c>
    </row>
    <row r="35" spans="1:4">
      <c r="A35">
        <v>2001</v>
      </c>
      <c r="D35">
        <v>1180</v>
      </c>
    </row>
    <row r="36" spans="1:4">
      <c r="A36">
        <v>2002</v>
      </c>
      <c r="D36">
        <v>1340</v>
      </c>
    </row>
    <row r="37" spans="1:4">
      <c r="A37">
        <v>2003</v>
      </c>
      <c r="D37">
        <v>1390</v>
      </c>
    </row>
    <row r="38" spans="1:4">
      <c r="A38">
        <v>2004</v>
      </c>
      <c r="D38">
        <v>1430</v>
      </c>
    </row>
    <row r="39" spans="1:4">
      <c r="A39">
        <v>2005</v>
      </c>
      <c r="D39">
        <v>1380</v>
      </c>
    </row>
    <row r="40" spans="1:4">
      <c r="A40">
        <v>2006</v>
      </c>
      <c r="D40">
        <v>859</v>
      </c>
    </row>
    <row r="41" spans="1:4">
      <c r="A41">
        <v>2007</v>
      </c>
      <c r="D41">
        <v>1060</v>
      </c>
    </row>
    <row r="42" spans="1:4">
      <c r="A42">
        <v>2008</v>
      </c>
      <c r="D42">
        <v>1500</v>
      </c>
    </row>
    <row r="43" spans="1:4">
      <c r="A43">
        <v>2009</v>
      </c>
      <c r="D43">
        <v>956</v>
      </c>
    </row>
    <row r="44" spans="1:4">
      <c r="A44">
        <v>2010</v>
      </c>
      <c r="D44">
        <v>922</v>
      </c>
    </row>
    <row r="45" spans="1:4">
      <c r="A45">
        <v>2011</v>
      </c>
      <c r="D45">
        <v>1000</v>
      </c>
    </row>
    <row r="46" spans="1:4">
      <c r="A46">
        <v>2012</v>
      </c>
      <c r="D46">
        <v>1100</v>
      </c>
    </row>
    <row r="47" spans="1:4">
      <c r="A47">
        <v>2013</v>
      </c>
      <c r="D47">
        <v>1300</v>
      </c>
    </row>
    <row r="48" spans="1:4">
      <c r="A48">
        <v>2014</v>
      </c>
      <c r="D48">
        <v>1610</v>
      </c>
    </row>
    <row r="49" spans="1:4">
      <c r="A49">
        <v>2015</v>
      </c>
      <c r="D49">
        <v>1660</v>
      </c>
    </row>
    <row r="50" spans="1:4">
      <c r="A50">
        <v>2016</v>
      </c>
      <c r="D50">
        <v>1680</v>
      </c>
    </row>
    <row r="51" spans="1:4">
      <c r="A51">
        <v>2017</v>
      </c>
      <c r="D51">
        <v>1910</v>
      </c>
    </row>
    <row r="52" spans="1:4">
      <c r="A52">
        <v>2018</v>
      </c>
      <c r="D52">
        <v>2020</v>
      </c>
    </row>
    <row r="53" spans="1:4">
      <c r="A53">
        <v>2019</v>
      </c>
      <c r="D53">
        <v>1850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E72"/>
  <sheetViews>
    <sheetView topLeftCell="A45" workbookViewId="0">
      <selection activeCell="J15" sqref="J15"/>
    </sheetView>
  </sheetViews>
  <sheetFormatPr baseColWidth="10" defaultColWidth="8.83203125" defaultRowHeight="15"/>
  <sheetData>
    <row r="1" spans="1:5">
      <c r="B1" t="s">
        <v>184</v>
      </c>
      <c r="C1" t="s">
        <v>188</v>
      </c>
      <c r="D1" t="s">
        <v>190</v>
      </c>
      <c r="E1" t="s">
        <v>196</v>
      </c>
    </row>
    <row r="2" spans="1:5">
      <c r="A2" t="s">
        <v>176</v>
      </c>
      <c r="B2" t="s">
        <v>330</v>
      </c>
      <c r="D2" t="s">
        <v>333</v>
      </c>
      <c r="E2" t="s">
        <v>329</v>
      </c>
    </row>
    <row r="3" spans="1:5" ht="16">
      <c r="A3">
        <v>1950</v>
      </c>
      <c r="C3" s="3"/>
      <c r="D3" s="41">
        <v>2385.7328498409602</v>
      </c>
    </row>
    <row r="4" spans="1:5">
      <c r="A4">
        <v>1951</v>
      </c>
      <c r="D4" s="41">
        <v>2491.7023564716101</v>
      </c>
    </row>
    <row r="5" spans="1:5">
      <c r="A5">
        <v>1952</v>
      </c>
      <c r="D5" s="41">
        <v>2565.8650655053102</v>
      </c>
    </row>
    <row r="6" spans="1:5">
      <c r="A6">
        <v>1953</v>
      </c>
      <c r="D6" s="41">
        <v>2586.99455908245</v>
      </c>
    </row>
    <row r="7" spans="1:5">
      <c r="A7">
        <v>1954</v>
      </c>
      <c r="D7" s="41">
        <v>2639.9402300258098</v>
      </c>
    </row>
    <row r="8" spans="1:5">
      <c r="A8">
        <v>1955</v>
      </c>
      <c r="D8" s="41">
        <v>2926.20140839841</v>
      </c>
    </row>
    <row r="9" spans="1:5">
      <c r="A9">
        <v>1956</v>
      </c>
      <c r="D9" s="41">
        <v>3212.4719665402799</v>
      </c>
    </row>
    <row r="10" spans="1:5">
      <c r="A10">
        <v>1957</v>
      </c>
      <c r="D10" s="41">
        <v>3286.6284223944599</v>
      </c>
    </row>
    <row r="11" spans="1:5">
      <c r="A11">
        <v>1958</v>
      </c>
      <c r="D11" s="41">
        <v>3191.10172555186</v>
      </c>
    </row>
    <row r="12" spans="1:5">
      <c r="A12">
        <v>1959</v>
      </c>
      <c r="D12" s="41">
        <v>3445.5498531479898</v>
      </c>
    </row>
    <row r="13" spans="1:5">
      <c r="A13">
        <v>1960</v>
      </c>
      <c r="B13">
        <v>5790.4642289348103</v>
      </c>
      <c r="D13" s="41">
        <v>3924</v>
      </c>
    </row>
    <row r="14" spans="1:5">
      <c r="A14">
        <v>1961</v>
      </c>
      <c r="B14">
        <v>6290.0635930047702</v>
      </c>
      <c r="D14" s="41">
        <v>4081</v>
      </c>
    </row>
    <row r="15" spans="1:5">
      <c r="A15">
        <v>1962</v>
      </c>
      <c r="B15">
        <v>6288.0635930047702</v>
      </c>
      <c r="D15" s="41">
        <v>4216</v>
      </c>
    </row>
    <row r="16" spans="1:5">
      <c r="A16">
        <v>1963</v>
      </c>
      <c r="B16">
        <v>6711.4467408585006</v>
      </c>
      <c r="D16" s="41">
        <v>4286</v>
      </c>
    </row>
    <row r="17" spans="1:4">
      <c r="A17">
        <v>1964</v>
      </c>
      <c r="B17">
        <v>7820.1192368839402</v>
      </c>
      <c r="D17" s="41">
        <v>4443</v>
      </c>
    </row>
    <row r="18" spans="1:4">
      <c r="A18">
        <v>1965</v>
      </c>
      <c r="B18">
        <v>8056.2750397456202</v>
      </c>
      <c r="D18" s="41">
        <v>4769</v>
      </c>
    </row>
    <row r="19" spans="1:4">
      <c r="A19">
        <v>1966</v>
      </c>
      <c r="B19">
        <v>8320.9936406995203</v>
      </c>
      <c r="D19" s="41">
        <v>4987</v>
      </c>
    </row>
    <row r="20" spans="1:4">
      <c r="A20">
        <v>1967</v>
      </c>
      <c r="B20">
        <v>7994.6820349761501</v>
      </c>
      <c r="D20" s="41">
        <v>4743</v>
      </c>
    </row>
    <row r="21" spans="1:4">
      <c r="A21">
        <v>1968</v>
      </c>
      <c r="B21">
        <v>8462.5866454689894</v>
      </c>
      <c r="D21" s="41">
        <v>5010</v>
      </c>
    </row>
    <row r="22" spans="1:4">
      <c r="A22">
        <v>1969</v>
      </c>
      <c r="B22">
        <v>9286.4435612082598</v>
      </c>
      <c r="D22" s="41">
        <v>5682</v>
      </c>
    </row>
    <row r="23" spans="1:4">
      <c r="A23">
        <v>1970</v>
      </c>
      <c r="B23">
        <v>9275.1017488076304</v>
      </c>
      <c r="D23" s="41">
        <v>5900</v>
      </c>
    </row>
    <row r="24" spans="1:4">
      <c r="A24">
        <v>1971</v>
      </c>
      <c r="B24">
        <v>9350.0540540540496</v>
      </c>
      <c r="D24" s="41">
        <v>5941</v>
      </c>
    </row>
    <row r="25" spans="1:4">
      <c r="A25">
        <v>1972</v>
      </c>
      <c r="B25">
        <v>10085.084260731321</v>
      </c>
      <c r="D25" s="41">
        <v>6541</v>
      </c>
    </row>
    <row r="26" spans="1:4">
      <c r="A26">
        <v>1973</v>
      </c>
      <c r="B26">
        <v>11162.89348171701</v>
      </c>
      <c r="D26" s="41">
        <v>6915</v>
      </c>
    </row>
    <row r="27" spans="1:4">
      <c r="A27">
        <v>1974</v>
      </c>
      <c r="B27">
        <v>10545.29411764705</v>
      </c>
      <c r="D27" s="41">
        <v>7097</v>
      </c>
    </row>
    <row r="28" spans="1:4">
      <c r="A28">
        <v>1975</v>
      </c>
      <c r="B28">
        <v>9241.5023847376706</v>
      </c>
      <c r="D28" s="41">
        <v>6735</v>
      </c>
    </row>
    <row r="29" spans="1:4">
      <c r="A29">
        <v>1976</v>
      </c>
      <c r="B29">
        <v>10602.593004769471</v>
      </c>
      <c r="D29" s="41">
        <v>7289</v>
      </c>
    </row>
    <row r="30" spans="1:4">
      <c r="A30">
        <v>1977</v>
      </c>
      <c r="B30">
        <v>11082.437201907789</v>
      </c>
      <c r="D30" s="41">
        <v>7444</v>
      </c>
    </row>
    <row r="31" spans="1:4">
      <c r="A31">
        <v>1978</v>
      </c>
      <c r="B31">
        <v>11727.31796502384</v>
      </c>
      <c r="D31" s="41">
        <v>7306</v>
      </c>
    </row>
    <row r="32" spans="1:4">
      <c r="A32">
        <v>1979</v>
      </c>
      <c r="B32">
        <v>12375.82193958664</v>
      </c>
      <c r="D32" s="41">
        <v>7371</v>
      </c>
    </row>
    <row r="33" spans="1:4">
      <c r="A33">
        <v>1980</v>
      </c>
      <c r="B33">
        <v>11981.05564387917</v>
      </c>
      <c r="D33" s="41">
        <v>7227</v>
      </c>
    </row>
    <row r="34" spans="1:4">
      <c r="A34">
        <v>1981</v>
      </c>
      <c r="B34">
        <v>12119.774244833061</v>
      </c>
      <c r="D34" s="41">
        <v>7721</v>
      </c>
    </row>
    <row r="35" spans="1:4">
      <c r="A35">
        <v>1982</v>
      </c>
      <c r="B35">
        <v>11439.761526232111</v>
      </c>
      <c r="D35" s="41">
        <v>7745</v>
      </c>
    </row>
    <row r="36" spans="1:4">
      <c r="A36">
        <v>1983</v>
      </c>
      <c r="B36">
        <v>11882.01907790143</v>
      </c>
      <c r="D36" s="41">
        <v>7824</v>
      </c>
    </row>
    <row r="37" spans="1:4">
      <c r="A37">
        <v>1984</v>
      </c>
      <c r="B37">
        <v>12559.5707472178</v>
      </c>
      <c r="D37" s="41">
        <v>8135</v>
      </c>
    </row>
    <row r="38" spans="1:4">
      <c r="A38">
        <v>1985</v>
      </c>
      <c r="B38">
        <v>12456.18759936407</v>
      </c>
      <c r="D38" s="41">
        <v>8288</v>
      </c>
    </row>
    <row r="39" spans="1:4">
      <c r="A39">
        <v>1986</v>
      </c>
      <c r="B39">
        <v>12852.85850556438</v>
      </c>
      <c r="D39" s="41">
        <v>8295</v>
      </c>
    </row>
    <row r="40" spans="1:4">
      <c r="A40">
        <v>1987</v>
      </c>
      <c r="B40">
        <v>13189.661367249601</v>
      </c>
      <c r="D40" s="41">
        <v>8620</v>
      </c>
    </row>
    <row r="41" spans="1:4">
      <c r="A41">
        <v>1988</v>
      </c>
      <c r="B41">
        <v>13615.535771065181</v>
      </c>
      <c r="D41" s="41">
        <v>8773</v>
      </c>
    </row>
    <row r="42" spans="1:4">
      <c r="A42">
        <v>1989</v>
      </c>
      <c r="B42">
        <v>13939.50556438791</v>
      </c>
      <c r="D42" s="41">
        <v>9086</v>
      </c>
    </row>
    <row r="43" spans="1:4">
      <c r="A43">
        <v>1990</v>
      </c>
      <c r="B43">
        <v>13874.871224165341</v>
      </c>
      <c r="D43" s="41">
        <v>9227</v>
      </c>
    </row>
    <row r="44" spans="1:4">
      <c r="A44">
        <v>1991</v>
      </c>
      <c r="B44">
        <v>13570.94912559618</v>
      </c>
      <c r="D44" s="41">
        <v>9373</v>
      </c>
    </row>
    <row r="45" spans="1:4">
      <c r="A45">
        <v>1992</v>
      </c>
      <c r="B45">
        <v>14074.267090620029</v>
      </c>
      <c r="D45" s="41">
        <v>9497</v>
      </c>
    </row>
    <row r="46" spans="1:4">
      <c r="A46">
        <v>1993</v>
      </c>
      <c r="B46">
        <v>14152.57233704292</v>
      </c>
      <c r="D46" s="41">
        <v>9571</v>
      </c>
    </row>
    <row r="47" spans="1:4">
      <c r="A47">
        <v>1994</v>
      </c>
      <c r="B47">
        <v>15025.818759936399</v>
      </c>
      <c r="D47" s="41">
        <v>9539</v>
      </c>
    </row>
    <row r="48" spans="1:4">
      <c r="A48">
        <v>1995</v>
      </c>
      <c r="B48">
        <v>15524.717011128771</v>
      </c>
      <c r="D48" s="41">
        <v>10070</v>
      </c>
    </row>
    <row r="49" spans="1:5">
      <c r="A49">
        <v>1996</v>
      </c>
      <c r="B49">
        <v>16298.220985691571</v>
      </c>
      <c r="D49" s="41">
        <v>11084</v>
      </c>
    </row>
    <row r="50" spans="1:5">
      <c r="A50">
        <v>1997</v>
      </c>
      <c r="B50">
        <v>17228.263910969792</v>
      </c>
      <c r="D50" s="41">
        <v>11514</v>
      </c>
    </row>
    <row r="51" spans="1:5">
      <c r="A51">
        <v>1998</v>
      </c>
      <c r="B51">
        <v>17875.612082670901</v>
      </c>
      <c r="D51" s="41">
        <v>12228</v>
      </c>
    </row>
    <row r="52" spans="1:5">
      <c r="A52">
        <v>1999</v>
      </c>
      <c r="B52">
        <v>19129.20031796502</v>
      </c>
      <c r="D52" s="41">
        <v>12767</v>
      </c>
    </row>
    <row r="53" spans="1:5">
      <c r="A53">
        <v>2000</v>
      </c>
      <c r="B53">
        <v>20776</v>
      </c>
      <c r="D53" s="41">
        <v>13199</v>
      </c>
      <c r="E53">
        <v>6952.0186409456373</v>
      </c>
    </row>
    <row r="54" spans="1:5">
      <c r="A54">
        <v>2001</v>
      </c>
      <c r="B54">
        <v>20067</v>
      </c>
      <c r="D54" s="41">
        <v>13636</v>
      </c>
      <c r="E54">
        <v>7029.967721237299</v>
      </c>
    </row>
    <row r="55" spans="1:5">
      <c r="A55">
        <v>2002</v>
      </c>
      <c r="B55">
        <v>20292</v>
      </c>
      <c r="D55" s="41">
        <v>13487</v>
      </c>
      <c r="E55">
        <v>6858.9913693972994</v>
      </c>
    </row>
    <row r="56" spans="1:5">
      <c r="A56">
        <v>2003</v>
      </c>
      <c r="B56">
        <v>20703</v>
      </c>
      <c r="D56" s="41">
        <v>13699</v>
      </c>
      <c r="E56">
        <v>7475.7839077943008</v>
      </c>
    </row>
    <row r="57" spans="1:5">
      <c r="A57">
        <v>2004</v>
      </c>
      <c r="B57">
        <v>22137</v>
      </c>
      <c r="D57" s="41">
        <v>14594</v>
      </c>
      <c r="E57">
        <v>7475.9243112857002</v>
      </c>
    </row>
    <row r="58" spans="1:5">
      <c r="A58">
        <v>2005</v>
      </c>
      <c r="B58">
        <v>21872</v>
      </c>
      <c r="D58" s="41">
        <v>14927</v>
      </c>
      <c r="E58">
        <v>8402.4118511779016</v>
      </c>
    </row>
    <row r="59" spans="1:5">
      <c r="A59">
        <v>2006</v>
      </c>
      <c r="B59">
        <v>22009</v>
      </c>
      <c r="D59" s="41">
        <v>14983</v>
      </c>
      <c r="E59">
        <v>8504.8712991395023</v>
      </c>
    </row>
    <row r="60" spans="1:5">
      <c r="A60">
        <v>2007</v>
      </c>
      <c r="B60">
        <v>23753</v>
      </c>
      <c r="D60" s="41">
        <v>15508</v>
      </c>
      <c r="E60">
        <v>8230.7334818801992</v>
      </c>
    </row>
    <row r="61" spans="1:5">
      <c r="A61">
        <v>2008</v>
      </c>
      <c r="B61">
        <v>23145</v>
      </c>
      <c r="D61" s="41">
        <v>15537</v>
      </c>
      <c r="E61">
        <v>7235.8694416013004</v>
      </c>
    </row>
    <row r="62" spans="1:5">
      <c r="A62">
        <v>2009</v>
      </c>
      <c r="B62">
        <v>23145</v>
      </c>
      <c r="D62" s="41">
        <v>15945</v>
      </c>
      <c r="E62">
        <v>8354.0918708251647</v>
      </c>
    </row>
    <row r="63" spans="1:5">
      <c r="A63">
        <v>2010</v>
      </c>
      <c r="B63">
        <v>24194.52173168564</v>
      </c>
      <c r="D63" s="41">
        <v>15990</v>
      </c>
      <c r="E63">
        <v>9046.3264891723593</v>
      </c>
    </row>
    <row r="64" spans="1:5">
      <c r="A64">
        <v>2011</v>
      </c>
      <c r="B64">
        <v>25089.29089953471</v>
      </c>
      <c r="D64" s="41">
        <v>15965</v>
      </c>
      <c r="E64">
        <v>9043.9376022742108</v>
      </c>
    </row>
    <row r="65" spans="1:5">
      <c r="A65">
        <v>2012</v>
      </c>
      <c r="B65">
        <v>25297.975557049198</v>
      </c>
      <c r="D65" s="41">
        <v>16692</v>
      </c>
      <c r="E65">
        <v>9252.9652058623305</v>
      </c>
    </row>
    <row r="66" spans="1:5">
      <c r="A66">
        <v>2013</v>
      </c>
      <c r="B66">
        <v>26259.767623756532</v>
      </c>
      <c r="D66" s="41">
        <v>18190</v>
      </c>
      <c r="E66">
        <v>9652.3273730605197</v>
      </c>
    </row>
    <row r="67" spans="1:5">
      <c r="A67">
        <v>2014</v>
      </c>
      <c r="B67">
        <v>27894.831923939641</v>
      </c>
      <c r="D67" s="41">
        <v>18426</v>
      </c>
      <c r="E67">
        <v>9480.77543268714</v>
      </c>
    </row>
    <row r="68" spans="1:5">
      <c r="A68">
        <v>2015</v>
      </c>
      <c r="B68">
        <v>27978.19375439177</v>
      </c>
      <c r="D68" s="41">
        <v>19149</v>
      </c>
      <c r="E68">
        <v>9415.0511819017902</v>
      </c>
    </row>
    <row r="69" spans="1:5">
      <c r="A69">
        <v>2016</v>
      </c>
      <c r="B69">
        <v>28520.721798863349</v>
      </c>
      <c r="D69" s="41">
        <v>20357</v>
      </c>
      <c r="E69">
        <v>9983.9347356099406</v>
      </c>
    </row>
    <row r="70" spans="1:5">
      <c r="A70">
        <v>2017</v>
      </c>
      <c r="B70">
        <v>29751.152073732701</v>
      </c>
      <c r="D70" s="41">
        <v>20038</v>
      </c>
      <c r="E70">
        <v>9980.2319609177994</v>
      </c>
    </row>
    <row r="71" spans="1:5">
      <c r="A71">
        <v>2018</v>
      </c>
      <c r="B71">
        <v>30709.677419354801</v>
      </c>
      <c r="D71">
        <v>20539</v>
      </c>
      <c r="E71">
        <v>9619.4503171247306</v>
      </c>
    </row>
    <row r="72" spans="1:5">
      <c r="A72">
        <v>2019</v>
      </c>
      <c r="B72">
        <v>30046.0829493087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E28"/>
  <sheetViews>
    <sheetView workbookViewId="0">
      <selection activeCell="B2" sqref="B2"/>
    </sheetView>
  </sheetViews>
  <sheetFormatPr baseColWidth="10" defaultColWidth="8.83203125" defaultRowHeight="15"/>
  <sheetData>
    <row r="1" spans="1:5">
      <c r="B1" t="s">
        <v>184</v>
      </c>
      <c r="C1" t="s">
        <v>188</v>
      </c>
      <c r="D1" t="s">
        <v>190</v>
      </c>
      <c r="E1" t="s">
        <v>196</v>
      </c>
    </row>
    <row r="2" spans="1:5">
      <c r="A2" t="s">
        <v>176</v>
      </c>
      <c r="B2" s="1" t="s">
        <v>331</v>
      </c>
      <c r="D2" s="1"/>
      <c r="E2" s="1" t="s">
        <v>331</v>
      </c>
    </row>
    <row r="3" spans="1:5" ht="16">
      <c r="A3">
        <v>1995</v>
      </c>
      <c r="B3">
        <v>1469.917875310188</v>
      </c>
      <c r="C3" s="3"/>
      <c r="E3">
        <v>461.47509857472789</v>
      </c>
    </row>
    <row r="4" spans="1:5">
      <c r="A4">
        <v>1996</v>
      </c>
      <c r="B4">
        <v>1432.5767347969486</v>
      </c>
      <c r="E4">
        <v>461.65741021908769</v>
      </c>
    </row>
    <row r="5" spans="1:5">
      <c r="A5">
        <v>1997</v>
      </c>
      <c r="B5">
        <v>1558.8604356972196</v>
      </c>
      <c r="E5">
        <v>508.20377528446966</v>
      </c>
    </row>
    <row r="6" spans="1:5">
      <c r="A6">
        <v>1998</v>
      </c>
      <c r="B6">
        <v>1566.6470888700878</v>
      </c>
      <c r="E6">
        <v>530.06172301643778</v>
      </c>
    </row>
    <row r="7" spans="1:5">
      <c r="A7">
        <v>1999</v>
      </c>
      <c r="B7">
        <v>1635.0227035488601</v>
      </c>
      <c r="E7">
        <v>523.39043338001011</v>
      </c>
    </row>
    <row r="8" spans="1:5">
      <c r="A8">
        <v>2000</v>
      </c>
      <c r="B8">
        <v>1661.7302002671909</v>
      </c>
      <c r="E8">
        <v>507.88404642104092</v>
      </c>
    </row>
    <row r="9" spans="1:5">
      <c r="A9">
        <v>2001</v>
      </c>
      <c r="B9">
        <v>1646.5508055892237</v>
      </c>
      <c r="E9">
        <v>506.77594630217362</v>
      </c>
    </row>
    <row r="10" spans="1:5">
      <c r="A10">
        <v>2002</v>
      </c>
      <c r="B10">
        <v>1828.5151622065189</v>
      </c>
      <c r="E10">
        <v>623.07426164366882</v>
      </c>
    </row>
    <row r="11" spans="1:5">
      <c r="A11">
        <v>2003</v>
      </c>
      <c r="B11">
        <v>1852.2122080473666</v>
      </c>
      <c r="E11">
        <v>599.86699228751672</v>
      </c>
    </row>
    <row r="12" spans="1:5">
      <c r="A12">
        <v>2004</v>
      </c>
      <c r="B12">
        <v>1918.1720841064041</v>
      </c>
      <c r="E12">
        <v>637.68427922835428</v>
      </c>
    </row>
    <row r="13" spans="1:5">
      <c r="A13">
        <v>2005</v>
      </c>
      <c r="B13">
        <v>1807.1371119820149</v>
      </c>
      <c r="E13">
        <v>526.64930710397505</v>
      </c>
    </row>
    <row r="14" spans="1:5">
      <c r="A14">
        <v>2006</v>
      </c>
      <c r="B14">
        <v>2007.3552125204042</v>
      </c>
      <c r="E14">
        <v>572.08316749226424</v>
      </c>
    </row>
    <row r="15" spans="1:5">
      <c r="A15">
        <v>2007</v>
      </c>
      <c r="B15">
        <v>1863.4250041489902</v>
      </c>
      <c r="E15">
        <v>512.58072647544986</v>
      </c>
    </row>
    <row r="16" spans="1:5">
      <c r="A16">
        <v>2008</v>
      </c>
      <c r="B16">
        <v>1854.4805365204747</v>
      </c>
      <c r="E16">
        <v>536.46927948483471</v>
      </c>
    </row>
    <row r="17" spans="1:5">
      <c r="A17">
        <v>2009</v>
      </c>
      <c r="B17">
        <v>1773.6215012491273</v>
      </c>
      <c r="E17">
        <v>502.5145594104772</v>
      </c>
    </row>
    <row r="18" spans="1:5">
      <c r="A18">
        <v>2010</v>
      </c>
      <c r="B18">
        <v>2070.5609888925214</v>
      </c>
      <c r="E18">
        <v>574.31333410828154</v>
      </c>
    </row>
    <row r="19" spans="1:5">
      <c r="A19">
        <v>2011</v>
      </c>
      <c r="B19">
        <v>2253.2043546584018</v>
      </c>
      <c r="E19">
        <v>611.5533227634719</v>
      </c>
    </row>
    <row r="20" spans="1:5">
      <c r="A20">
        <v>2012</v>
      </c>
      <c r="B20">
        <v>2317.9463444890989</v>
      </c>
      <c r="E20">
        <v>615.31970283806891</v>
      </c>
    </row>
    <row r="21" spans="1:5">
      <c r="A21">
        <v>2013</v>
      </c>
      <c r="B21">
        <v>2457.656878677687</v>
      </c>
      <c r="E21">
        <v>637.76944903416688</v>
      </c>
    </row>
    <row r="22" spans="1:5">
      <c r="A22">
        <v>2014</v>
      </c>
      <c r="B22">
        <v>2551.1525244544005</v>
      </c>
      <c r="E22">
        <v>646.83732745628015</v>
      </c>
    </row>
    <row r="23" spans="1:5">
      <c r="A23">
        <v>2015</v>
      </c>
      <c r="B23">
        <v>2543.4257897672492</v>
      </c>
      <c r="E23">
        <v>629.729729729729</v>
      </c>
    </row>
    <row r="24" spans="1:5">
      <c r="A24">
        <v>2016</v>
      </c>
      <c r="B24">
        <v>2727.9397596470685</v>
      </c>
      <c r="E24">
        <v>659.45945945945903</v>
      </c>
    </row>
    <row r="25" spans="1:5">
      <c r="A25">
        <v>2017</v>
      </c>
      <c r="B25">
        <v>2940.1957304396319</v>
      </c>
      <c r="E25">
        <v>721.62162162162201</v>
      </c>
    </row>
    <row r="26" spans="1:5">
      <c r="A26">
        <v>2018</v>
      </c>
      <c r="B26">
        <v>3118.0315399827541</v>
      </c>
      <c r="E26">
        <v>754.05405405405395</v>
      </c>
    </row>
    <row r="27" spans="1:5">
      <c r="A27">
        <v>2019</v>
      </c>
      <c r="B27">
        <v>3226.8622280817385</v>
      </c>
      <c r="E27">
        <v>787.83783783783804</v>
      </c>
    </row>
    <row r="28" spans="1:5">
      <c r="A28">
        <v>2020</v>
      </c>
      <c r="B28">
        <v>3190.6115308554304</v>
      </c>
      <c r="E28">
        <v>779.72972972973002</v>
      </c>
    </row>
  </sheetData>
  <hyperlinks>
    <hyperlink ref="E2" r:id="rId1" display="https://insg.org/wp-content/uploads/2022/02/publist_The-World-Nickel-Factbook-2021.pdf" xr:uid="{6A9BA9A3-4A78-4B4E-BD43-8AA40E877029}"/>
    <hyperlink ref="B2" r:id="rId2" display="https://insg.org/wp-content/uploads/2022/02/publist_The-World-Nickel-Factbook-2021.pdf" xr:uid="{C0AE32C9-51D6-3144-A647-96668195AEB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Al</vt:lpstr>
      <vt:lpstr>Steel</vt:lpstr>
      <vt:lpstr>Au</vt:lpstr>
      <vt:lpstr>W</vt:lpstr>
      <vt:lpstr>Sn</vt:lpstr>
      <vt:lpstr>Ta</vt:lpstr>
      <vt:lpstr>Cu</vt:lpstr>
      <vt:lpstr>Ni</vt:lpstr>
      <vt:lpstr>Ag</vt:lpstr>
      <vt:lpstr>Zn</vt:lpstr>
      <vt:lpstr>Pb</vt:lpstr>
      <vt:lpstr>Mo</vt:lpstr>
      <vt:lpstr>Pt</vt:lpstr>
      <vt:lpstr>Li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dc:creator>
  <cp:keywords/>
  <dc:description/>
  <cp:lastModifiedBy>Microsoft Office User</cp:lastModifiedBy>
  <dcterms:created xsi:type="dcterms:W3CDTF">2022-05-19T12:45:24Z</dcterms:created>
  <dcterms:modified xsi:type="dcterms:W3CDTF">2022-09-08T20:48:35Z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