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6ACE9E21-FFFE-FE44-A271-69CE67A39F3B}" xr6:coauthVersionLast="47" xr6:coauthVersionMax="47" xr10:uidLastSave="{00000000-0000-0000-0000-000000000000}"/>
  <bookViews>
    <workbookView xWindow="0" yWindow="500" windowWidth="28800" windowHeight="1604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2" i="17" l="1"/>
  <c r="L31" i="17"/>
  <c r="D32" i="17"/>
  <c r="D31" i="17"/>
  <c r="N10" i="17"/>
  <c r="H11" i="17"/>
  <c r="H10" i="17"/>
  <c r="H9" i="17"/>
  <c r="H8" i="17"/>
  <c r="H7" i="17"/>
  <c r="B91" i="17"/>
  <c r="B90" i="17"/>
  <c r="B92" i="17"/>
  <c r="B93" i="17"/>
  <c r="B94" i="17"/>
  <c r="I7" i="17"/>
  <c r="L7" i="17"/>
  <c r="L11" i="17"/>
  <c r="L10" i="17"/>
  <c r="L9" i="17"/>
  <c r="L43" i="17"/>
  <c r="L42" i="17"/>
  <c r="N6" i="17"/>
  <c r="B40" i="17"/>
  <c r="C21" i="5" l="1"/>
  <c r="M21" i="5"/>
  <c r="P43" i="17" l="1"/>
  <c r="N43" i="17"/>
  <c r="M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<sst xmlns="http://schemas.openxmlformats.org/spreadsheetml/2006/main" count="721" uniqueCount="381">
  <si>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</si>
  <si>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</si>
  <si>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</si>
  <si>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</si>
  <si>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</si>
  <si>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</si>
  <si>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</si>
  <si>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</si>
  <si>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</si>
  <si>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</si>
  <si>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</si>
  <si>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</si>
  <si>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</si>
  <si>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</si>
  <si>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</si>
  <si>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</si>
  <si>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</si>
  <si>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</si>
  <si>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</si>
  <si>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</si>
  <si>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</si>
  <si>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</si>
  <si>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</si>
  <si>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</si>
  <si>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</si>
  <si>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</si>
  <si>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</si>
  <si>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</si>
  <si>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</si>
  <si>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</si>
  <si>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</si>
  <si>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</si>
  <si>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</si>
  <si>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</si>
  <si>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</si>
  <si>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</si>
  <si>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</si>
  <si>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</si>
  <si>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</si>
  <si>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</si>
  <si>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</si>
  <si>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</si>
  <si>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</si>
  <si>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</si>
  <si>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</si>
  <si>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</si>
  <si>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</si>
  <si>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</si>
  <si>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</si>
  <si>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</si>
  <si>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</si>
  <si>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</si>
  <si>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</si>
  <si>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</si>
  <si>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</si>
  <si>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</si>
  <si>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</si>
  <si>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</si>
  <si>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</si>
  <si>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</si>
  <si>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</si>
  <si>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</si>
  <si>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</si>
  <si>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</si>
  <si>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</si>
  <si>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</si>
  <si>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</si>
  <si>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</si>
  <si>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</si>
  <si>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</si>
  <si>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</si>
  <si>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</si>
  <si>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</si>
  <si>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</si>
  <si>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</si>
  <si>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</si>
  <si>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</si>
  <si>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</si>
  <si>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</si>
  <si>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</si>
  <si>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</si>
  <si>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</si>
  <si>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</si>
  <si>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</si>
  <si>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</si>
  <si>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</si>
  <si>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</si>
  <si>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</si>
  <si>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</si>
  <si>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</si>
  <si>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</si>
  <si>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</si>
  <si>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</si>
  <si>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</si>
  <si>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</si>
  <si>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</si>
  <si>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</si>
  <si>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</si>
  <si>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</si>
  <si>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</si>
  <si>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</si>
  <si>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</si>
  <si>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</si>
  <si>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</si>
  <si>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</si>
  <si>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</si>
  <si>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</si>
  <si>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</si>
  <si>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</si>
  <si>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</si>
  <si>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</si>
  <si>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</si>
  <si>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</si>
  <si>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</si>
  <si>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</si>
  <si>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</si>
  <si>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</si>
  <si>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</si>
  <si>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</si>
  <si>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</si>
  <si>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</si>
  <si>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</si>
  <si>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</si>
  <si>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</si>
  <si>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</si>
  <si>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</si>
  <si>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</si>
  <si>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</si>
  <si>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</si>
  <si>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</si>
  <si>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</si>
  <si>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</si>
  <si>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</si>
  <si>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</si>
  <si>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</si>
  <si>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</si>
  <si>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</si>
  <si>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</si>
  <si>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</si>
  <si>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</si>
  <si>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</si>
  <si>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</si>
  <si>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</si>
  <si>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</si>
  <si>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</si>
  <si>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</si>
  <si>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</si>
  <si>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</si>
  <si>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</si>
  <si>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</si>
  <si>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</si>
  <si>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</si>
  <si>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</si>
  <si>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</si>
  <si>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</si>
  <si>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</si>
  <si>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</si>
  <si>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</si>
  <si>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</si>
  <si>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</si>
  <si>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</si>
  <si>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</si>
  <si>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</si>
  <si>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</si>
  <si>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</si>
  <si>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</si>
  <si>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</si>
  <si>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</si>
  <si>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</si>
  <si>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</si>
  <si>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</si>
  <si>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</si>
  <si>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</si>
  <si>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</si>
  <si>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</si>
  <si>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</si>
  <si>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</si>
  <si>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</si>
  <si>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</si>
  <si>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</si>
  <si>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</si>
  <si>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</si>
  <si>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</si>
  <si>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</si>
  <si>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</si>
  <si>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</si>
  <si>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</si>
  <si>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</si>
  <si>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</si>
  <si>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</si>
  <si>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</si>
  <si>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</si>
  <si>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</si>
  <si>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</si>
  <si>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</si>
  <si>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</si>
  <si>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</si>
  <si>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</si>
  <si>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</si>
  <si>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</si>
  <si>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</si>
  <si>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</si>
  <si>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</si>
  <si>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</si>
  <si>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</si>
  <si>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</si>
  <si>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</si>
  <si>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</si>
  <si>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</si>
  <si>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</si>
  <si>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</si>
  <si>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</si>
  <si>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</si>
  <si>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</si>
  <si>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</si>
  <si>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</si>
  <si>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</si>
  <si>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</si>
  <si>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</si>
  <si>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</si>
  <si>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</si>
  <si>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</si>
  <si>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</si>
  <si>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</si>
  <si>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</si>
  <si>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</si>
  <si>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</si>
  <si>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</si>
  <si>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</si>
  <si>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</si>
  <si>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</si>
  <si>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</si>
  <si>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</si>
  <si>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</si>
  <si>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</si>
  <si>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</si>
  <si>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batteries</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</si>
  <si>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</si>
  <si>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</si>
  <si>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</si>
  <si>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</si>
  <si>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</si>
  <si>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</si>
  <si>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</si>
  <si>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</si>
  <si>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</si>
  <si>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</si>
  <si>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</si>
  <si>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</si>
  <si>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</si>
  <si>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</si>
  <si>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</si>
  <si>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</si>
  <si>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</si>
  <si>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</si>
  <si>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</si>
  <si>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</si>
  <si>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</si>
  <si>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</si>
  <si>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</si>
  <si>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</si>
  <si>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</si>
  <si>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</si>
  <si>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</si>
  <si>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</si>
  <si>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</si>
  <si>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</si>
  <si>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</si>
  <si>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</si>
  <si>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</si>
  <si>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</si>
  <si>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</si>
  <si>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</si>
  <si>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</si>
  <si>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</si>
  <si>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</si>
  <si>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</si>
  <si>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</si>
  <si>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</si>
  <si>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</si>
  <si>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</si>
  <si>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</si>
  <si>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</si>
  <si>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</si>
  <si>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</si>
  <si>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</si>
  <si>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</si>
  <si>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</si>
  <si>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</si>
  <si>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</si>
  <si>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</si>
  <si>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</si>
  <si>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</si>
  <si>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</si>
  <si>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</si>
  <si>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</si>
  <si>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</si>
  <si>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</si>
  <si>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</si>
  <si>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</si>
  <si>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</si>
  <si>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</si>
  <si>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</si>
  <si>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</si>
  <si>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</si>
  <si>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</si>
  <si>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</si>
  <si>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</si>
  <si>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</si>
  <si>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</si>
  <si>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</si>
  <si>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</si>
  <si>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</si>
  <si>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</si>
  <si>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</si>
  <si>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</si>
  <si>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</si>
  <si>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</si>
  <si>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</si>
  <si>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</si>
  <si>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</si>
  <si>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</si>
  <si>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</si>
  <si>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</si>
  <si>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</si>
  <si>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</si>
  <si>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</si>
  <si>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</si>
  <si>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</si>
  <si>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</si>
  <si>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</si>
  <si>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</si>
  <si>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</si>
  <si>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</si>
  <si>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</si>
  <si>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</si>
  <si>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</si>
  <si>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</si>
  <si>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</si>
  <si>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</si>
  <si>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</si>
  <si>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</si>
  <si>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</si>
  <si>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</si>
  <si>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</si>
  <si>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</si>
  <si>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</si>
  <si>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</si>
  <si>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</si>
  <si>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</si>
  <si>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</si>
  <si>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</si>
  <si>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</si>
  <si>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</si>
  <si>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</si>
  <si>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</si>
  <si>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</si>
  <si>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</si>
  <si>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</si>
  <si>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solder</t>
  </si>
  <si>
    <t>chemicals</t>
  </si>
  <si>
    <t>tin platings brass</t>
  </si>
  <si>
    <t>glass</t>
  </si>
  <si>
    <t>other</t>
  </si>
  <si>
    <t>brass</t>
  </si>
  <si>
    <t>all electronics</t>
  </si>
  <si>
    <t>construction</t>
  </si>
  <si>
    <t>cans-other?</t>
  </si>
  <si>
    <t>transport</t>
  </si>
  <si>
    <t>bc and electronics</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</si>
  <si>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</si>
  <si>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</si>
  <si>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</si>
  <si>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</si>
  <si>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</si>
  <si>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</si>
  <si>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Same values from Au</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</si>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</sst>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tint="-0.149998474074526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2" fillId="3" borderId="0" xfId="2" applyFill="1" applyAlignment="1">
      <alignment wrapText="1"/>
    </xf>
    <xf numFmtId="0" fontId="13" fillId="0" borderId="0" xfId="0" applyFont="1"/>
    <xf numFmtId="11" fontId="1" fillId="2" borderId="0" xfId="1" applyNumberFormat="1" applyFont="1"/>
    <xf numFmtId="0" fontId="2" fillId="0" borderId="0" xfId="2" applyAlignment="1">
      <alignment wrapText="1"/>
    </xf>
    <xf numFmtId="0" fontId="0" fillId="4" borderId="0" xfId="0" applyFont="1" applyFill="1"/>
    <xf numFmtId="0" fontId="0" fillId="5" borderId="0" xfId="0" applyFont="1" applyFill="1"/>
    <xf numFmtId="0" fontId="0" fillId="3" borderId="0" xfId="0" applyFont="1" applyFill="1" applyBorder="1"/>
    <xf numFmtId="164" fontId="0" fillId="3" borderId="0" xfId="0" applyNumberFormat="1" applyFont="1" applyFill="1" applyBorder="1"/>
    <xf numFmtId="0" fontId="0" fillId="3" borderId="0" xfId="0" applyFont="1" applyFill="1" applyBorder="1" applyAlignment="1">
      <alignment wrapText="1"/>
    </xf>
    <xf numFmtId="2" fontId="0" fillId="3" borderId="0" xfId="0" applyNumberFormat="1" applyFont="1" applyFill="1"/>
    <xf numFmtId="11" fontId="0" fillId="5" borderId="0" xfId="0" applyNumberFormat="1" applyFont="1" applyFill="1" applyAlignment="1">
      <alignment wrapText="1"/>
    </xf>
  </cellXfs>
  <cellStyles count="3">
    <cellStyle name="Hyperlink" xfId="2" builtinId="8"/>
    <cellStyle name="Neutral" xfId="1" builtinId="28"/>
    <cellStyle name="Normal" xfId="0" builtinId="0"/>
  </cellStyles>
  <dxfs count="40">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[2]Sheet1!$A$68</c:f>
              <c:strCache>
                <c:ptCount val="1"/>
                <c:pt idx="0">
                  <c:v>Mean total</c:v>
                </c:pt>
              </c:strCache>
            </c:strRef>
          </c:tx>
          <c:spPr>
            <a:ln w="28575" cap="rnd">
              <a:solidFill>
                <a:schemeClr val="accent1"/>
              </a:solidFill>
              <a:round/>
            </a:ln>
            <a:effectLst/>
          </c:spPr>
          <c:marker>
            <c:symbol val="none"/>
          </c:marker>
          <c:val>
            <c:numRef>
              <c:f>[2]Sheet1!$B$69:$AG$69</c:f>
              <c:numCache>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Cache>
            </c:numRef>
          </c:val>
          <c:smooth val="0"/>
          <c:extLst>
            <c:ext xmlns:c16="http://schemas.microsoft.com/office/drawing/2014/chart" uri="{C3380CC4-5D6E-409C-BE32-E72D297353CC}">
              <c16:uniqueId val="{00000000-7348-C64D-9341-5088CE44A817}"/>
            </c:ext>
          </c:extLst>
        </c:ser>
        <c:ser>
          <c:idx val="1"/>
          <c:order val="1"/>
          <c:tx>
            <c:strRef>
              <c:f>[2]Sheet1!$A$70</c:f>
              <c:strCache>
                <c:ptCount val="1"/>
                <c:pt idx="0">
                  <c:v>Max total</c:v>
                </c:pt>
              </c:strCache>
            </c:strRef>
          </c:tx>
          <c:spPr>
            <a:ln w="28575" cap="rnd">
              <a:solidFill>
                <a:schemeClr val="accent2"/>
              </a:solidFill>
              <a:round/>
            </a:ln>
            <a:effectLst/>
          </c:spPr>
          <c:marker>
            <c:symbol val="none"/>
          </c:marker>
          <c:val>
            <c:numRef>
              <c:f>[2]Sheet1!$B$71:$AG$71</c:f>
              <c:numCache>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Cache>
            </c:numRef>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hnryter/Dropbox%20(MIT)/Group%20Research%20Folder_Olivetti/Displacement/08%20Generalization/Demand/Silver%20demand%20-%20silver%20institu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8">
          <cell r="A68" t="str">
            <v>Mean total</v>
          </cell>
          <cell r="B68">
            <v>714.9</v>
          </cell>
          <cell r="C68">
            <v>728.65</v>
          </cell>
          <cell r="D68">
            <v>770.6</v>
          </cell>
          <cell r="E68">
            <v>765.55000000000007</v>
          </cell>
          <cell r="F68">
            <v>768.4799999999999</v>
          </cell>
          <cell r="G68">
            <v>811.65</v>
          </cell>
          <cell r="H68">
            <v>842.88571428571436</v>
          </cell>
          <cell r="I68">
            <v>827.72500000000002</v>
          </cell>
          <cell r="J68">
            <v>882.65555555555545</v>
          </cell>
          <cell r="K68">
            <v>929.14</v>
          </cell>
          <cell r="L68">
            <v>875.99999999999977</v>
          </cell>
          <cell r="M68">
            <v>860.32999999999993</v>
          </cell>
          <cell r="N68">
            <v>877.61</v>
          </cell>
          <cell r="O68">
            <v>875.17000000000007</v>
          </cell>
          <cell r="P68">
            <v>931.76</v>
          </cell>
          <cell r="Q68">
            <v>916.54</v>
          </cell>
          <cell r="R68">
            <v>895.96</v>
          </cell>
          <cell r="S68">
            <v>904.56000000000006</v>
          </cell>
          <cell r="T68">
            <v>916.38000000000011</v>
          </cell>
          <cell r="U68">
            <v>1072.2888888888888</v>
          </cell>
          <cell r="V68">
            <v>1041.9666666666665</v>
          </cell>
          <cell r="W68">
            <v>1005.7111111111111</v>
          </cell>
          <cell r="X68">
            <v>1014.3444444444444</v>
          </cell>
          <cell r="Y68">
            <v>1040.75</v>
          </cell>
          <cell r="Z68">
            <v>1052.257142857143</v>
          </cell>
          <cell r="AA68">
            <v>1002.4</v>
          </cell>
          <cell r="AB68">
            <v>981.24</v>
          </cell>
          <cell r="AC68">
            <v>989.52499999999986</v>
          </cell>
          <cell r="AD68">
            <v>989.06666666666661</v>
          </cell>
          <cell r="AE68">
            <v>913.16666666666663</v>
          </cell>
          <cell r="AF68">
            <v>1041</v>
          </cell>
          <cell r="AG68">
            <v>1101.8</v>
          </cell>
        </row>
        <row r="69">
          <cell r="B69">
            <v>141.9</v>
          </cell>
          <cell r="C69">
            <v>148.30000000000001</v>
          </cell>
          <cell r="D69">
            <v>148.5</v>
          </cell>
          <cell r="E69">
            <v>151.92500000000001</v>
          </cell>
          <cell r="F69">
            <v>162.82</v>
          </cell>
          <cell r="G69">
            <v>158.30000000000001</v>
          </cell>
          <cell r="H69">
            <v>169.2428571428571</v>
          </cell>
          <cell r="I69">
            <v>193.83500000000001</v>
          </cell>
          <cell r="J69">
            <v>179.92222222222222</v>
          </cell>
          <cell r="K69">
            <v>180.43</v>
          </cell>
          <cell r="L69">
            <v>183.39000000000001</v>
          </cell>
          <cell r="M69">
            <v>188.94</v>
          </cell>
          <cell r="N69">
            <v>188.07</v>
          </cell>
          <cell r="O69">
            <v>188.48000000000002</v>
          </cell>
          <cell r="P69">
            <v>194.05</v>
          </cell>
          <cell r="Q69">
            <v>198.76999999999998</v>
          </cell>
          <cell r="R69">
            <v>196.53000000000003</v>
          </cell>
          <cell r="S69">
            <v>195.38000000000002</v>
          </cell>
          <cell r="T69">
            <v>195.73</v>
          </cell>
          <cell r="U69">
            <v>225.97777777777779</v>
          </cell>
          <cell r="V69">
            <v>256.87777777777779</v>
          </cell>
          <cell r="W69">
            <v>245.65555555555551</v>
          </cell>
          <cell r="X69">
            <v>190.61111111111111</v>
          </cell>
          <cell r="Y69">
            <v>168.26249999999999</v>
          </cell>
          <cell r="Z69">
            <v>151.25714285714284</v>
          </cell>
          <cell r="AA69">
            <v>151</v>
          </cell>
          <cell r="AB69">
            <v>154.91999999999999</v>
          </cell>
          <cell r="AC69">
            <v>158.85</v>
          </cell>
          <cell r="AD69">
            <v>162.69999999999999</v>
          </cell>
          <cell r="AE69">
            <v>171.23333333333335</v>
          </cell>
          <cell r="AF69">
            <v>184.6</v>
          </cell>
          <cell r="AG69">
            <v>180.5</v>
          </cell>
        </row>
        <row r="70">
          <cell r="A70" t="str">
            <v>Max total</v>
          </cell>
          <cell r="B70">
            <v>714.9</v>
          </cell>
          <cell r="C70">
            <v>729.8</v>
          </cell>
          <cell r="D70">
            <v>771.6</v>
          </cell>
          <cell r="E70">
            <v>767.6</v>
          </cell>
          <cell r="F70">
            <v>769.6</v>
          </cell>
          <cell r="G70">
            <v>812.9</v>
          </cell>
          <cell r="H70">
            <v>845.1</v>
          </cell>
          <cell r="I70">
            <v>833.4</v>
          </cell>
          <cell r="J70">
            <v>887.2</v>
          </cell>
          <cell r="K70">
            <v>946.3</v>
          </cell>
          <cell r="L70">
            <v>886.1</v>
          </cell>
          <cell r="M70">
            <v>870.7</v>
          </cell>
          <cell r="N70">
            <v>889.8</v>
          </cell>
          <cell r="O70">
            <v>882.4</v>
          </cell>
          <cell r="P70">
            <v>955.1</v>
          </cell>
          <cell r="Q70">
            <v>926</v>
          </cell>
          <cell r="R70">
            <v>913</v>
          </cell>
          <cell r="S70">
            <v>915</v>
          </cell>
          <cell r="T70">
            <v>931.7</v>
          </cell>
          <cell r="U70">
            <v>1076.2</v>
          </cell>
          <cell r="V70">
            <v>1045.4000000000001</v>
          </cell>
          <cell r="W70">
            <v>1048.3</v>
          </cell>
          <cell r="X70">
            <v>1071.2</v>
          </cell>
          <cell r="Y70">
            <v>1061.8</v>
          </cell>
          <cell r="Z70">
            <v>1070.4000000000001</v>
          </cell>
          <cell r="AA70">
            <v>1025.8</v>
          </cell>
          <cell r="AB70">
            <v>1032.5999999999999</v>
          </cell>
          <cell r="AC70">
            <v>1004.3</v>
          </cell>
          <cell r="AD70">
            <v>995.4</v>
          </cell>
          <cell r="AE70">
            <v>963.4</v>
          </cell>
          <cell r="AF70">
            <v>1049</v>
          </cell>
          <cell r="AG70">
            <v>1101.8</v>
          </cell>
        </row>
        <row r="71">
          <cell r="B71">
            <v>141.9</v>
          </cell>
          <cell r="C71">
            <v>148.30000000000001</v>
          </cell>
          <cell r="D71">
            <v>148.5</v>
          </cell>
          <cell r="E71">
            <v>152</v>
          </cell>
          <cell r="F71">
            <v>162.9</v>
          </cell>
          <cell r="G71">
            <v>158.4</v>
          </cell>
          <cell r="H71">
            <v>169.3</v>
          </cell>
          <cell r="I71">
            <v>193.98</v>
          </cell>
          <cell r="J71">
            <v>181.6</v>
          </cell>
          <cell r="K71">
            <v>180.8</v>
          </cell>
          <cell r="L71">
            <v>189</v>
          </cell>
          <cell r="M71">
            <v>197.3</v>
          </cell>
          <cell r="N71">
            <v>196</v>
          </cell>
          <cell r="O71">
            <v>198.7</v>
          </cell>
          <cell r="P71">
            <v>203.4</v>
          </cell>
          <cell r="Q71">
            <v>207.1</v>
          </cell>
          <cell r="R71">
            <v>204.2</v>
          </cell>
          <cell r="S71">
            <v>202</v>
          </cell>
          <cell r="T71">
            <v>201.2</v>
          </cell>
          <cell r="U71">
            <v>228.8</v>
          </cell>
          <cell r="V71">
            <v>261.5</v>
          </cell>
          <cell r="W71">
            <v>255.5</v>
          </cell>
          <cell r="X71">
            <v>192.7</v>
          </cell>
          <cell r="Y71">
            <v>175</v>
          </cell>
          <cell r="Z71">
            <v>166.5</v>
          </cell>
          <cell r="AA71">
            <v>164.5</v>
          </cell>
          <cell r="AB71">
            <v>167.8</v>
          </cell>
          <cell r="AC71">
            <v>167.8</v>
          </cell>
          <cell r="AD71">
            <v>170.5</v>
          </cell>
          <cell r="AE71">
            <v>182.1</v>
          </cell>
          <cell r="AF71">
            <v>196.2</v>
          </cell>
          <cell r="AG71">
            <v>180.5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K74" totalsRowShown="0" headerRowDxfId="39" dataDxfId="38" tableBorderDxfId="37">
  <autoFilter ref="A1:AK74" xr:uid="{B92E5DA3-703D-0047-BF49-56E3494702E7}"/>
  <tableColumns count="37">
    <tableColumn id="1" xr3:uid="{40ADE3C0-5A2A-EF4F-8C0A-E78782D82E02}" name="All reported for 2019"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table" Target="../tables/table1.xm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www.sciencedirect.com/science/article/pii/S0921344916300064,%20table%201%20,%20The%20anthropogenic%20cycle%20of%20zinc:%20Status%20quo%20and%20perspectives,%20Meylan%202017" TargetMode="External"/><Relationship Id="rId8" Type="http://schemas.openxmlformats.org/officeDocument/2006/relationships/hyperlink" Target="https://pubs.usgs.gov/periodicals/mcs2020/mcs2020-tin.pdf" TargetMode="External"/><Relationship Id="rId51" Type="http://schemas.openxmlformats.org/officeDocument/2006/relationships/printerSettings" Target="../printerSettings/printerSettings1.bin"/><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94"/>
  <sheetViews>
    <sheetView tabSelected="1" workbookViewId="0">
      <pane ySplit="1" topLeftCell="A2" activePane="bottomLeft" state="frozen"/>
      <selection pane="bottomLeft" activeCell="G19" sqref="G19"/>
    </sheetView>
  </sheetViews>
  <sheetFormatPr baseColWidth="10" defaultColWidth="8.83203125" defaultRowHeight="15"/>
  <cols>
    <col min="1" max="1" width="47.1640625" bestFit="1" customWidth="1"/>
    <col min="2" max="18" width="8.83203125" customWidth="1"/>
    <col min="19" max="19" width="9.6640625" customWidth="1"/>
    <col min="20" max="20" width="8.83203125" customWidth="1"/>
    <col min="21" max="21" width="9.83203125" customWidth="1"/>
    <col min="22" max="22" width="12.1640625" customWidth="1"/>
    <col min="23" max="23" width="10.33203125" customWidth="1"/>
    <col min="24" max="24" width="10.1640625" customWidth="1"/>
    <col min="25" max="25" width="11.5" customWidth="1"/>
    <col min="26" max="26" width="9.83203125" customWidth="1"/>
    <col min="27" max="27" width="10" customWidth="1"/>
    <col min="28" max="28" width="9.83203125" customWidth="1"/>
    <col min="29" max="29" width="10.1640625" customWidth="1"/>
    <col min="30" max="30" width="9.83203125" customWidth="1"/>
    <col min="31" max="31" width="10.1640625" customWidth="1"/>
    <col min="32" max="32" width="10" customWidth="1"/>
    <col min="33" max="33" width="10.1640625" customWidth="1"/>
    <col min="34" max="34" width="10.83203125" customWidth="1"/>
    <col min="35" max="35" width="9.83203125" customWidth="1"/>
    <col min="36" max="36" width="9.5" customWidth="1"/>
    <col min="37" max="37" width="10" customWidth="1"/>
  </cols>
  <sheetData>
    <row r="1" spans="1:37" s="35" customFormat="1" ht="34" customHeight="1">
      <c r="A1" s="35" t="s">
        <v>96</v>
      </c>
      <c r="B1" s="35" t="s">
        <v>0</v>
      </c>
      <c r="C1" s="35" t="s">
        <v>1</v>
      </c>
      <c r="D1" s="35" t="s">
        <v>2</v>
      </c>
      <c r="E1" s="35" t="s">
        <v>3</v>
      </c>
      <c r="F1" s="35" t="s">
        <v>4</v>
      </c>
      <c r="G1" s="35" t="s">
        <v>5</v>
      </c>
      <c r="H1" s="35" t="s">
        <v>6</v>
      </c>
      <c r="I1" s="35" t="s">
        <v>7</v>
      </c>
      <c r="J1" s="35" t="s">
        <v>8</v>
      </c>
      <c r="K1" s="35" t="s">
        <v>113</v>
      </c>
      <c r="L1" s="35" t="s">
        <v>115</v>
      </c>
      <c r="M1" s="35" t="s">
        <v>116</v>
      </c>
      <c r="N1" s="35" t="s">
        <v>114</v>
      </c>
      <c r="O1" s="35" t="s">
        <v>122</v>
      </c>
      <c r="P1" s="35" t="s">
        <v>94</v>
      </c>
      <c r="Q1" s="36" t="s">
        <v>318</v>
      </c>
      <c r="R1" s="35" t="s">
        <v>95</v>
      </c>
      <c r="S1" s="35" t="s">
        <v>23</v>
      </c>
      <c r="T1" s="37" t="s">
        <v>12</v>
      </c>
      <c r="U1" s="35" t="s">
        <v>79</v>
      </c>
      <c r="V1" s="35" t="s">
        <v>80</v>
      </c>
      <c r="W1" s="35" t="s">
        <v>81</v>
      </c>
      <c r="X1" s="35" t="s">
        <v>82</v>
      </c>
      <c r="Y1" s="35" t="s">
        <v>83</v>
      </c>
      <c r="Z1" s="35" t="s">
        <v>84</v>
      </c>
      <c r="AA1" s="35" t="s">
        <v>85</v>
      </c>
      <c r="AB1" s="35" t="s">
        <v>86</v>
      </c>
      <c r="AC1" s="35" t="s">
        <v>87</v>
      </c>
      <c r="AD1" s="35" t="s">
        <v>117</v>
      </c>
      <c r="AE1" s="35" t="s">
        <v>118</v>
      </c>
      <c r="AF1" s="35" t="s">
        <v>119</v>
      </c>
      <c r="AG1" s="35" t="s">
        <v>120</v>
      </c>
      <c r="AH1" s="35" t="s">
        <v>121</v>
      </c>
      <c r="AI1" s="35" t="s">
        <v>108</v>
      </c>
      <c r="AJ1" s="35" t="s">
        <v>109</v>
      </c>
      <c r="AK1" s="35" t="s">
        <v>319</v>
      </c>
    </row>
    <row r="2" spans="1:37" ht="14.5" customHeight="1">
      <c r="A2" s="6" t="s">
        <v>9</v>
      </c>
      <c r="B2" s="6" t="s">
        <v>10</v>
      </c>
      <c r="C2" s="6" t="s">
        <v>10</v>
      </c>
      <c r="D2" s="6" t="s">
        <v>10</v>
      </c>
      <c r="E2" s="6" t="s">
        <v>148</v>
      </c>
      <c r="F2" s="6" t="s">
        <v>11</v>
      </c>
      <c r="G2" s="6" t="s">
        <v>10</v>
      </c>
      <c r="H2" s="6" t="s">
        <v>10</v>
      </c>
      <c r="I2" s="6" t="s">
        <v>149</v>
      </c>
      <c r="J2" s="6" t="s">
        <v>10</v>
      </c>
      <c r="K2" s="6" t="s">
        <v>10</v>
      </c>
      <c r="L2" s="6"/>
      <c r="M2" s="6"/>
      <c r="N2" s="6"/>
      <c r="O2" s="6"/>
      <c r="P2" s="6" t="s">
        <v>10</v>
      </c>
      <c r="Q2" s="18"/>
      <c r="R2" s="6" t="s">
        <v>10</v>
      </c>
      <c r="S2" s="6"/>
      <c r="T2" s="7" t="s">
        <v>13</v>
      </c>
      <c r="U2" s="7"/>
      <c r="V2" s="7"/>
      <c r="W2" s="7" t="s">
        <v>147</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v>371.81700000000001</v>
      </c>
      <c r="I3" s="8">
        <v>2.4049999999999998</v>
      </c>
      <c r="J3" s="19">
        <v>23600</v>
      </c>
      <c r="K3">
        <v>3226.8622280817385</v>
      </c>
      <c r="L3" s="8">
        <v>26.7</v>
      </c>
      <c r="M3">
        <v>17448.642054092597</v>
      </c>
      <c r="N3">
        <v>12244</v>
      </c>
      <c r="O3" s="8">
        <v>261.40530000000001</v>
      </c>
      <c r="P3" s="8">
        <v>0.18</v>
      </c>
      <c r="Q3" s="20">
        <v>0.52</v>
      </c>
      <c r="R3" s="8">
        <v>298.08800000000002</v>
      </c>
      <c r="S3" s="8" t="s">
        <v>24</v>
      </c>
      <c r="T3" s="9" t="s">
        <v>18</v>
      </c>
      <c r="U3" s="9" t="s">
        <v>165</v>
      </c>
      <c r="V3" s="9" t="s">
        <v>134</v>
      </c>
      <c r="W3" s="9"/>
      <c r="X3" s="9"/>
      <c r="Y3" s="9"/>
      <c r="Z3" s="21" t="s">
        <v>206</v>
      </c>
      <c r="AA3" s="9" t="s">
        <v>207</v>
      </c>
      <c r="AB3" s="21" t="s">
        <v>208</v>
      </c>
      <c r="AC3" s="9"/>
      <c r="AD3" s="9" t="s">
        <v>209</v>
      </c>
      <c r="AE3" s="21" t="s">
        <v>210</v>
      </c>
      <c r="AF3" s="9" t="s">
        <v>211</v>
      </c>
      <c r="AG3" s="9" t="s">
        <v>212</v>
      </c>
      <c r="AH3" s="9" t="s">
        <v>213</v>
      </c>
      <c r="AI3" s="9" t="s">
        <v>214</v>
      </c>
      <c r="AJ3" s="9"/>
      <c r="AK3" s="9"/>
    </row>
    <row r="4" spans="1:37" ht="14.5" customHeight="1">
      <c r="A4" s="6" t="s">
        <v>19</v>
      </c>
      <c r="B4" s="6"/>
      <c r="C4" s="6"/>
      <c r="D4" s="6"/>
      <c r="E4" s="6"/>
      <c r="F4" s="6"/>
      <c r="G4" s="6"/>
      <c r="H4" s="6"/>
      <c r="I4" s="6"/>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2.8000000000000001E-2</v>
      </c>
      <c r="N5" s="8">
        <v>7.4999999999999997E-2</v>
      </c>
      <c r="O5" s="8">
        <v>0.05</v>
      </c>
      <c r="P5" s="8">
        <v>1.4999999999999999E-2</v>
      </c>
      <c r="Q5" s="20">
        <v>0.08</v>
      </c>
      <c r="R5" s="8"/>
      <c r="S5" s="8" t="s">
        <v>24</v>
      </c>
      <c r="T5" s="9" t="s">
        <v>21</v>
      </c>
      <c r="U5" s="9" t="s">
        <v>215</v>
      </c>
      <c r="V5" s="9" t="s">
        <v>133</v>
      </c>
      <c r="W5" s="9" t="s">
        <v>326</v>
      </c>
      <c r="X5" s="9"/>
      <c r="Y5" s="9"/>
      <c r="Z5" s="9" t="s">
        <v>216</v>
      </c>
      <c r="AA5" s="21" t="s">
        <v>217</v>
      </c>
      <c r="AB5" s="9" t="s">
        <v>218</v>
      </c>
      <c r="AC5" s="9"/>
      <c r="AD5" s="9" t="s">
        <v>219</v>
      </c>
      <c r="AE5" s="9" t="s">
        <v>220</v>
      </c>
      <c r="AF5" s="43" t="s">
        <v>353</v>
      </c>
      <c r="AG5" s="9" t="s">
        <v>221</v>
      </c>
      <c r="AH5" s="9" t="s">
        <v>222</v>
      </c>
      <c r="AI5" s="9" t="s">
        <v>223</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0.53</v>
      </c>
      <c r="L6" s="6">
        <v>0.17499999999999999</v>
      </c>
      <c r="M6" s="6">
        <v>0.48980000000000001</v>
      </c>
      <c r="N6" s="6">
        <f>5.08/12.162</f>
        <v>0.41769445814833084</v>
      </c>
      <c r="O6" s="6">
        <v>0.35589999999999999</v>
      </c>
      <c r="P6" s="6">
        <v>0.26</v>
      </c>
      <c r="Q6" s="18">
        <v>0.625</v>
      </c>
      <c r="R6" s="6">
        <v>0</v>
      </c>
      <c r="S6" s="6" t="s">
        <v>24</v>
      </c>
      <c r="T6" s="7"/>
      <c r="U6" s="7" t="s">
        <v>162</v>
      </c>
      <c r="V6" s="7" t="s">
        <v>132</v>
      </c>
      <c r="W6" s="7" t="s">
        <v>152</v>
      </c>
      <c r="X6" s="7"/>
      <c r="Y6" s="7"/>
      <c r="Z6" s="7" t="s">
        <v>224</v>
      </c>
      <c r="AA6" s="7" t="s">
        <v>225</v>
      </c>
      <c r="AB6" s="7" t="s">
        <v>226</v>
      </c>
      <c r="AC6" s="7" t="s">
        <v>78</v>
      </c>
      <c r="AD6" s="7" t="s">
        <v>227</v>
      </c>
      <c r="AE6" s="7" t="s">
        <v>354</v>
      </c>
      <c r="AF6" s="7" t="s">
        <v>228</v>
      </c>
      <c r="AG6" s="42" t="s">
        <v>343</v>
      </c>
      <c r="AH6" s="7" t="s">
        <v>229</v>
      </c>
      <c r="AI6" s="43" t="s">
        <v>351</v>
      </c>
      <c r="AJ6" s="7"/>
      <c r="AK6" s="43" t="s">
        <v>352</v>
      </c>
    </row>
    <row r="7" spans="1:37" ht="14.5" customHeight="1">
      <c r="A7" s="8" t="s">
        <v>26</v>
      </c>
      <c r="B7" s="8">
        <v>0.251</v>
      </c>
      <c r="C7" s="8">
        <v>0.52</v>
      </c>
      <c r="D7" s="14">
        <v>9.9999999999999995E-7</v>
      </c>
      <c r="E7" s="8"/>
      <c r="F7" s="8"/>
      <c r="G7" s="8">
        <v>0.65</v>
      </c>
      <c r="H7">
        <f>1-SUM(H8:H11)</f>
        <v>0.19100000000000006</v>
      </c>
      <c r="I7" s="8">
        <f>14.5/100</f>
        <v>0.14499999999999999</v>
      </c>
      <c r="J7" s="8">
        <v>0.3</v>
      </c>
      <c r="K7" s="6">
        <v>0.17605633802816922</v>
      </c>
      <c r="L7" s="8">
        <f>(578.6/1033.5)-0.000001</f>
        <v>0.55984418626028054</v>
      </c>
      <c r="M7" s="8">
        <v>0.33</v>
      </c>
      <c r="N7" s="8">
        <v>0.05</v>
      </c>
      <c r="O7" s="8">
        <v>0.71</v>
      </c>
      <c r="P7" s="8">
        <v>0.06</v>
      </c>
      <c r="Q7" s="20">
        <v>0.4</v>
      </c>
      <c r="R7" s="8">
        <v>0.14000000000000001</v>
      </c>
      <c r="S7" s="8" t="s">
        <v>24</v>
      </c>
      <c r="T7" s="9"/>
      <c r="U7" s="9" t="s">
        <v>163</v>
      </c>
      <c r="V7" s="9" t="s">
        <v>132</v>
      </c>
      <c r="W7" s="9" t="s">
        <v>142</v>
      </c>
      <c r="X7" s="9"/>
      <c r="Y7" s="9"/>
      <c r="Z7" s="9" t="s">
        <v>230</v>
      </c>
      <c r="AA7" s="1" t="s">
        <v>370</v>
      </c>
      <c r="AB7" s="9" t="s">
        <v>231</v>
      </c>
      <c r="AC7" s="9" t="s">
        <v>78</v>
      </c>
      <c r="AD7" s="1" t="s">
        <v>358</v>
      </c>
      <c r="AE7" s="45" t="s">
        <v>372</v>
      </c>
      <c r="AF7" s="45" t="s">
        <v>357</v>
      </c>
      <c r="AG7" s="45" t="s">
        <v>373</v>
      </c>
      <c r="AH7" s="9" t="s">
        <v>229</v>
      </c>
      <c r="AI7" s="9" t="s">
        <v>214</v>
      </c>
      <c r="AJ7" s="9"/>
      <c r="AK7" s="9" t="s">
        <v>233</v>
      </c>
    </row>
    <row r="8" spans="1:37" ht="14.5" customHeight="1">
      <c r="A8" s="6" t="s">
        <v>27</v>
      </c>
      <c r="B8" s="6">
        <v>0.11899999999999999</v>
      </c>
      <c r="C8" s="6">
        <v>0.03</v>
      </c>
      <c r="D8" s="6">
        <v>0.09</v>
      </c>
      <c r="E8" s="6"/>
      <c r="F8" s="6"/>
      <c r="G8" s="6">
        <v>0.1</v>
      </c>
      <c r="H8">
        <f>(48.3/2+1+5.2/2)/100</f>
        <v>0.27750000000000002</v>
      </c>
      <c r="I8" s="6">
        <v>0.191</v>
      </c>
      <c r="J8" s="6">
        <v>0.24</v>
      </c>
      <c r="K8" s="6">
        <v>0.12103873239436645</v>
      </c>
      <c r="L8" s="15">
        <v>9.9999999999999995E-7</v>
      </c>
      <c r="M8" s="6">
        <v>0.19</v>
      </c>
      <c r="N8" s="15">
        <v>9.9999999999999995E-7</v>
      </c>
      <c r="O8" s="6">
        <v>0.05</v>
      </c>
      <c r="P8" s="6">
        <v>0.03</v>
      </c>
      <c r="Q8" s="18">
        <v>0.15</v>
      </c>
      <c r="R8" s="6">
        <v>0.05</v>
      </c>
      <c r="S8" s="6" t="s">
        <v>24</v>
      </c>
      <c r="T8" s="7"/>
      <c r="U8" s="7" t="s">
        <v>163</v>
      </c>
      <c r="V8" s="7" t="s">
        <v>132</v>
      </c>
      <c r="W8" s="7" t="s">
        <v>143</v>
      </c>
      <c r="X8" s="7"/>
      <c r="Y8" s="7"/>
      <c r="Z8" s="7" t="s">
        <v>234</v>
      </c>
      <c r="AA8" s="1" t="s">
        <v>370</v>
      </c>
      <c r="AB8" s="7" t="s">
        <v>235</v>
      </c>
      <c r="AC8" s="7" t="s">
        <v>78</v>
      </c>
      <c r="AD8" s="7"/>
      <c r="AE8" s="7"/>
      <c r="AF8" s="7"/>
      <c r="AG8" s="7"/>
      <c r="AH8" s="7" t="s">
        <v>237</v>
      </c>
      <c r="AI8" s="7"/>
      <c r="AJ8" s="7"/>
      <c r="AK8" s="7"/>
    </row>
    <row r="9" spans="1:37" ht="14.5" customHeight="1">
      <c r="A9" s="8" t="s">
        <v>28</v>
      </c>
      <c r="B9" s="8">
        <v>0.11899999999999999</v>
      </c>
      <c r="C9" s="8">
        <v>0.26</v>
      </c>
      <c r="D9" s="8">
        <v>0.27</v>
      </c>
      <c r="E9" s="8"/>
      <c r="F9" s="8"/>
      <c r="G9" s="8">
        <v>0.08</v>
      </c>
      <c r="H9">
        <f>48.3/2/100</f>
        <v>0.24149999999999999</v>
      </c>
      <c r="I9" s="8">
        <v>0.25919999999999999</v>
      </c>
      <c r="J9" s="8">
        <v>0.1</v>
      </c>
      <c r="K9" s="6">
        <v>0.30589788732394352</v>
      </c>
      <c r="L9" s="8">
        <f>181.2/1033.5</f>
        <v>0.1753265602322206</v>
      </c>
      <c r="M9" s="8">
        <v>0.08</v>
      </c>
      <c r="N9" s="22">
        <v>0.09</v>
      </c>
      <c r="O9" s="8">
        <v>0.08</v>
      </c>
      <c r="P9" s="8">
        <v>0.39</v>
      </c>
      <c r="Q9" s="20">
        <v>0.2</v>
      </c>
      <c r="R9" s="8">
        <v>0</v>
      </c>
      <c r="S9" s="8" t="s">
        <v>24</v>
      </c>
      <c r="T9" s="9"/>
      <c r="U9" s="9" t="s">
        <v>163</v>
      </c>
      <c r="V9" s="9" t="s">
        <v>132</v>
      </c>
      <c r="W9" s="9" t="s">
        <v>144</v>
      </c>
      <c r="X9" s="9"/>
      <c r="Y9" s="9"/>
      <c r="Z9" s="9" t="s">
        <v>238</v>
      </c>
      <c r="AA9" s="1" t="s">
        <v>370</v>
      </c>
      <c r="AB9" s="9" t="s">
        <v>239</v>
      </c>
      <c r="AC9" s="9" t="s">
        <v>78</v>
      </c>
      <c r="AD9" s="9"/>
      <c r="AE9" s="9" t="s">
        <v>355</v>
      </c>
      <c r="AF9" s="9"/>
      <c r="AG9" s="9"/>
      <c r="AH9" s="9" t="s">
        <v>241</v>
      </c>
      <c r="AI9" s="9"/>
      <c r="AJ9" s="9"/>
      <c r="AK9" s="9"/>
    </row>
    <row r="10" spans="1:37" ht="14.5" customHeight="1">
      <c r="A10" s="6" t="s">
        <v>29</v>
      </c>
      <c r="B10" s="6">
        <f>1-B11-B7-B9-B8</f>
        <v>0.23799999999999999</v>
      </c>
      <c r="C10" s="6">
        <v>0.02</v>
      </c>
      <c r="D10" s="6">
        <f>1-D11-D9-D8</f>
        <v>0.11999999999999997</v>
      </c>
      <c r="E10" s="6"/>
      <c r="F10" s="6"/>
      <c r="G10" s="6">
        <v>1</v>
      </c>
      <c r="H10">
        <f>(7+14.7)/100</f>
        <v>0.217</v>
      </c>
      <c r="I10" s="6">
        <v>0.107</v>
      </c>
      <c r="J10" s="6">
        <v>0.25</v>
      </c>
      <c r="K10" s="8">
        <v>0.23019366197183075</v>
      </c>
      <c r="L10" s="6">
        <f>61.1/1033.5</f>
        <v>5.9119496855345913E-2</v>
      </c>
      <c r="M10" s="6">
        <v>0.15</v>
      </c>
      <c r="N10" s="51">
        <f>1-N11-N9-N8-N7</f>
        <v>5.9998999999999955E-2</v>
      </c>
      <c r="O10" s="6">
        <v>0.13</v>
      </c>
      <c r="P10" s="6">
        <v>0.11</v>
      </c>
      <c r="Q10" s="18">
        <v>0.2</v>
      </c>
      <c r="R10" s="6">
        <f>1-R11-R7-R8</f>
        <v>0.31</v>
      </c>
      <c r="S10" s="6" t="s">
        <v>24</v>
      </c>
      <c r="T10" s="7"/>
      <c r="U10" s="7" t="s">
        <v>163</v>
      </c>
      <c r="V10" s="7" t="s">
        <v>132</v>
      </c>
      <c r="W10" s="7" t="s">
        <v>145</v>
      </c>
      <c r="X10" s="7"/>
      <c r="Y10" s="7"/>
      <c r="Z10" s="7" t="s">
        <v>242</v>
      </c>
      <c r="AA10" s="1" t="s">
        <v>370</v>
      </c>
      <c r="AB10" s="7" t="s">
        <v>243</v>
      </c>
      <c r="AC10" s="7" t="s">
        <v>78</v>
      </c>
      <c r="AD10" s="7"/>
      <c r="AE10" s="9" t="s">
        <v>240</v>
      </c>
      <c r="AF10" s="7"/>
      <c r="AG10" s="7"/>
      <c r="AH10" s="7" t="s">
        <v>244</v>
      </c>
      <c r="AI10" s="7"/>
      <c r="AJ10" s="7"/>
      <c r="AK10" s="7"/>
    </row>
    <row r="11" spans="1:37" ht="14.5" customHeight="1">
      <c r="A11" s="8" t="s">
        <v>30</v>
      </c>
      <c r="B11" s="8">
        <v>0.27300000000000002</v>
      </c>
      <c r="C11" s="8">
        <v>0.17</v>
      </c>
      <c r="D11" s="8">
        <v>0.52</v>
      </c>
      <c r="E11" s="8"/>
      <c r="F11" s="8"/>
      <c r="G11" s="8">
        <v>0.17</v>
      </c>
      <c r="H11">
        <f>7.3/100</f>
        <v>7.2999999999999995E-2</v>
      </c>
      <c r="I11" s="8">
        <v>0.29799999999999999</v>
      </c>
      <c r="J11" s="8">
        <v>0.11</v>
      </c>
      <c r="K11" s="8">
        <v>0.16681338028169013</v>
      </c>
      <c r="L11" s="8">
        <f>212.5/1033.5</f>
        <v>0.20561199806482824</v>
      </c>
      <c r="M11" s="8">
        <v>0.25</v>
      </c>
      <c r="N11" s="8">
        <v>0.8</v>
      </c>
      <c r="O11" s="8">
        <v>0.03</v>
      </c>
      <c r="P11" s="8">
        <v>0.41</v>
      </c>
      <c r="Q11" s="20">
        <v>0.05</v>
      </c>
      <c r="R11" s="8">
        <v>0.5</v>
      </c>
      <c r="S11" s="8" t="s">
        <v>24</v>
      </c>
      <c r="T11" s="9"/>
      <c r="U11" s="9" t="s">
        <v>163</v>
      </c>
      <c r="V11" s="9" t="s">
        <v>132</v>
      </c>
      <c r="W11" s="9" t="s">
        <v>146</v>
      </c>
      <c r="X11" s="9"/>
      <c r="Y11" s="9"/>
      <c r="Z11" s="9"/>
      <c r="AA11" s="1" t="s">
        <v>370</v>
      </c>
      <c r="AB11" s="9" t="s">
        <v>245</v>
      </c>
      <c r="AC11" s="9" t="s">
        <v>78</v>
      </c>
      <c r="AD11" s="9"/>
      <c r="AE11" s="9" t="s">
        <v>232</v>
      </c>
      <c r="AF11" s="9"/>
      <c r="AG11" s="9"/>
      <c r="AH11" s="9" t="s">
        <v>247</v>
      </c>
      <c r="AI11" s="9"/>
      <c r="AJ11" s="9"/>
      <c r="AK11" s="9"/>
    </row>
    <row r="12" spans="1:37" ht="14.5" customHeight="1">
      <c r="A12" s="6" t="s">
        <v>97</v>
      </c>
      <c r="B12" s="6">
        <v>0.9</v>
      </c>
      <c r="C12" s="6">
        <v>0.9</v>
      </c>
      <c r="D12" s="6">
        <v>0.95</v>
      </c>
      <c r="E12" s="6"/>
      <c r="F12" s="6"/>
      <c r="G12" s="6">
        <v>0.90300000000000002</v>
      </c>
      <c r="H12" s="6">
        <v>0.9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173</v>
      </c>
      <c r="X12" s="7"/>
      <c r="Y12" s="7"/>
      <c r="Z12" s="7"/>
      <c r="AA12" s="7" t="s">
        <v>371</v>
      </c>
      <c r="AB12" s="7" t="s">
        <v>248</v>
      </c>
      <c r="AC12" s="7" t="s">
        <v>107</v>
      </c>
      <c r="AD12" s="7" t="s">
        <v>249</v>
      </c>
      <c r="AE12" s="7" t="s">
        <v>250</v>
      </c>
      <c r="AF12" s="7" t="s">
        <v>251</v>
      </c>
      <c r="AG12" s="7" t="s">
        <v>252</v>
      </c>
      <c r="AH12" s="7" t="s">
        <v>253</v>
      </c>
      <c r="AI12" s="7" t="s">
        <v>214</v>
      </c>
      <c r="AJ12" s="7"/>
      <c r="AK12" s="7" t="s">
        <v>254</v>
      </c>
    </row>
    <row r="13" spans="1:37" ht="14.5" customHeight="1">
      <c r="A13" s="8" t="s">
        <v>98</v>
      </c>
      <c r="B13" s="8">
        <v>0.95</v>
      </c>
      <c r="C13" s="8">
        <v>0.95</v>
      </c>
      <c r="D13" s="8">
        <v>0.95</v>
      </c>
      <c r="E13" s="8"/>
      <c r="F13" s="8"/>
      <c r="G13" s="8">
        <v>0.90300000000000002</v>
      </c>
      <c r="H13" s="8">
        <v>0.95</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173</v>
      </c>
      <c r="X13" s="9"/>
      <c r="Y13" s="9"/>
      <c r="Z13" s="9"/>
      <c r="AA13" s="9"/>
      <c r="AB13" s="9"/>
      <c r="AC13" s="9" t="s">
        <v>107</v>
      </c>
      <c r="AD13" s="9" t="s">
        <v>255</v>
      </c>
      <c r="AE13" s="9" t="s">
        <v>246</v>
      </c>
      <c r="AF13" s="9"/>
      <c r="AG13" s="9"/>
      <c r="AH13" s="9" t="s">
        <v>256</v>
      </c>
      <c r="AI13" s="9"/>
      <c r="AJ13" s="9"/>
      <c r="AK13" s="9" t="s">
        <v>257</v>
      </c>
    </row>
    <row r="14" spans="1:37" ht="14.5" customHeight="1">
      <c r="A14" s="6" t="s">
        <v>99</v>
      </c>
      <c r="B14" s="6">
        <v>0.9</v>
      </c>
      <c r="C14" s="6">
        <v>0.9</v>
      </c>
      <c r="D14" s="6">
        <v>0.95</v>
      </c>
      <c r="E14" s="6"/>
      <c r="F14" s="6"/>
      <c r="G14" s="6">
        <v>0.90300000000000002</v>
      </c>
      <c r="H14" s="6">
        <v>0.9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173</v>
      </c>
      <c r="X14" s="7"/>
      <c r="Y14" s="7"/>
      <c r="Z14" s="7"/>
      <c r="AA14" s="7"/>
      <c r="AB14" s="7"/>
      <c r="AC14" s="7" t="s">
        <v>107</v>
      </c>
      <c r="AD14" s="7"/>
      <c r="AE14" s="7"/>
      <c r="AF14" s="7"/>
      <c r="AG14" s="7"/>
      <c r="AH14" s="7"/>
      <c r="AI14" s="7"/>
      <c r="AJ14" s="7"/>
      <c r="AK14" s="7" t="s">
        <v>258</v>
      </c>
    </row>
    <row r="15" spans="1:37" ht="14.5" customHeight="1">
      <c r="A15" s="8" t="s">
        <v>100</v>
      </c>
      <c r="B15" s="8">
        <v>0.95</v>
      </c>
      <c r="C15" s="8">
        <v>0.95</v>
      </c>
      <c r="D15" s="8">
        <v>0.95</v>
      </c>
      <c r="E15" s="8"/>
      <c r="F15" s="10"/>
      <c r="G15" s="8">
        <v>0.90300000000000002</v>
      </c>
      <c r="H15" s="8">
        <v>0.95</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259</v>
      </c>
    </row>
    <row r="17" spans="1:37" ht="14.5" customHeight="1">
      <c r="A17" s="8" t="s">
        <v>102</v>
      </c>
      <c r="B17" s="8">
        <v>50</v>
      </c>
      <c r="C17" s="8">
        <v>50</v>
      </c>
      <c r="D17" s="8">
        <v>50</v>
      </c>
      <c r="E17" s="8"/>
      <c r="F17" s="10"/>
      <c r="G17" s="8">
        <v>1</v>
      </c>
      <c r="H17" s="8">
        <v>50</v>
      </c>
      <c r="I17" s="8">
        <v>40</v>
      </c>
      <c r="J17" s="8">
        <v>40</v>
      </c>
      <c r="K17" s="8">
        <v>50</v>
      </c>
      <c r="L17" s="46">
        <v>30</v>
      </c>
      <c r="M17" s="8">
        <v>100</v>
      </c>
      <c r="N17" s="8">
        <v>50</v>
      </c>
      <c r="O17" s="8">
        <v>75</v>
      </c>
      <c r="P17" s="8">
        <v>25</v>
      </c>
      <c r="Q17" s="20">
        <v>5</v>
      </c>
      <c r="R17" s="8">
        <v>0</v>
      </c>
      <c r="S17" s="8" t="s">
        <v>24</v>
      </c>
      <c r="T17" s="9"/>
      <c r="U17" s="9" t="s">
        <v>110</v>
      </c>
      <c r="V17" s="9" t="s">
        <v>130</v>
      </c>
      <c r="W17" s="9" t="s">
        <v>153</v>
      </c>
      <c r="X17" s="9"/>
      <c r="Y17" s="9"/>
      <c r="Z17" s="9"/>
      <c r="AA17" s="9" t="s">
        <v>260</v>
      </c>
      <c r="AB17" s="9" t="s">
        <v>261</v>
      </c>
      <c r="AC17" s="9" t="s">
        <v>107</v>
      </c>
      <c r="AD17" s="45" t="s">
        <v>377</v>
      </c>
      <c r="AE17" s="9" t="s">
        <v>262</v>
      </c>
      <c r="AF17" s="9" t="s">
        <v>263</v>
      </c>
      <c r="AG17" s="9" t="s">
        <v>264</v>
      </c>
      <c r="AH17" s="9" t="s">
        <v>265</v>
      </c>
      <c r="AI17" s="9" t="s">
        <v>266</v>
      </c>
      <c r="AJ17" s="9"/>
      <c r="AK17" s="9"/>
    </row>
    <row r="18" spans="1:37" ht="14.5" customHeight="1">
      <c r="A18" s="6" t="s">
        <v>103</v>
      </c>
      <c r="B18" s="6">
        <v>25</v>
      </c>
      <c r="C18" s="6">
        <v>25</v>
      </c>
      <c r="D18" s="6">
        <v>3</v>
      </c>
      <c r="E18" s="6"/>
      <c r="F18" s="11"/>
      <c r="G18" s="6">
        <v>3</v>
      </c>
      <c r="H18" s="6">
        <v>15</v>
      </c>
      <c r="I18" s="6">
        <v>20</v>
      </c>
      <c r="J18" s="6">
        <v>30</v>
      </c>
      <c r="K18" s="6">
        <v>15</v>
      </c>
      <c r="L18" s="52">
        <v>1000000</v>
      </c>
      <c r="M18" s="6">
        <v>15</v>
      </c>
      <c r="N18" s="6">
        <v>5</v>
      </c>
      <c r="O18" s="6">
        <v>50</v>
      </c>
      <c r="P18" s="6">
        <v>15</v>
      </c>
      <c r="Q18" s="18">
        <v>30</v>
      </c>
      <c r="R18" s="6">
        <v>0</v>
      </c>
      <c r="S18" s="6" t="s">
        <v>24</v>
      </c>
      <c r="T18" s="7"/>
      <c r="U18" s="7" t="s">
        <v>110</v>
      </c>
      <c r="V18" s="7" t="s">
        <v>130</v>
      </c>
      <c r="W18" s="7" t="s">
        <v>154</v>
      </c>
      <c r="X18" s="7"/>
      <c r="Y18" s="7"/>
      <c r="Z18" s="23" t="s">
        <v>267</v>
      </c>
      <c r="AA18" s="7" t="s">
        <v>268</v>
      </c>
      <c r="AB18" s="23" t="s">
        <v>269</v>
      </c>
      <c r="AC18" s="7" t="s">
        <v>107</v>
      </c>
      <c r="AD18" s="45" t="s">
        <v>377</v>
      </c>
      <c r="AE18" s="7" t="s">
        <v>270</v>
      </c>
      <c r="AF18" s="7" t="s">
        <v>271</v>
      </c>
      <c r="AG18" s="7"/>
      <c r="AH18" s="7" t="s">
        <v>273</v>
      </c>
      <c r="AI18" s="7" t="s">
        <v>274</v>
      </c>
      <c r="AJ18" s="7"/>
      <c r="AK18" s="7"/>
    </row>
    <row r="19" spans="1:37" ht="14.5" customHeight="1">
      <c r="A19" s="8" t="s">
        <v>104</v>
      </c>
      <c r="B19" s="8">
        <v>20</v>
      </c>
      <c r="C19" s="8">
        <v>20</v>
      </c>
      <c r="D19" s="8">
        <v>30</v>
      </c>
      <c r="E19" s="8"/>
      <c r="F19" s="10"/>
      <c r="G19" s="8">
        <v>25</v>
      </c>
      <c r="H19" s="8">
        <v>50</v>
      </c>
      <c r="I19" s="8">
        <v>40</v>
      </c>
      <c r="J19" s="8">
        <v>20</v>
      </c>
      <c r="K19" s="8">
        <v>25</v>
      </c>
      <c r="L19" s="46">
        <v>3</v>
      </c>
      <c r="M19" s="8">
        <v>72</v>
      </c>
      <c r="N19" s="8">
        <v>20</v>
      </c>
      <c r="O19" s="8">
        <v>25</v>
      </c>
      <c r="P19" s="8">
        <v>100</v>
      </c>
      <c r="Q19" s="20">
        <v>10</v>
      </c>
      <c r="R19" s="8">
        <v>0</v>
      </c>
      <c r="S19" s="8" t="s">
        <v>24</v>
      </c>
      <c r="T19" s="9"/>
      <c r="U19" s="9" t="s">
        <v>110</v>
      </c>
      <c r="V19" s="9" t="s">
        <v>130</v>
      </c>
      <c r="W19" s="9" t="s">
        <v>156</v>
      </c>
      <c r="X19" s="9"/>
      <c r="Y19" s="9"/>
      <c r="Z19" s="9"/>
      <c r="AA19" s="9"/>
      <c r="AB19" s="9"/>
      <c r="AC19" s="9" t="s">
        <v>107</v>
      </c>
      <c r="AD19" s="45" t="s">
        <v>377</v>
      </c>
      <c r="AE19" s="9" t="s">
        <v>275</v>
      </c>
      <c r="AF19" s="9" t="s">
        <v>276</v>
      </c>
      <c r="AG19" s="9" t="s">
        <v>277</v>
      </c>
      <c r="AH19" s="9" t="s">
        <v>278</v>
      </c>
      <c r="AI19" s="24" t="s">
        <v>279</v>
      </c>
      <c r="AJ19" s="9"/>
      <c r="AK19" s="9"/>
    </row>
    <row r="20" spans="1:37" ht="14.5" customHeight="1">
      <c r="A20" s="6" t="s">
        <v>105</v>
      </c>
      <c r="B20" s="6">
        <v>15</v>
      </c>
      <c r="C20" s="6">
        <v>15</v>
      </c>
      <c r="D20" s="6">
        <v>15</v>
      </c>
      <c r="E20" s="6"/>
      <c r="F20" s="11"/>
      <c r="G20" s="6">
        <v>1</v>
      </c>
      <c r="H20" s="6">
        <v>15</v>
      </c>
      <c r="I20" s="6">
        <v>40</v>
      </c>
      <c r="J20" s="6">
        <v>10</v>
      </c>
      <c r="K20" s="6">
        <v>15</v>
      </c>
      <c r="L20" s="47">
        <v>80</v>
      </c>
      <c r="M20" s="15">
        <v>1000000</v>
      </c>
      <c r="N20" s="6">
        <v>5</v>
      </c>
      <c r="O20" s="6"/>
      <c r="P20" s="6"/>
      <c r="Q20" s="18"/>
      <c r="R20" s="6">
        <v>4</v>
      </c>
      <c r="S20" s="6" t="s">
        <v>24</v>
      </c>
      <c r="T20" s="7"/>
      <c r="U20" s="7" t="s">
        <v>110</v>
      </c>
      <c r="V20" s="7" t="s">
        <v>130</v>
      </c>
      <c r="W20" s="7" t="s">
        <v>157</v>
      </c>
      <c r="X20" s="7"/>
      <c r="Y20" s="7"/>
      <c r="Z20" s="7" t="s">
        <v>280</v>
      </c>
      <c r="AA20" s="7"/>
      <c r="AB20" s="7"/>
      <c r="AC20" s="7" t="s">
        <v>107</v>
      </c>
      <c r="AD20" s="45" t="s">
        <v>377</v>
      </c>
      <c r="AE20" s="7" t="s">
        <v>281</v>
      </c>
      <c r="AF20" s="7"/>
      <c r="AG20" s="7" t="s">
        <v>272</v>
      </c>
      <c r="AH20" s="7"/>
      <c r="AI20" s="7"/>
      <c r="AJ20" s="7"/>
      <c r="AK20" s="7"/>
    </row>
    <row r="21" spans="1:37" ht="14.5" customHeight="1">
      <c r="A21" s="8" t="s">
        <v>106</v>
      </c>
      <c r="B21" s="8">
        <v>15</v>
      </c>
      <c r="C21" s="8">
        <v>15</v>
      </c>
      <c r="D21" s="8">
        <v>35</v>
      </c>
      <c r="E21" s="8"/>
      <c r="F21" s="10"/>
      <c r="G21" s="8">
        <v>20</v>
      </c>
      <c r="H21" s="8">
        <v>15</v>
      </c>
      <c r="I21" s="8">
        <v>20</v>
      </c>
      <c r="J21" s="8">
        <v>15</v>
      </c>
      <c r="K21" s="8">
        <v>22</v>
      </c>
      <c r="L21" s="8">
        <v>10</v>
      </c>
      <c r="M21" s="8">
        <v>80</v>
      </c>
      <c r="N21" s="8">
        <v>17</v>
      </c>
      <c r="O21" s="8">
        <v>5</v>
      </c>
      <c r="P21" s="8">
        <v>3</v>
      </c>
      <c r="Q21" s="20">
        <v>20</v>
      </c>
      <c r="R21" s="8">
        <v>16</v>
      </c>
      <c r="S21" s="8" t="s">
        <v>24</v>
      </c>
      <c r="T21" s="9"/>
      <c r="U21" s="9" t="s">
        <v>110</v>
      </c>
      <c r="V21" s="9" t="s">
        <v>130</v>
      </c>
      <c r="W21" s="9" t="s">
        <v>155</v>
      </c>
      <c r="X21" s="9"/>
      <c r="Y21" s="9"/>
      <c r="Z21" s="9"/>
      <c r="AA21" s="9" t="s">
        <v>282</v>
      </c>
      <c r="AC21" s="9" t="s">
        <v>107</v>
      </c>
      <c r="AD21" s="45" t="s">
        <v>377</v>
      </c>
      <c r="AE21" s="9"/>
      <c r="AF21" s="9" t="s">
        <v>283</v>
      </c>
      <c r="AG21" s="9" t="s">
        <v>284</v>
      </c>
      <c r="AH21" s="9" t="s">
        <v>285</v>
      </c>
      <c r="AI21" s="9" t="s">
        <v>286</v>
      </c>
      <c r="AJ21" s="9"/>
      <c r="AK21" s="9"/>
    </row>
    <row r="22" spans="1:37" ht="14.5" customHeight="1">
      <c r="A22" s="6" t="s">
        <v>135</v>
      </c>
      <c r="B22" s="6">
        <v>0.64749999999999996</v>
      </c>
      <c r="C22" s="6">
        <v>0.64749999999999996</v>
      </c>
      <c r="D22" s="15">
        <v>9.9999999999999995E-7</v>
      </c>
      <c r="E22" s="6"/>
      <c r="F22" s="6"/>
      <c r="G22" s="25">
        <v>0.46</v>
      </c>
      <c r="H22" s="6">
        <v>0.25</v>
      </c>
      <c r="I22" s="6"/>
      <c r="J22" s="6">
        <v>0.64800000000000002</v>
      </c>
      <c r="K22" s="6">
        <v>0.87</v>
      </c>
      <c r="L22" s="15">
        <v>9.9999999999999995E-7</v>
      </c>
      <c r="M22" s="6">
        <v>0.23</v>
      </c>
      <c r="N22" s="6">
        <v>0.1</v>
      </c>
      <c r="O22" s="6"/>
      <c r="P22" s="6"/>
      <c r="Q22" s="26"/>
      <c r="R22" s="6">
        <v>0</v>
      </c>
      <c r="S22" s="6" t="s">
        <v>24</v>
      </c>
      <c r="T22" s="7"/>
      <c r="U22" s="12" t="s">
        <v>177</v>
      </c>
      <c r="V22" s="7"/>
      <c r="W22" s="7" t="s">
        <v>179</v>
      </c>
      <c r="X22" s="7"/>
      <c r="Z22" s="9"/>
      <c r="AA22" s="45" t="s">
        <v>378</v>
      </c>
      <c r="AB22" s="6"/>
      <c r="AC22" s="7" t="s">
        <v>183</v>
      </c>
      <c r="AD22" s="45" t="s">
        <v>377</v>
      </c>
      <c r="AE22" s="7" t="s">
        <v>376</v>
      </c>
      <c r="AF22" s="42" t="s">
        <v>357</v>
      </c>
      <c r="AG22" s="7" t="s">
        <v>374</v>
      </c>
      <c r="AH22" s="7"/>
      <c r="AI22" s="7"/>
      <c r="AJ22" s="7"/>
      <c r="AK22" s="6"/>
    </row>
    <row r="23" spans="1:37" ht="14.5" customHeight="1">
      <c r="A23" s="8" t="s">
        <v>136</v>
      </c>
      <c r="B23" s="8">
        <v>0.72899999999999998</v>
      </c>
      <c r="C23" s="8">
        <v>0.72899999999999998</v>
      </c>
      <c r="D23" s="8">
        <v>0.34649999999999997</v>
      </c>
      <c r="E23" s="8"/>
      <c r="F23" s="8"/>
      <c r="G23" s="27">
        <v>0.22</v>
      </c>
      <c r="H23" s="8">
        <v>0.75</v>
      </c>
      <c r="I23" s="8"/>
      <c r="J23" s="8">
        <v>0.495</v>
      </c>
      <c r="K23" s="8">
        <v>0.87</v>
      </c>
      <c r="L23" s="8">
        <v>0.34649999999999997</v>
      </c>
      <c r="M23" s="8">
        <v>0.22</v>
      </c>
      <c r="N23" s="8">
        <v>0.1</v>
      </c>
      <c r="O23" s="8"/>
      <c r="P23" s="8"/>
      <c r="Q23" s="28"/>
      <c r="R23" s="8">
        <v>0</v>
      </c>
      <c r="S23" s="8" t="s">
        <v>24</v>
      </c>
      <c r="T23" s="9"/>
      <c r="U23" s="13" t="s">
        <v>177</v>
      </c>
      <c r="V23" s="9"/>
      <c r="W23" s="9" t="s">
        <v>178</v>
      </c>
      <c r="X23" s="9"/>
      <c r="Z23" s="7"/>
      <c r="AA23" s="45" t="s">
        <v>378</v>
      </c>
      <c r="AB23" s="9"/>
      <c r="AC23" s="9" t="s">
        <v>183</v>
      </c>
      <c r="AD23" s="45" t="s">
        <v>377</v>
      </c>
      <c r="AE23" s="7" t="s">
        <v>376</v>
      </c>
      <c r="AF23" s="42" t="s">
        <v>357</v>
      </c>
      <c r="AG23" s="7" t="s">
        <v>374</v>
      </c>
      <c r="AH23" s="9"/>
      <c r="AI23" s="9"/>
      <c r="AJ23" s="9"/>
      <c r="AK23" s="8"/>
    </row>
    <row r="24" spans="1:37" ht="14.5" customHeight="1">
      <c r="A24" s="6" t="s">
        <v>137</v>
      </c>
      <c r="B24" s="6">
        <v>0.76690000000000003</v>
      </c>
      <c r="C24" s="6">
        <v>0.76690000000000003</v>
      </c>
      <c r="D24" s="6">
        <v>0.9</v>
      </c>
      <c r="E24" s="6"/>
      <c r="F24" s="6"/>
      <c r="G24" s="25">
        <v>0.05</v>
      </c>
      <c r="H24" s="6">
        <v>0.05</v>
      </c>
      <c r="I24" s="6"/>
      <c r="J24" s="6">
        <v>0.13600000000000001</v>
      </c>
      <c r="K24" s="6">
        <v>0.87</v>
      </c>
      <c r="L24" s="6">
        <v>0.9</v>
      </c>
      <c r="M24" s="6">
        <v>0.19</v>
      </c>
      <c r="N24" s="6">
        <v>0.1</v>
      </c>
      <c r="O24" s="6"/>
      <c r="P24" s="6"/>
      <c r="Q24" s="26"/>
      <c r="R24" s="6">
        <v>0</v>
      </c>
      <c r="S24" s="6" t="s">
        <v>24</v>
      </c>
      <c r="T24" s="7"/>
      <c r="U24" s="12" t="s">
        <v>177</v>
      </c>
      <c r="V24" s="7"/>
      <c r="W24" s="7" t="s">
        <v>182</v>
      </c>
      <c r="X24" s="7"/>
      <c r="Z24" s="9"/>
      <c r="AA24" s="45" t="s">
        <v>378</v>
      </c>
      <c r="AB24" s="6"/>
      <c r="AC24" s="7" t="s">
        <v>183</v>
      </c>
      <c r="AD24" s="45" t="s">
        <v>377</v>
      </c>
      <c r="AE24" s="7" t="s">
        <v>376</v>
      </c>
      <c r="AF24" s="42" t="s">
        <v>357</v>
      </c>
      <c r="AG24" s="7" t="s">
        <v>374</v>
      </c>
      <c r="AH24" s="7"/>
      <c r="AI24" s="7"/>
      <c r="AJ24" s="7"/>
      <c r="AK24" s="6"/>
    </row>
    <row r="25" spans="1:37" ht="14.5" customHeight="1">
      <c r="A25" s="8" t="s">
        <v>138</v>
      </c>
      <c r="B25" s="8">
        <v>0.46850000000000003</v>
      </c>
      <c r="C25" s="8">
        <v>0.46850000000000003</v>
      </c>
      <c r="D25" s="8">
        <v>0.2</v>
      </c>
      <c r="E25" s="8"/>
      <c r="F25" s="8"/>
      <c r="G25" s="44">
        <v>9.9999999999999995E-7</v>
      </c>
      <c r="H25" s="8">
        <v>0.75</v>
      </c>
      <c r="I25" s="8"/>
      <c r="J25" s="8">
        <v>0.34649999999999997</v>
      </c>
      <c r="K25" s="8">
        <v>0.48</v>
      </c>
      <c r="L25" s="8">
        <v>0.2</v>
      </c>
      <c r="M25" s="8">
        <v>0.11</v>
      </c>
      <c r="N25" s="8">
        <v>0.1</v>
      </c>
      <c r="O25" s="8"/>
      <c r="P25" s="8"/>
      <c r="Q25" s="28"/>
      <c r="R25" s="8">
        <v>0</v>
      </c>
      <c r="S25" s="8" t="s">
        <v>24</v>
      </c>
      <c r="T25" s="9"/>
      <c r="U25" s="13" t="s">
        <v>177</v>
      </c>
      <c r="V25" s="9"/>
      <c r="W25" s="9" t="s">
        <v>181</v>
      </c>
      <c r="X25" s="9"/>
      <c r="Z25" s="7"/>
      <c r="AA25" s="45" t="s">
        <v>378</v>
      </c>
      <c r="AB25" s="8"/>
      <c r="AC25" s="9" t="s">
        <v>183</v>
      </c>
      <c r="AD25" s="45" t="s">
        <v>377</v>
      </c>
      <c r="AE25" s="7" t="s">
        <v>376</v>
      </c>
      <c r="AF25" s="42" t="s">
        <v>357</v>
      </c>
      <c r="AG25" s="7" t="s">
        <v>374</v>
      </c>
      <c r="AH25" s="9"/>
      <c r="AI25" s="9"/>
      <c r="AJ25" s="9"/>
      <c r="AK25" s="8"/>
    </row>
    <row r="26" spans="1:37" ht="14.5" customHeight="1">
      <c r="A26" s="6" t="s">
        <v>139</v>
      </c>
      <c r="B26" s="6">
        <v>0.75</v>
      </c>
      <c r="C26" s="6">
        <v>0.75</v>
      </c>
      <c r="D26" s="6">
        <v>0.9</v>
      </c>
      <c r="E26" s="6"/>
      <c r="F26" s="6"/>
      <c r="G26" s="6">
        <v>0.17</v>
      </c>
      <c r="H26" s="6">
        <v>0.5</v>
      </c>
      <c r="I26" s="6"/>
      <c r="J26" s="6">
        <v>0.63700000000000001</v>
      </c>
      <c r="K26" s="6">
        <v>0.74</v>
      </c>
      <c r="L26" s="6">
        <v>0.9</v>
      </c>
      <c r="M26" s="6">
        <v>0.26</v>
      </c>
      <c r="N26" s="6">
        <v>0.99299999999999999</v>
      </c>
      <c r="O26" s="6"/>
      <c r="P26" s="6"/>
      <c r="Q26" s="26"/>
      <c r="R26" s="6">
        <v>0.45</v>
      </c>
      <c r="S26" s="6" t="s">
        <v>24</v>
      </c>
      <c r="T26" s="7"/>
      <c r="U26" s="12" t="s">
        <v>177</v>
      </c>
      <c r="V26" s="7"/>
      <c r="W26" s="7" t="s">
        <v>180</v>
      </c>
      <c r="X26" s="7"/>
      <c r="Y26" s="8"/>
      <c r="Z26" s="9"/>
      <c r="AA26" s="45" t="s">
        <v>378</v>
      </c>
      <c r="AB26" s="8"/>
      <c r="AC26" s="7" t="s">
        <v>183</v>
      </c>
      <c r="AD26" s="45" t="s">
        <v>377</v>
      </c>
      <c r="AE26" s="7" t="s">
        <v>376</v>
      </c>
      <c r="AF26" s="42" t="s">
        <v>357</v>
      </c>
      <c r="AG26" s="1" t="s">
        <v>375</v>
      </c>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0.35699999999999998</v>
      </c>
      <c r="J27" s="8">
        <v>0.3624</v>
      </c>
      <c r="K27" s="8">
        <v>0.47</v>
      </c>
      <c r="L27" s="8">
        <v>0.17</v>
      </c>
      <c r="M27" s="8">
        <v>0.39</v>
      </c>
      <c r="N27" s="8">
        <v>0.73</v>
      </c>
      <c r="O27" s="8">
        <v>0.21</v>
      </c>
      <c r="P27" s="8">
        <v>0.28999999999999998</v>
      </c>
      <c r="Q27" s="20">
        <v>2.7500000000000002E-4</v>
      </c>
      <c r="R27" s="8"/>
      <c r="S27" s="8" t="s">
        <v>31</v>
      </c>
      <c r="T27" s="9" t="s">
        <v>71</v>
      </c>
      <c r="U27" s="9" t="s">
        <v>159</v>
      </c>
      <c r="V27" s="9" t="s">
        <v>129</v>
      </c>
      <c r="W27" s="9" t="s">
        <v>140</v>
      </c>
      <c r="X27" s="9"/>
      <c r="Y27" s="9"/>
      <c r="Z27" s="21" t="s">
        <v>287</v>
      </c>
      <c r="AA27" s="9"/>
      <c r="AB27" s="21" t="s">
        <v>288</v>
      </c>
      <c r="AC27" s="9" t="s">
        <v>77</v>
      </c>
      <c r="AD27" s="9"/>
      <c r="AE27" s="9" t="s">
        <v>356</v>
      </c>
      <c r="AF27" s="9"/>
      <c r="AG27" s="9"/>
      <c r="AH27" s="9" t="s">
        <v>289</v>
      </c>
      <c r="AI27" s="9"/>
      <c r="AJ27" s="9"/>
      <c r="AK27" s="9"/>
    </row>
    <row r="28" spans="1:37" ht="14.5" customHeight="1">
      <c r="A28" s="6" t="s">
        <v>69</v>
      </c>
      <c r="B28" s="6">
        <v>0.24399999999999999</v>
      </c>
      <c r="C28" s="6">
        <v>0.33800000000000002</v>
      </c>
      <c r="D28" s="6">
        <v>0.26156000000000001</v>
      </c>
      <c r="E28" s="6"/>
      <c r="F28" s="11"/>
      <c r="G28" s="6">
        <v>0.46</v>
      </c>
      <c r="H28" s="6">
        <v>6.2E-2</v>
      </c>
      <c r="I28" s="8">
        <v>0.35699999999999998</v>
      </c>
      <c r="J28" s="6">
        <v>0.38300000000000001</v>
      </c>
      <c r="K28" s="6">
        <v>0.47</v>
      </c>
      <c r="L28" s="6">
        <v>0.17</v>
      </c>
      <c r="M28" s="6">
        <v>0.39</v>
      </c>
      <c r="N28" s="6">
        <v>0.73</v>
      </c>
      <c r="O28" s="6">
        <v>0.21</v>
      </c>
      <c r="P28" s="6">
        <v>0.28999999999999998</v>
      </c>
      <c r="Q28" s="18">
        <v>2.7500000000000002E-4</v>
      </c>
      <c r="R28" s="6"/>
      <c r="S28" s="6" t="s">
        <v>31</v>
      </c>
      <c r="T28" s="7"/>
      <c r="U28" s="7" t="s">
        <v>160</v>
      </c>
      <c r="V28" s="7" t="s">
        <v>128</v>
      </c>
      <c r="W28" s="7" t="s">
        <v>141</v>
      </c>
      <c r="X28" s="7"/>
      <c r="Y28" s="7"/>
      <c r="Z28" s="7" t="s">
        <v>290</v>
      </c>
      <c r="AA28" s="7"/>
      <c r="AB28" s="23" t="s">
        <v>288</v>
      </c>
      <c r="AC28" s="7" t="s">
        <v>77</v>
      </c>
      <c r="AD28" s="7"/>
      <c r="AE28" s="7" t="s">
        <v>356</v>
      </c>
      <c r="AF28" s="7" t="s">
        <v>291</v>
      </c>
      <c r="AG28" s="7"/>
      <c r="AH28" s="7" t="s">
        <v>292</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7" t="s">
        <v>141</v>
      </c>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161</v>
      </c>
      <c r="V30" s="7" t="s">
        <v>132</v>
      </c>
      <c r="W30" s="7" t="s">
        <v>150</v>
      </c>
      <c r="X30" s="7"/>
      <c r="Y30" s="7"/>
      <c r="Z30" s="23" t="s">
        <v>293</v>
      </c>
      <c r="AA30" s="7"/>
      <c r="AB30" s="7"/>
      <c r="AC30" s="7" t="s">
        <v>77</v>
      </c>
      <c r="AD30" s="7" t="s">
        <v>294</v>
      </c>
      <c r="AE30" s="7"/>
      <c r="AF30" s="7"/>
      <c r="AG30" s="7"/>
      <c r="AH30" s="29" t="s">
        <v>295</v>
      </c>
      <c r="AI30" s="7"/>
      <c r="AJ30" s="7"/>
      <c r="AK30" s="7"/>
    </row>
    <row r="31" spans="1:37" ht="14.5" customHeight="1">
      <c r="A31" s="8" t="s">
        <v>72</v>
      </c>
      <c r="B31" s="8">
        <v>0</v>
      </c>
      <c r="C31" s="8">
        <v>0</v>
      </c>
      <c r="D31" s="8">
        <f>1-0.52/2</f>
        <v>0.74</v>
      </c>
      <c r="E31" s="8"/>
      <c r="F31" s="10"/>
      <c r="G31" s="8">
        <v>1</v>
      </c>
      <c r="H31" s="8">
        <v>1</v>
      </c>
      <c r="I31" s="8">
        <v>1</v>
      </c>
      <c r="J31" s="8">
        <v>0.38869999999999999</v>
      </c>
      <c r="K31" s="8">
        <v>1</v>
      </c>
      <c r="L31" s="8">
        <f>1-$L$11/2</f>
        <v>0.89719400096758584</v>
      </c>
      <c r="M31" s="8">
        <v>1</v>
      </c>
      <c r="N31" s="8">
        <v>1</v>
      </c>
      <c r="O31" s="8">
        <v>1</v>
      </c>
      <c r="P31" s="8">
        <v>1</v>
      </c>
      <c r="Q31" s="20">
        <v>1</v>
      </c>
      <c r="R31" s="8"/>
      <c r="S31" s="8" t="s">
        <v>31</v>
      </c>
      <c r="T31" s="9"/>
      <c r="U31" s="9"/>
      <c r="V31" s="9" t="s">
        <v>131</v>
      </c>
      <c r="W31" s="9" t="s">
        <v>379</v>
      </c>
      <c r="X31" s="9"/>
      <c r="Y31" s="9"/>
      <c r="Z31" s="9"/>
      <c r="AA31" s="9"/>
      <c r="AB31" s="9"/>
      <c r="AC31" s="9" t="s">
        <v>77</v>
      </c>
      <c r="AD31" s="9"/>
      <c r="AE31" s="9" t="s">
        <v>380</v>
      </c>
      <c r="AF31" s="9"/>
      <c r="AG31" s="9"/>
      <c r="AH31" s="9"/>
      <c r="AI31" s="9"/>
      <c r="AJ31" s="9"/>
      <c r="AK31" s="9"/>
    </row>
    <row r="32" spans="1:37" ht="14.5" customHeight="1">
      <c r="A32" s="6" t="s">
        <v>32</v>
      </c>
      <c r="B32" s="6">
        <v>0</v>
      </c>
      <c r="C32" s="6">
        <v>0</v>
      </c>
      <c r="D32" s="8">
        <f>1-0.52/2</f>
        <v>0.74</v>
      </c>
      <c r="E32" s="6"/>
      <c r="F32" s="11"/>
      <c r="G32" s="6">
        <v>1</v>
      </c>
      <c r="H32" s="6">
        <v>1</v>
      </c>
      <c r="I32" s="6">
        <v>1</v>
      </c>
      <c r="J32" s="6">
        <v>0.312</v>
      </c>
      <c r="K32" s="6">
        <v>1</v>
      </c>
      <c r="L32" s="8">
        <f>1-$L$11/2</f>
        <v>0.89719400096758584</v>
      </c>
      <c r="M32" s="6">
        <v>1</v>
      </c>
      <c r="N32" s="6">
        <v>1</v>
      </c>
      <c r="O32" s="6">
        <v>1</v>
      </c>
      <c r="P32" s="6">
        <v>1</v>
      </c>
      <c r="Q32" s="18">
        <v>1</v>
      </c>
      <c r="R32" s="6"/>
      <c r="S32" s="6" t="s">
        <v>31</v>
      </c>
      <c r="T32" s="7"/>
      <c r="U32" s="7"/>
      <c r="V32" s="7" t="s">
        <v>131</v>
      </c>
      <c r="W32" s="9" t="s">
        <v>379</v>
      </c>
      <c r="X32" s="7"/>
      <c r="Y32" s="7"/>
      <c r="Z32" s="7"/>
      <c r="AA32" s="7"/>
      <c r="AB32" s="7"/>
      <c r="AC32" s="7" t="s">
        <v>77</v>
      </c>
      <c r="AD32" s="7"/>
      <c r="AE32" s="9" t="s">
        <v>380</v>
      </c>
      <c r="AF32" s="7"/>
      <c r="AG32" s="7"/>
      <c r="AH32" s="7" t="s">
        <v>213</v>
      </c>
      <c r="AI32" s="7"/>
      <c r="AJ32" s="7"/>
      <c r="AK32" s="7"/>
    </row>
    <row r="33" spans="1:37" ht="14.5" customHeight="1">
      <c r="A33" s="8" t="s">
        <v>73</v>
      </c>
      <c r="B33" s="8">
        <v>0</v>
      </c>
      <c r="C33" s="8">
        <v>0</v>
      </c>
      <c r="D33" s="8">
        <v>0.14099999999999999</v>
      </c>
      <c r="E33" s="8">
        <v>0.69099999999999995</v>
      </c>
      <c r="F33" s="10"/>
      <c r="G33" s="8">
        <v>0</v>
      </c>
      <c r="H33" s="8">
        <v>0</v>
      </c>
      <c r="I33" s="8">
        <v>0</v>
      </c>
      <c r="J33" s="8">
        <v>0.13800000000000001</v>
      </c>
      <c r="K33" s="8">
        <v>0.34300000000000003</v>
      </c>
      <c r="L33" s="8">
        <v>8.0999999999999996E-4</v>
      </c>
      <c r="M33" s="8">
        <v>7.7000000000000002E-3</v>
      </c>
      <c r="N33" s="8">
        <v>0</v>
      </c>
      <c r="O33" s="8">
        <v>8.0999999999999996E-3</v>
      </c>
      <c r="P33" s="8">
        <v>0.55900000000000005</v>
      </c>
      <c r="Q33" s="20">
        <v>1</v>
      </c>
      <c r="R33" s="8"/>
      <c r="S33" s="8" t="s">
        <v>31</v>
      </c>
      <c r="T33" s="9"/>
      <c r="U33" s="9"/>
      <c r="V33" s="9"/>
      <c r="W33" s="9"/>
      <c r="X33" s="9"/>
      <c r="Y33" s="9"/>
      <c r="Z33" s="9"/>
      <c r="AA33" s="9"/>
      <c r="AB33" s="9" t="s">
        <v>296</v>
      </c>
      <c r="AC33" s="9" t="s">
        <v>77</v>
      </c>
      <c r="AD33" s="9" t="s">
        <v>344</v>
      </c>
      <c r="AE33" s="9"/>
      <c r="AF33" s="9"/>
      <c r="AG33" s="9"/>
      <c r="AH33" s="21" t="s">
        <v>298</v>
      </c>
      <c r="AI33" s="9"/>
      <c r="AJ33" s="9"/>
      <c r="AK33" s="9" t="s">
        <v>299</v>
      </c>
    </row>
    <row r="34" spans="1:37" ht="14.5" customHeight="1">
      <c r="A34" s="6" t="s">
        <v>33</v>
      </c>
      <c r="B34" s="6">
        <v>0</v>
      </c>
      <c r="C34" s="6">
        <v>0</v>
      </c>
      <c r="D34" s="6">
        <v>0.14099999999999999</v>
      </c>
      <c r="E34" s="6">
        <v>0.69099999999999995</v>
      </c>
      <c r="F34" s="11"/>
      <c r="G34" s="6">
        <v>0</v>
      </c>
      <c r="H34" s="6">
        <v>0</v>
      </c>
      <c r="I34" s="6">
        <v>0</v>
      </c>
      <c r="J34" s="6">
        <v>1.2E-2</v>
      </c>
      <c r="K34" s="6">
        <v>0.34300000000000003</v>
      </c>
      <c r="L34" s="6">
        <v>8.0999999999999996E-4</v>
      </c>
      <c r="M34" s="6">
        <v>7.7000000000000002E-3</v>
      </c>
      <c r="N34" s="6">
        <v>0</v>
      </c>
      <c r="O34" s="6">
        <v>8.0999999999999996E-3</v>
      </c>
      <c r="P34" s="6">
        <v>0.55900000000000005</v>
      </c>
      <c r="Q34" s="18">
        <v>1</v>
      </c>
      <c r="R34" s="6"/>
      <c r="S34" s="6" t="s">
        <v>31</v>
      </c>
      <c r="T34" s="7"/>
      <c r="U34" s="7"/>
      <c r="V34" s="7"/>
      <c r="W34" s="7"/>
      <c r="X34" s="7"/>
      <c r="Y34" s="7"/>
      <c r="Z34" s="7"/>
      <c r="AA34" s="7"/>
      <c r="AB34" s="7"/>
      <c r="AC34" s="7" t="s">
        <v>77</v>
      </c>
      <c r="AD34" s="23" t="s">
        <v>345</v>
      </c>
      <c r="AE34" s="7"/>
      <c r="AF34" s="7" t="s">
        <v>297</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158</v>
      </c>
      <c r="V35" s="9" t="s">
        <v>132</v>
      </c>
      <c r="W35" s="9" t="s">
        <v>151</v>
      </c>
      <c r="X35" s="9"/>
      <c r="Y35" s="9"/>
      <c r="Z35" s="9" t="s">
        <v>300</v>
      </c>
      <c r="AA35" s="9" t="s">
        <v>301</v>
      </c>
      <c r="AB35" s="9" t="s">
        <v>302</v>
      </c>
      <c r="AC35" s="9" t="s">
        <v>91</v>
      </c>
      <c r="AD35" s="9"/>
      <c r="AE35" s="9"/>
      <c r="AF35" s="9" t="s">
        <v>303</v>
      </c>
      <c r="AG35" s="9"/>
      <c r="AH35" s="9" t="s">
        <v>213</v>
      </c>
      <c r="AI35" s="9"/>
      <c r="AJ35" s="9"/>
      <c r="AK35" s="9"/>
    </row>
    <row r="36" spans="1:37" ht="14.5" customHeight="1">
      <c r="A36" s="6" t="s">
        <v>304</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305</v>
      </c>
      <c r="AI36" s="6"/>
      <c r="AJ36" s="6"/>
      <c r="AK36" s="6"/>
    </row>
    <row r="37" spans="1:37" ht="14.5" customHeight="1">
      <c r="A37" s="8" t="s">
        <v>14</v>
      </c>
      <c r="B37" s="8">
        <v>64866</v>
      </c>
      <c r="C37" s="8">
        <v>1351500</v>
      </c>
      <c r="D37" s="8">
        <v>3.5972</v>
      </c>
      <c r="E37" s="8"/>
      <c r="F37" s="10"/>
      <c r="G37" s="19">
        <v>83.8</v>
      </c>
      <c r="H37" s="8">
        <v>296</v>
      </c>
      <c r="I37" s="8">
        <v>1.85</v>
      </c>
      <c r="J37" s="8">
        <v>20400</v>
      </c>
      <c r="K37" s="8">
        <v>2610</v>
      </c>
      <c r="L37" s="8">
        <v>26.5</v>
      </c>
      <c r="M37" s="8">
        <v>12700</v>
      </c>
      <c r="N37" s="8">
        <v>4720</v>
      </c>
      <c r="O37" s="8">
        <v>294</v>
      </c>
      <c r="P37" s="8">
        <v>0.186</v>
      </c>
      <c r="Q37" s="20">
        <v>0.52</v>
      </c>
      <c r="R37" s="8"/>
      <c r="S37" s="8" t="s">
        <v>34</v>
      </c>
      <c r="T37" s="9"/>
      <c r="U37" s="9"/>
      <c r="V37" s="9" t="s">
        <v>92</v>
      </c>
      <c r="W37" s="9" t="s">
        <v>150</v>
      </c>
      <c r="X37" s="9" t="s">
        <v>93</v>
      </c>
      <c r="Y37" s="9"/>
      <c r="Z37" s="9" t="s">
        <v>306</v>
      </c>
      <c r="AA37" s="21" t="s">
        <v>307</v>
      </c>
      <c r="AB37" s="9" t="s">
        <v>208</v>
      </c>
      <c r="AC37" s="9"/>
      <c r="AD37" s="9"/>
      <c r="AE37" s="9"/>
      <c r="AF37" s="9"/>
      <c r="AG37" s="9"/>
      <c r="AH37" s="9"/>
      <c r="AI37" s="9" t="s">
        <v>308</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175</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164</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174</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0.13320000000000001</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t="s">
        <v>328</v>
      </c>
      <c r="U41" s="9" t="s">
        <v>327</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30800</v>
      </c>
      <c r="H42" s="15">
        <v>19444</v>
      </c>
      <c r="I42" s="6">
        <v>161000</v>
      </c>
      <c r="J42" s="6">
        <v>6018.558</v>
      </c>
      <c r="K42" s="6">
        <v>14285.808000000001</v>
      </c>
      <c r="L42" s="11">
        <f>16.22*35274</f>
        <v>572144.27999999991</v>
      </c>
      <c r="M42" s="6">
        <v>2535.29</v>
      </c>
      <c r="N42" s="6">
        <v>2006.1859999999999</v>
      </c>
      <c r="O42" s="15">
        <v>24647.428</v>
      </c>
      <c r="P42" s="15">
        <v>27710303</v>
      </c>
      <c r="Q42" s="18">
        <v>58419.6</v>
      </c>
      <c r="R42" s="32">
        <v>11120.835754394531</v>
      </c>
      <c r="S42" s="6" t="s">
        <v>34</v>
      </c>
      <c r="T42" s="7" t="s">
        <v>126</v>
      </c>
      <c r="U42" s="7"/>
      <c r="V42" s="7"/>
      <c r="W42" s="7"/>
      <c r="X42" s="7"/>
      <c r="Y42" s="7"/>
      <c r="Z42" s="23" t="s">
        <v>346</v>
      </c>
      <c r="AA42" s="7"/>
      <c r="AB42" s="23" t="s">
        <v>347</v>
      </c>
      <c r="AC42" s="7" t="s">
        <v>309</v>
      </c>
      <c r="AD42" s="7"/>
      <c r="AE42" s="43" t="s">
        <v>349</v>
      </c>
      <c r="AF42" s="7"/>
      <c r="AG42" s="23" t="s">
        <v>310</v>
      </c>
      <c r="AH42" s="7"/>
      <c r="AI42" s="7"/>
      <c r="AJ42" s="7"/>
      <c r="AK42" s="7" t="s">
        <v>311</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L42-14.86*35274</f>
        <v>47972.639999999956</v>
      </c>
      <c r="M43" s="8">
        <f>M42-0.88*2204.6</f>
        <v>595.24199999999996</v>
      </c>
      <c r="N43" s="8">
        <f>N42-0.77*2204.6</f>
        <v>308.64400000000001</v>
      </c>
      <c r="O43" s="8">
        <v>23820</v>
      </c>
      <c r="P43" s="14">
        <f>P42-696.31*35274</f>
        <v>3148664.0600000024</v>
      </c>
      <c r="Q43" s="20"/>
      <c r="R43" s="8"/>
      <c r="S43" s="8"/>
      <c r="T43" s="8"/>
      <c r="U43" s="8" t="s">
        <v>167</v>
      </c>
      <c r="V43" s="8" t="s">
        <v>169</v>
      </c>
      <c r="W43" s="8" t="s">
        <v>168</v>
      </c>
      <c r="X43" s="8" t="s">
        <v>127</v>
      </c>
      <c r="Y43" s="8"/>
      <c r="Z43" s="24" t="s">
        <v>312</v>
      </c>
      <c r="AA43" s="8" t="s">
        <v>313</v>
      </c>
      <c r="AB43" s="1" t="s">
        <v>348</v>
      </c>
      <c r="AC43" s="8" t="s">
        <v>314</v>
      </c>
      <c r="AD43" s="8" t="s">
        <v>315</v>
      </c>
      <c r="AE43" s="8" t="s">
        <v>350</v>
      </c>
      <c r="AF43" s="8" t="s">
        <v>172</v>
      </c>
      <c r="AG43" s="8" t="s">
        <v>171</v>
      </c>
      <c r="AH43" s="8" t="s">
        <v>127</v>
      </c>
      <c r="AI43" s="8" t="s">
        <v>170</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166</v>
      </c>
      <c r="V44" s="7" t="s">
        <v>88</v>
      </c>
      <c r="W44" s="7" t="s">
        <v>88</v>
      </c>
      <c r="X44" s="7"/>
      <c r="Y44" s="7"/>
      <c r="Z44" s="7" t="s">
        <v>316</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166</v>
      </c>
      <c r="V45" s="9" t="s">
        <v>88</v>
      </c>
      <c r="W45" s="9" t="s">
        <v>88</v>
      </c>
      <c r="X45" s="9"/>
      <c r="Y45" s="9"/>
      <c r="Z45" s="9" t="s">
        <v>317</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166</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166</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166</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48" t="s">
        <v>68</v>
      </c>
      <c r="B74" s="48"/>
      <c r="C74" s="48"/>
      <c r="D74" s="48"/>
      <c r="E74" s="48"/>
      <c r="F74" s="48"/>
      <c r="G74" s="48"/>
      <c r="H74" s="48"/>
      <c r="I74" s="48"/>
      <c r="J74" s="48"/>
      <c r="K74" s="48"/>
      <c r="L74" s="48"/>
      <c r="M74" s="48"/>
      <c r="N74" s="48"/>
      <c r="O74" s="48"/>
      <c r="P74" s="48"/>
      <c r="Q74" s="49"/>
      <c r="R74" s="48"/>
      <c r="S74" s="48" t="s">
        <v>34</v>
      </c>
      <c r="T74" s="50"/>
      <c r="U74" s="50"/>
      <c r="V74" s="50"/>
      <c r="W74" s="50"/>
      <c r="X74" s="50"/>
      <c r="Y74" s="50"/>
      <c r="Z74" s="50"/>
      <c r="AA74" s="50"/>
      <c r="AB74" s="50"/>
      <c r="AC74" s="50"/>
      <c r="AD74" s="50"/>
      <c r="AE74" s="50"/>
      <c r="AF74" s="50"/>
      <c r="AG74" s="50"/>
      <c r="AH74" s="50"/>
      <c r="AI74" s="50"/>
      <c r="AJ74" s="50"/>
      <c r="AK74" s="50"/>
    </row>
    <row r="90" spans="1:30">
      <c r="A90" s="8" t="s">
        <v>26</v>
      </c>
      <c r="B90">
        <f>1-SUM(B91:B94)</f>
        <v>0.19100000000000006</v>
      </c>
      <c r="F90" t="s">
        <v>359</v>
      </c>
      <c r="G90" t="s">
        <v>360</v>
      </c>
      <c r="H90" t="s">
        <v>361</v>
      </c>
      <c r="AA90" t="s">
        <v>364</v>
      </c>
      <c r="AB90" t="s">
        <v>236</v>
      </c>
      <c r="AC90" t="s">
        <v>362</v>
      </c>
      <c r="AD90" t="s">
        <v>363</v>
      </c>
    </row>
    <row r="91" spans="1:30">
      <c r="A91" s="6" t="s">
        <v>27</v>
      </c>
      <c r="B91">
        <f>(48.3/2+1+5.2/2)/100</f>
        <v>0.27750000000000002</v>
      </c>
      <c r="F91">
        <v>48.3</v>
      </c>
      <c r="G91">
        <v>15.5</v>
      </c>
      <c r="H91">
        <v>14.7</v>
      </c>
      <c r="AA91">
        <v>5.2</v>
      </c>
      <c r="AB91">
        <v>7.3</v>
      </c>
      <c r="AC91">
        <v>2</v>
      </c>
      <c r="AD91">
        <v>7</v>
      </c>
    </row>
    <row r="92" spans="1:30">
      <c r="A92" s="8" t="s">
        <v>28</v>
      </c>
      <c r="B92">
        <f>48.3/2/100</f>
        <v>0.24149999999999999</v>
      </c>
      <c r="F92" t="s">
        <v>365</v>
      </c>
      <c r="G92" t="s">
        <v>366</v>
      </c>
      <c r="H92" t="s">
        <v>367</v>
      </c>
      <c r="AA92" t="s">
        <v>366</v>
      </c>
      <c r="AB92" t="s">
        <v>368</v>
      </c>
      <c r="AC92" t="s">
        <v>369</v>
      </c>
    </row>
    <row r="93" spans="1:30">
      <c r="A93" s="6" t="s">
        <v>29</v>
      </c>
      <c r="B93">
        <f>(7+14.7)/100</f>
        <v>0.217</v>
      </c>
    </row>
    <row r="94" spans="1:30">
      <c r="A94" s="8" t="s">
        <v>30</v>
      </c>
      <c r="B94">
        <f>7.3/100</f>
        <v>7.2999999999999995E-2</v>
      </c>
    </row>
  </sheetData>
  <phoneticPr fontId="12" type="noConversion"/>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display="https://www.statista.com/statistics/1009446/tungsten-price/"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display="https://www.argusmedia.com/en/news/2222244-eu-tantalum-prices-rebound-on-higher-input-costs"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display="https://www.copper.org/publications/newsletters/innovations/2001/08/hydrometallurgy.html"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G6" r:id="rId20" xr:uid="{0F67CDD1-7035-DC44-9CA6-CA547F4A120E}"/>
    <hyperlink ref="AE7" r:id="rId21" xr:uid="{798E403D-86FA-8F4E-A18B-F39FDE87D1E1}"/>
    <hyperlink ref="AF7" r:id="rId22" xr:uid="{0E247788-8755-934D-922D-DF24A7747C35}"/>
    <hyperlink ref="AD7" r:id="rId23" display="https://www.sciencedirect.com/science/article/pii/S0921344917301817" xr:uid="{00987C5A-86EF-7449-830B-14136FA25644}"/>
    <hyperlink ref="AA7" r:id="rId24" display="https://www.sciencedirect.com/science/article/pii/S0048969718312373" xr:uid="{2FC36872-A372-8149-979C-5C1EB12DAB3C}"/>
    <hyperlink ref="AA8" r:id="rId25" display="https://www.sciencedirect.com/science/article/pii/S0048969718312373" xr:uid="{6485F26B-C8ED-7D47-AA92-D1F7CF8E46F1}"/>
    <hyperlink ref="AA9" r:id="rId26" display="https://www.sciencedirect.com/science/article/pii/S0048969718312373" xr:uid="{D2CF26CA-B025-4C41-899C-2215D4981909}"/>
    <hyperlink ref="AA10" r:id="rId27" display="https://www.sciencedirect.com/science/article/pii/S0048969718312373" xr:uid="{1F472A81-9D59-9340-B578-AD40B57FC5DB}"/>
    <hyperlink ref="AA11" r:id="rId28" display="https://www.sciencedirect.com/science/article/pii/S0048969718312373" xr:uid="{6A858768-DF1D-7A42-9B84-D34C269B492D}"/>
    <hyperlink ref="AG7" r:id="rId29" xr:uid="{BDB1FBCE-8E5B-E446-9521-78DC3859DF64}"/>
    <hyperlink ref="AG26" r:id="rId30" display="https://www.recyclingtoday.com/article/battery-council-international-lead-battery-recycling/" xr:uid="{EEE1D733-973D-194D-89E1-ED66138A0CA6}"/>
    <hyperlink ref="AF22" r:id="rId31" xr:uid="{1EBCFBC8-5E0B-3343-B5E4-413BE8F9F076}"/>
    <hyperlink ref="AD17" r:id="rId32" xr:uid="{5BF8B3C9-6734-4540-AB66-56985B2BD4D4}"/>
    <hyperlink ref="AD18" r:id="rId33" xr:uid="{3F6D9065-8733-8048-969F-D3F9B2D846FF}"/>
    <hyperlink ref="AD19" r:id="rId34" xr:uid="{DDC6013A-65C0-C747-8B90-58FABD091EA8}"/>
    <hyperlink ref="AD20" r:id="rId35" xr:uid="{34C61E79-65B5-784B-91E7-D6EFA72E1C16}"/>
    <hyperlink ref="AD21" r:id="rId36" xr:uid="{28856D38-242E-DF4D-A9C7-34619BAC263B}"/>
    <hyperlink ref="AD22" r:id="rId37" xr:uid="{DD334BF5-7CCC-854C-87DB-FD9A495C64E3}"/>
    <hyperlink ref="AD23" r:id="rId38" xr:uid="{960BA8A2-4FFC-D049-A2D2-78ED92322EB5}"/>
    <hyperlink ref="AD24" r:id="rId39" xr:uid="{9776F84E-607F-4340-99D2-0CF5831412A8}"/>
    <hyperlink ref="AD25" r:id="rId40" xr:uid="{E9CAE11E-46BE-D941-AC51-89FBCFAD8F10}"/>
    <hyperlink ref="AD26" r:id="rId41" xr:uid="{08C1E42C-92E1-A54A-9894-BB1716DCEAAE}"/>
    <hyperlink ref="AA22" r:id="rId42" xr:uid="{AB2B8C02-763D-B846-8D3A-C52B9C52ECE4}"/>
    <hyperlink ref="AA23" r:id="rId43" xr:uid="{D83C3CF7-5DCF-3B40-A3CE-426314CA2F28}"/>
    <hyperlink ref="AA24" r:id="rId44" xr:uid="{3658CDFA-B475-A248-8C69-D9B9ABC6614B}"/>
    <hyperlink ref="AA25" r:id="rId45" xr:uid="{8080BCC5-66E2-2349-97CE-9A809D50840E}"/>
    <hyperlink ref="AA26" r:id="rId46" xr:uid="{BBF2DF10-2671-734D-88B6-394D9C60D4A5}"/>
    <hyperlink ref="AF23" r:id="rId47" xr:uid="{DEC718A9-543E-DA46-97C4-748B0830EED9}"/>
    <hyperlink ref="AF24" r:id="rId48" xr:uid="{841D0090-CE2C-6B4D-8911-C602FC5CA170}"/>
    <hyperlink ref="AF25" r:id="rId49" xr:uid="{EF554BD6-D3AF-2A4B-AB8C-E9433478750A}"/>
    <hyperlink ref="AF26" r:id="rId50" xr:uid="{F7723C52-BBC3-F24E-AAE4-A9B42CB8045B}"/>
  </hyperlinks>
  <pageMargins left="0.7" right="0.7" top="0.75" bottom="0.75" header="0.3" footer="0.3"/>
  <pageSetup orientation="portrait" r:id="rId51"/>
  <tableParts count="1">
    <tablePart r:id="rId5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topLeftCell="A9" workbookViewId="0">
      <selection activeCell="F31" sqref="F31"/>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184</v>
      </c>
      <c r="C1" t="s">
        <v>188</v>
      </c>
      <c r="D1" t="s">
        <v>190</v>
      </c>
      <c r="E1" t="s">
        <v>196</v>
      </c>
    </row>
    <row r="2" spans="1:5">
      <c r="A2" t="s">
        <v>176</v>
      </c>
      <c r="B2" t="s">
        <v>335</v>
      </c>
      <c r="E2" t="s">
        <v>336</v>
      </c>
    </row>
    <row r="3" spans="1:5">
      <c r="A3">
        <v>1991</v>
      </c>
      <c r="B3">
        <v>19.179588989644255</v>
      </c>
      <c r="D3" s="1"/>
      <c r="E3">
        <v>3.8069431775500351</v>
      </c>
    </row>
    <row r="4" spans="1:5">
      <c r="A4">
        <v>1992</v>
      </c>
      <c r="B4">
        <v>19.579331437463111</v>
      </c>
      <c r="D4" s="1"/>
      <c r="E4">
        <v>3.9786446316467243</v>
      </c>
    </row>
    <row r="5" spans="1:5">
      <c r="A5">
        <v>1993</v>
      </c>
      <c r="B5">
        <v>20.700756559532117</v>
      </c>
      <c r="D5" s="1"/>
      <c r="E5">
        <v>3.9840103020872455</v>
      </c>
    </row>
    <row r="6" spans="1:5">
      <c r="A6">
        <v>1994</v>
      </c>
      <c r="B6">
        <v>20.593443150721683</v>
      </c>
      <c r="D6" s="1"/>
      <c r="E6">
        <v>4.0779095347963734</v>
      </c>
    </row>
    <row r="7" spans="1:5">
      <c r="A7">
        <v>1995</v>
      </c>
      <c r="B7">
        <v>20.6470998551269</v>
      </c>
      <c r="D7" s="1"/>
      <c r="E7">
        <v>4.3703385738047968</v>
      </c>
    </row>
    <row r="8" spans="1:5">
      <c r="A8">
        <v>1996</v>
      </c>
      <c r="B8">
        <v>21.808767505499812</v>
      </c>
      <c r="D8" s="1"/>
      <c r="E8">
        <v>4.2496109888930622</v>
      </c>
    </row>
    <row r="9" spans="1:5">
      <c r="A9">
        <v>1997</v>
      </c>
      <c r="B9">
        <v>22.672640446423781</v>
      </c>
      <c r="D9" s="1"/>
      <c r="E9">
        <v>4.5420400279014865</v>
      </c>
    </row>
    <row r="10" spans="1:5">
      <c r="A10">
        <v>1998</v>
      </c>
      <c r="B10">
        <v>22.358748725653271</v>
      </c>
      <c r="D10" s="1"/>
      <c r="E10">
        <v>5.204163760261844</v>
      </c>
    </row>
    <row r="11" spans="1:5">
      <c r="A11">
        <v>1999</v>
      </c>
      <c r="B11">
        <v>23.802114074153568</v>
      </c>
      <c r="D11" s="1"/>
      <c r="E11">
        <v>4.8720287599935608</v>
      </c>
    </row>
    <row r="12" spans="1:5">
      <c r="A12">
        <v>2000</v>
      </c>
      <c r="B12">
        <v>25.38766968932768</v>
      </c>
      <c r="D12" s="1"/>
      <c r="E12">
        <v>4.8505660782314761</v>
      </c>
    </row>
    <row r="13" spans="1:5">
      <c r="A13">
        <v>2001</v>
      </c>
      <c r="B13">
        <v>23.772602886730695</v>
      </c>
      <c r="E13">
        <v>5.0705585662928581</v>
      </c>
    </row>
    <row r="14" spans="1:5">
      <c r="A14">
        <v>2002</v>
      </c>
      <c r="B14">
        <v>23.35944626281054</v>
      </c>
      <c r="E14">
        <v>5.2932338895745019</v>
      </c>
    </row>
    <row r="15" spans="1:5">
      <c r="A15">
        <v>2003</v>
      </c>
      <c r="B15">
        <v>23.871867789880344</v>
      </c>
      <c r="E15">
        <v>5.2583570317111121</v>
      </c>
    </row>
    <row r="16" spans="1:5">
      <c r="A16">
        <v>2004</v>
      </c>
      <c r="B16">
        <v>23.67333798358105</v>
      </c>
      <c r="E16">
        <v>5.3307935826581527</v>
      </c>
    </row>
    <row r="17" spans="1:5">
      <c r="A17">
        <v>2005</v>
      </c>
      <c r="B17">
        <v>25.623759188710629</v>
      </c>
      <c r="E17">
        <v>5.4568868380104094</v>
      </c>
    </row>
    <row r="18" spans="1:5">
      <c r="A18">
        <v>2006</v>
      </c>
      <c r="B18">
        <v>24.843054139614743</v>
      </c>
      <c r="E18">
        <v>5.5561517411600576</v>
      </c>
    </row>
    <row r="19" spans="1:5">
      <c r="A19">
        <v>2007</v>
      </c>
      <c r="B19">
        <v>24.494285560980845</v>
      </c>
      <c r="E19">
        <v>5.4783495197724958</v>
      </c>
    </row>
    <row r="20" spans="1:5">
      <c r="A20">
        <v>2008</v>
      </c>
      <c r="B20">
        <v>24.547942265386059</v>
      </c>
      <c r="E20">
        <v>5.4193271449267586</v>
      </c>
    </row>
    <row r="21" spans="1:5">
      <c r="A21">
        <v>2009</v>
      </c>
      <c r="B21">
        <v>24.995975747169609</v>
      </c>
      <c r="E21">
        <v>5.3978644631646722</v>
      </c>
    </row>
    <row r="22" spans="1:5">
      <c r="A22">
        <v>2010</v>
      </c>
      <c r="B22">
        <v>28.872672640446424</v>
      </c>
      <c r="E22">
        <v>6.1383269839566461</v>
      </c>
    </row>
    <row r="23" spans="1:5">
      <c r="A23">
        <v>2011</v>
      </c>
      <c r="B23">
        <v>28.046359392606107</v>
      </c>
      <c r="E23">
        <v>7.0156141009819182</v>
      </c>
    </row>
    <row r="24" spans="1:5">
      <c r="A24">
        <v>2012</v>
      </c>
      <c r="B24">
        <v>28.124161613993667</v>
      </c>
      <c r="E24">
        <v>6.8546439877662708</v>
      </c>
    </row>
    <row r="25" spans="1:5">
      <c r="A25">
        <v>2013</v>
      </c>
      <c r="B25">
        <v>28.738530879433384</v>
      </c>
      <c r="E25">
        <v>5.1698234694425063</v>
      </c>
    </row>
    <row r="26" spans="1:5">
      <c r="A26">
        <v>2014</v>
      </c>
      <c r="B26">
        <v>28.486344368728872</v>
      </c>
      <c r="E26">
        <v>4.6949616354563499</v>
      </c>
    </row>
    <row r="27" spans="1:5">
      <c r="A27">
        <v>2015</v>
      </c>
      <c r="B27">
        <v>28.717068197671303</v>
      </c>
      <c r="E27">
        <v>4.4669206417341849</v>
      </c>
    </row>
    <row r="28" spans="1:5">
      <c r="A28">
        <v>2016</v>
      </c>
      <c r="B28">
        <v>27.520523689434992</v>
      </c>
      <c r="E28">
        <v>4.4132639373289697</v>
      </c>
    </row>
    <row r="29" spans="1:5">
      <c r="A29">
        <v>2017</v>
      </c>
      <c r="B29">
        <v>27.702956484412727</v>
      </c>
      <c r="E29">
        <v>4.5017974995975756</v>
      </c>
    </row>
    <row r="30" spans="1:5">
      <c r="A30">
        <v>2018</v>
      </c>
      <c r="B30">
        <v>26.943714117078926</v>
      </c>
      <c r="E30">
        <v>4.5017974995975756</v>
      </c>
    </row>
    <row r="31" spans="1:5">
      <c r="A31">
        <v>2019</v>
      </c>
      <c r="B31">
        <v>26.704941782475718</v>
      </c>
      <c r="E31">
        <v>4.5742340505446153</v>
      </c>
    </row>
    <row r="32" spans="1:5">
      <c r="A32">
        <v>2020</v>
      </c>
      <c r="B32">
        <v>25.846434511992275</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3"/>
  <sheetViews>
    <sheetView workbookViewId="0">
      <selection activeCell="B2" sqref="B2"/>
    </sheetView>
  </sheetViews>
  <sheetFormatPr baseColWidth="10" defaultColWidth="8.83203125" defaultRowHeight="15"/>
  <sheetData>
    <row r="1" spans="1:5">
      <c r="B1" t="s">
        <v>184</v>
      </c>
      <c r="C1" t="s">
        <v>188</v>
      </c>
      <c r="D1" t="s">
        <v>190</v>
      </c>
      <c r="E1" t="s">
        <v>196</v>
      </c>
    </row>
    <row r="2" spans="1:5">
      <c r="A2" t="s">
        <v>176</v>
      </c>
      <c r="B2" t="s">
        <v>337</v>
      </c>
      <c r="E2" t="s">
        <v>338</v>
      </c>
    </row>
    <row r="3" spans="1:5" ht="16">
      <c r="A3">
        <v>2000</v>
      </c>
      <c r="B3">
        <v>10351.0764090917</v>
      </c>
      <c r="C3" s="3"/>
      <c r="E3" s="41">
        <v>2773.9087386823398</v>
      </c>
    </row>
    <row r="4" spans="1:5">
      <c r="A4">
        <v>2001</v>
      </c>
      <c r="B4">
        <v>9866.3488428836899</v>
      </c>
      <c r="E4" s="41">
        <v>2928.8230456715701</v>
      </c>
    </row>
    <row r="5" spans="1:5">
      <c r="A5">
        <v>2002</v>
      </c>
      <c r="B5">
        <v>9828.3789110155994</v>
      </c>
      <c r="E5" s="41">
        <v>2839.615578167</v>
      </c>
    </row>
    <row r="6" spans="1:5">
      <c r="A6">
        <v>2003</v>
      </c>
      <c r="B6">
        <v>10237.2191670264</v>
      </c>
      <c r="E6" s="41">
        <v>2772.58314615476</v>
      </c>
    </row>
    <row r="7" spans="1:5">
      <c r="A7">
        <v>2004</v>
      </c>
      <c r="B7">
        <v>11502.3667861634</v>
      </c>
      <c r="E7" s="41">
        <v>2883.1146514796301</v>
      </c>
    </row>
    <row r="8" spans="1:5">
      <c r="A8">
        <v>2005</v>
      </c>
      <c r="B8">
        <v>12022.857035605</v>
      </c>
      <c r="E8" s="41">
        <v>3237.7352006186102</v>
      </c>
    </row>
    <row r="9" spans="1:5">
      <c r="A9">
        <v>2006</v>
      </c>
      <c r="B9">
        <v>12543.399838585501</v>
      </c>
      <c r="C9" t="s">
        <v>334</v>
      </c>
      <c r="E9" s="41">
        <v>3592.3557497575903</v>
      </c>
    </row>
    <row r="10" spans="1:5">
      <c r="A10">
        <v>2007</v>
      </c>
      <c r="B10">
        <v>13026.787289551199</v>
      </c>
      <c r="E10" s="41">
        <v>3946.9762988965699</v>
      </c>
    </row>
    <row r="11" spans="1:5">
      <c r="A11">
        <v>2008</v>
      </c>
      <c r="B11">
        <v>13249.404080406901</v>
      </c>
      <c r="E11" s="41">
        <v>4124.0656413781198</v>
      </c>
    </row>
    <row r="12" spans="1:5">
      <c r="A12">
        <v>2009</v>
      </c>
      <c r="B12">
        <v>13025.236960153099</v>
      </c>
      <c r="E12" s="41">
        <v>4234.58078136315</v>
      </c>
    </row>
    <row r="13" spans="1:5">
      <c r="A13">
        <v>2010</v>
      </c>
      <c r="B13">
        <v>13583.0402222264</v>
      </c>
      <c r="E13" s="41">
        <v>4034.3835790179996</v>
      </c>
    </row>
    <row r="14" spans="1:5">
      <c r="A14">
        <v>2011</v>
      </c>
      <c r="B14">
        <v>14066.2700125753</v>
      </c>
      <c r="E14" s="41">
        <v>4033.9417148421398</v>
      </c>
    </row>
    <row r="15" spans="1:5">
      <c r="A15">
        <v>2012</v>
      </c>
      <c r="B15">
        <v>14475.0577150472</v>
      </c>
      <c r="E15" s="41">
        <v>4055.6912514984501</v>
      </c>
    </row>
    <row r="16" spans="1:5">
      <c r="A16">
        <v>2013</v>
      </c>
      <c r="B16">
        <v>14809.429606411501</v>
      </c>
      <c r="E16" s="41">
        <v>4410.3118006374398</v>
      </c>
    </row>
    <row r="17" spans="1:5">
      <c r="A17">
        <v>2014</v>
      </c>
      <c r="B17">
        <v>15255.504044745499</v>
      </c>
      <c r="E17" s="41">
        <v>4676.1831117875499</v>
      </c>
    </row>
    <row r="18" spans="1:5">
      <c r="A18">
        <v>2015</v>
      </c>
      <c r="B18">
        <v>15664.3705775258</v>
      </c>
      <c r="E18" s="41">
        <v>4897.6552559334596</v>
      </c>
    </row>
    <row r="19" spans="1:5">
      <c r="A19">
        <v>2016</v>
      </c>
      <c r="B19">
        <v>16073.184556767199</v>
      </c>
      <c r="E19" s="41">
        <v>5052.5531975828408</v>
      </c>
    </row>
    <row r="20" spans="1:5">
      <c r="A20">
        <v>2017</v>
      </c>
      <c r="B20">
        <v>16593.7273597477</v>
      </c>
      <c r="E20" s="41">
        <v>5296.2167425609305</v>
      </c>
    </row>
    <row r="21" spans="1:5">
      <c r="A21">
        <v>2018</v>
      </c>
      <c r="B21">
        <v>17077.0097036355</v>
      </c>
      <c r="E21" s="41">
        <v>5673.0286925320897</v>
      </c>
    </row>
    <row r="22" spans="1:5">
      <c r="A22">
        <v>2019</v>
      </c>
      <c r="B22">
        <v>17448.642054092597</v>
      </c>
      <c r="E22" s="41">
        <v>6205.1804483284905</v>
      </c>
    </row>
    <row r="23" spans="1:5">
      <c r="A23">
        <v>2020</v>
      </c>
      <c r="B23">
        <v>16889.367292929597</v>
      </c>
      <c r="E23" s="41">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184</v>
      </c>
      <c r="C1" t="s">
        <v>188</v>
      </c>
      <c r="D1" t="s">
        <v>190</v>
      </c>
      <c r="E1" t="s">
        <v>196</v>
      </c>
    </row>
    <row r="2" spans="1:10">
      <c r="A2" t="s">
        <v>176</v>
      </c>
      <c r="B2" t="s">
        <v>339</v>
      </c>
      <c r="E2" t="s">
        <v>342</v>
      </c>
      <c r="H2" t="s">
        <v>341</v>
      </c>
      <c r="I2" t="s">
        <v>191</v>
      </c>
      <c r="J2" t="s">
        <v>340</v>
      </c>
    </row>
    <row r="3" spans="1:10">
      <c r="A3">
        <v>1990</v>
      </c>
      <c r="B3">
        <v>5403</v>
      </c>
      <c r="E3" s="41">
        <v>2290</v>
      </c>
    </row>
    <row r="4" spans="1:10">
      <c r="A4">
        <v>1991</v>
      </c>
      <c r="B4">
        <v>5255</v>
      </c>
      <c r="E4" s="41">
        <v>2276</v>
      </c>
    </row>
    <row r="5" spans="1:10">
      <c r="A5">
        <v>1992</v>
      </c>
      <c r="B5">
        <v>5279</v>
      </c>
      <c r="E5" s="41">
        <v>2468</v>
      </c>
    </row>
    <row r="6" spans="1:10">
      <c r="A6">
        <v>1993</v>
      </c>
      <c r="B6">
        <v>5224</v>
      </c>
      <c r="E6" s="41">
        <v>2811</v>
      </c>
    </row>
    <row r="7" spans="1:10">
      <c r="A7">
        <v>1994</v>
      </c>
      <c r="B7">
        <v>5486</v>
      </c>
      <c r="E7" s="41">
        <v>2773</v>
      </c>
    </row>
    <row r="8" spans="1:10">
      <c r="A8">
        <v>1995</v>
      </c>
      <c r="B8">
        <v>5870</v>
      </c>
      <c r="E8" s="41">
        <v>3022</v>
      </c>
    </row>
    <row r="9" spans="1:10">
      <c r="A9">
        <v>1996</v>
      </c>
      <c r="B9">
        <v>5975</v>
      </c>
      <c r="E9" s="41">
        <v>2841</v>
      </c>
    </row>
    <row r="10" spans="1:10">
      <c r="A10">
        <v>1997</v>
      </c>
      <c r="B10">
        <v>6053</v>
      </c>
      <c r="E10" s="41">
        <v>3006</v>
      </c>
    </row>
    <row r="11" spans="1:10">
      <c r="A11">
        <v>1998</v>
      </c>
      <c r="B11">
        <v>6067</v>
      </c>
      <c r="E11" s="41">
        <v>3032</v>
      </c>
    </row>
    <row r="12" spans="1:10">
      <c r="A12">
        <v>1999</v>
      </c>
      <c r="B12">
        <v>6242</v>
      </c>
      <c r="E12" s="41">
        <v>3322</v>
      </c>
    </row>
    <row r="13" spans="1:10">
      <c r="A13">
        <v>2000</v>
      </c>
      <c r="B13">
        <v>6508</v>
      </c>
      <c r="E13" s="41">
        <v>3596</v>
      </c>
    </row>
    <row r="14" spans="1:10">
      <c r="A14">
        <v>2001</v>
      </c>
      <c r="B14">
        <v>6482</v>
      </c>
      <c r="E14" s="41">
        <v>3584</v>
      </c>
    </row>
    <row r="15" spans="1:10">
      <c r="A15">
        <v>2002</v>
      </c>
      <c r="B15">
        <v>6647</v>
      </c>
      <c r="E15" s="41">
        <v>3846</v>
      </c>
    </row>
    <row r="16" spans="1:10">
      <c r="A16">
        <v>2003</v>
      </c>
      <c r="B16">
        <v>6826</v>
      </c>
      <c r="E16" s="41">
        <v>3649</v>
      </c>
    </row>
    <row r="17" spans="1:5">
      <c r="A17">
        <v>2004</v>
      </c>
      <c r="B17">
        <v>7141</v>
      </c>
      <c r="E17" s="41">
        <v>3746</v>
      </c>
    </row>
    <row r="18" spans="1:5">
      <c r="A18">
        <v>2005</v>
      </c>
      <c r="B18">
        <v>7652</v>
      </c>
      <c r="E18" s="41">
        <v>4316.50818139284</v>
      </c>
    </row>
    <row r="19" spans="1:5">
      <c r="A19">
        <v>2006</v>
      </c>
      <c r="B19" s="41">
        <v>8042.6223021582719</v>
      </c>
      <c r="E19" s="41">
        <v>4854.7482013480203</v>
      </c>
    </row>
    <row r="20" spans="1:5">
      <c r="A20">
        <v>2007</v>
      </c>
      <c r="B20" s="41">
        <v>8243.8446043165368</v>
      </c>
      <c r="E20" s="41">
        <v>5198.2613767341099</v>
      </c>
    </row>
    <row r="21" spans="1:5">
      <c r="A21">
        <v>2008</v>
      </c>
      <c r="B21" s="41">
        <v>9064.5039568345273</v>
      </c>
      <c r="E21" s="41">
        <v>5444.4611366192803</v>
      </c>
    </row>
    <row r="22" spans="1:5">
      <c r="A22">
        <v>2009</v>
      </c>
      <c r="B22" s="41">
        <v>9174.295683453227</v>
      </c>
      <c r="E22" s="41">
        <v>5812.6119620613499</v>
      </c>
    </row>
    <row r="23" spans="1:5">
      <c r="A23">
        <v>2010</v>
      </c>
      <c r="B23" s="41">
        <v>9810.2935251798444</v>
      </c>
      <c r="E23" s="41">
        <v>6083.0428684506496</v>
      </c>
    </row>
    <row r="24" spans="1:5">
      <c r="A24">
        <v>2011</v>
      </c>
      <c r="B24" s="41">
        <v>10504.199999999899</v>
      </c>
      <c r="E24" s="41">
        <v>5963.3187353952198</v>
      </c>
    </row>
    <row r="25" spans="1:5">
      <c r="A25">
        <v>2012</v>
      </c>
      <c r="B25" s="41">
        <v>10623.157194244588</v>
      </c>
      <c r="E25" s="41">
        <v>6209.4124508755604</v>
      </c>
    </row>
    <row r="26" spans="1:5">
      <c r="A26">
        <v>2013</v>
      </c>
      <c r="B26" s="41">
        <v>11329.666187050343</v>
      </c>
      <c r="E26" s="41">
        <v>6357.9806620453201</v>
      </c>
    </row>
    <row r="27" spans="1:5">
      <c r="A27">
        <v>2014</v>
      </c>
      <c r="B27" s="41">
        <v>11171.206834532331</v>
      </c>
      <c r="E27" s="41">
        <v>6335.9057517727697</v>
      </c>
    </row>
    <row r="28" spans="1:5">
      <c r="A28">
        <v>2015</v>
      </c>
      <c r="B28" s="41">
        <v>11190.713669064722</v>
      </c>
      <c r="E28" s="41">
        <v>6581.9287709832197</v>
      </c>
    </row>
    <row r="29" spans="1:5">
      <c r="A29">
        <v>2016</v>
      </c>
      <c r="B29" s="41">
        <v>11261.582374100692</v>
      </c>
      <c r="E29" s="41">
        <v>7169.52081815783</v>
      </c>
    </row>
    <row r="30" spans="1:5">
      <c r="A30">
        <v>2017</v>
      </c>
      <c r="B30">
        <v>12104</v>
      </c>
      <c r="E30" s="41">
        <v>7269.2732549698803</v>
      </c>
    </row>
    <row r="31" spans="1:5">
      <c r="A31">
        <v>2018</v>
      </c>
      <c r="B31">
        <v>12290</v>
      </c>
      <c r="E31" s="41">
        <v>7674</v>
      </c>
    </row>
    <row r="32" spans="1:5">
      <c r="A32">
        <v>2019</v>
      </c>
      <c r="B32">
        <v>12244</v>
      </c>
      <c r="E32" s="41">
        <v>7599</v>
      </c>
    </row>
    <row r="33" spans="1:5">
      <c r="A33">
        <v>2020</v>
      </c>
      <c r="B33">
        <v>11375</v>
      </c>
      <c r="E33" s="41">
        <v>7427</v>
      </c>
    </row>
    <row r="34" spans="1:5">
      <c r="A34">
        <v>2021</v>
      </c>
      <c r="B34">
        <v>12205</v>
      </c>
      <c r="E34" s="41">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1"/>
  <sheetViews>
    <sheetView workbookViewId="0">
      <selection sqref="A1:E22"/>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sqref="A1:E22"/>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184</v>
      </c>
      <c r="C1" t="s">
        <v>185</v>
      </c>
      <c r="D1" t="s">
        <v>188</v>
      </c>
      <c r="E1" t="s">
        <v>190</v>
      </c>
    </row>
    <row r="2" spans="1:5">
      <c r="A2" t="s">
        <v>176</v>
      </c>
      <c r="B2" t="s">
        <v>202</v>
      </c>
      <c r="C2" t="s">
        <v>203</v>
      </c>
      <c r="D2" t="s">
        <v>204</v>
      </c>
      <c r="E2" t="s">
        <v>205</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184</v>
      </c>
      <c r="C1" t="s">
        <v>188</v>
      </c>
      <c r="D1" t="s">
        <v>190</v>
      </c>
      <c r="E1" t="s">
        <v>185</v>
      </c>
    </row>
    <row r="2" spans="1:9">
      <c r="A2" t="s">
        <v>176</v>
      </c>
      <c r="B2" t="s">
        <v>187</v>
      </c>
      <c r="C2" t="s">
        <v>200</v>
      </c>
      <c r="D2" t="s">
        <v>189</v>
      </c>
      <c r="E2" t="s">
        <v>186</v>
      </c>
    </row>
    <row r="3" spans="1:9" ht="16">
      <c r="A3">
        <v>2001</v>
      </c>
      <c r="B3">
        <v>36692.949911590506</v>
      </c>
      <c r="C3">
        <v>1997.9905450000001</v>
      </c>
      <c r="D3">
        <v>24167.135874890071</v>
      </c>
      <c r="E3">
        <v>23586.24209233735</v>
      </c>
      <c r="I3" s="4"/>
    </row>
    <row r="4" spans="1:9" ht="16">
      <c r="A4">
        <v>2002</v>
      </c>
      <c r="B4">
        <v>37848.563480029639</v>
      </c>
      <c r="C4">
        <v>1842.596871</v>
      </c>
      <c r="D4">
        <v>25796.265334244981</v>
      </c>
      <c r="E4">
        <v>25194.165146347539</v>
      </c>
      <c r="I4" s="4"/>
    </row>
    <row r="5" spans="1:9" ht="16">
      <c r="A5">
        <v>2003</v>
      </c>
      <c r="B5">
        <v>39032.795796776976</v>
      </c>
      <c r="C5">
        <v>1835.3739820000001</v>
      </c>
      <c r="D5">
        <v>28039.01855706616</v>
      </c>
      <c r="E5">
        <v>27745.08599541587</v>
      </c>
      <c r="I5" s="4"/>
    </row>
    <row r="6" spans="1:9" ht="16">
      <c r="A6">
        <v>2004</v>
      </c>
      <c r="B6">
        <v>41805.11473666539</v>
      </c>
      <c r="C6">
        <v>1999.007353</v>
      </c>
      <c r="D6">
        <v>29971.20629725781</v>
      </c>
      <c r="E6">
        <v>30515.48678321252</v>
      </c>
      <c r="I6" s="4"/>
    </row>
    <row r="7" spans="1:9" ht="16">
      <c r="A7">
        <v>2005</v>
      </c>
      <c r="B7">
        <v>44267.889348260738</v>
      </c>
      <c r="C7">
        <v>1933.6908249999999</v>
      </c>
      <c r="D7">
        <v>32666.511542675049</v>
      </c>
      <c r="E7">
        <v>32643.722467116389</v>
      </c>
      <c r="I7" s="4"/>
    </row>
    <row r="8" spans="1:9" ht="16">
      <c r="A8">
        <v>2006</v>
      </c>
      <c r="B8">
        <v>47496.510431695337</v>
      </c>
      <c r="C8">
        <v>2554.8448189999999</v>
      </c>
      <c r="D8">
        <v>33941.411133336558</v>
      </c>
      <c r="E8">
        <v>34462.637786284176</v>
      </c>
      <c r="I8" s="4"/>
    </row>
    <row r="9" spans="1:9" ht="16">
      <c r="A9">
        <v>2007</v>
      </c>
      <c r="B9">
        <v>50523.975766098505</v>
      </c>
      <c r="C9">
        <v>2480.7119269999998</v>
      </c>
      <c r="D9">
        <v>38125.836811938731</v>
      </c>
      <c r="E9">
        <v>37969.643535283409</v>
      </c>
      <c r="I9" s="4"/>
    </row>
    <row r="10" spans="1:9" ht="16">
      <c r="A10">
        <v>2008</v>
      </c>
      <c r="B10">
        <v>51796.681981430542</v>
      </c>
      <c r="C10">
        <v>1928.688547</v>
      </c>
      <c r="D10">
        <v>40157.535936797438</v>
      </c>
      <c r="E10">
        <v>37362.88382821971</v>
      </c>
      <c r="I10" s="4"/>
    </row>
    <row r="11" spans="1:9" ht="16">
      <c r="A11">
        <v>2009</v>
      </c>
      <c r="B11">
        <v>47647.595349280331</v>
      </c>
      <c r="C11">
        <v>1462.735707</v>
      </c>
      <c r="D11">
        <v>37722.714939577898</v>
      </c>
      <c r="E11">
        <v>34310.548171226808</v>
      </c>
      <c r="I11" s="4"/>
    </row>
    <row r="12" spans="1:9" ht="16">
      <c r="A12">
        <v>2010</v>
      </c>
      <c r="B12">
        <v>56753.117543155669</v>
      </c>
      <c r="C12">
        <v>1760.3780730000001</v>
      </c>
      <c r="D12">
        <v>42037.512284553821</v>
      </c>
      <c r="E12">
        <v>40964.877386645618</v>
      </c>
      <c r="I12" s="4"/>
    </row>
    <row r="13" spans="1:9" ht="16">
      <c r="A13">
        <v>2011</v>
      </c>
      <c r="B13">
        <v>62002.864398770726</v>
      </c>
      <c r="C13">
        <v>1744.15533</v>
      </c>
      <c r="D13">
        <v>46046.389963577501</v>
      </c>
      <c r="E13">
        <v>44837.939514223071</v>
      </c>
      <c r="I13" s="4"/>
    </row>
    <row r="14" spans="1:9" ht="16">
      <c r="A14">
        <v>2012</v>
      </c>
      <c r="B14">
        <v>66078.322142422825</v>
      </c>
      <c r="C14">
        <v>1324.5091210000001</v>
      </c>
      <c r="D14">
        <v>47963.674854665776</v>
      </c>
      <c r="E14">
        <v>47385.393635782973</v>
      </c>
      <c r="I14" s="4"/>
    </row>
    <row r="15" spans="1:9" ht="16">
      <c r="A15">
        <v>2013</v>
      </c>
      <c r="B15">
        <v>70072.125266348477</v>
      </c>
      <c r="C15">
        <v>1079.9049930000001</v>
      </c>
      <c r="D15">
        <v>50607.084465954482</v>
      </c>
      <c r="E15">
        <v>50616.171567437828</v>
      </c>
      <c r="I15" s="4"/>
    </row>
    <row r="16" spans="1:9" ht="16">
      <c r="A16">
        <v>2014</v>
      </c>
      <c r="B16">
        <v>73716.033463737695</v>
      </c>
      <c r="C16">
        <v>1153.3966969999999</v>
      </c>
      <c r="D16">
        <v>54162.389639146997</v>
      </c>
      <c r="E16">
        <v>54441.448371809187</v>
      </c>
      <c r="I16" s="4"/>
    </row>
    <row r="17" spans="1:9" ht="16">
      <c r="A17">
        <v>2015</v>
      </c>
      <c r="B17">
        <v>76701.865604324368</v>
      </c>
      <c r="C17">
        <v>1533.278067</v>
      </c>
      <c r="D17">
        <v>57059.219971922008</v>
      </c>
      <c r="E17">
        <v>56457.355204526582</v>
      </c>
      <c r="I17" s="4"/>
    </row>
    <row r="18" spans="1:9" ht="16">
      <c r="A18">
        <v>2016</v>
      </c>
      <c r="B18">
        <v>80735.380132877632</v>
      </c>
      <c r="C18">
        <v>1533.1627209999999</v>
      </c>
      <c r="D18">
        <v>58985.576857823617</v>
      </c>
      <c r="E18">
        <v>59840.904293387277</v>
      </c>
      <c r="I18" s="4"/>
    </row>
    <row r="19" spans="1:9" ht="16">
      <c r="A19">
        <v>2017</v>
      </c>
      <c r="B19">
        <v>84891.170758308959</v>
      </c>
      <c r="C19">
        <v>1776.4595509999999</v>
      </c>
      <c r="D19">
        <v>63536.365395741508</v>
      </c>
      <c r="E19">
        <v>63286.825501539977</v>
      </c>
      <c r="I19" s="4"/>
    </row>
    <row r="20" spans="1:9" ht="16">
      <c r="A20">
        <v>2018</v>
      </c>
      <c r="B20">
        <v>86886.090340495837</v>
      </c>
      <c r="C20">
        <v>1687.8842059999999</v>
      </c>
      <c r="D20">
        <v>63966.904071947458</v>
      </c>
      <c r="E20">
        <v>65227.740682118529</v>
      </c>
      <c r="I20" s="4"/>
    </row>
    <row r="21" spans="1:9" ht="16">
      <c r="A21">
        <v>2019</v>
      </c>
      <c r="B21">
        <f>B20*E21/E20</f>
        <v>85768.388145129153</v>
      </c>
      <c r="C21">
        <v>1689.1425320000001</v>
      </c>
      <c r="D21">
        <v>67223.3764402956</v>
      </c>
      <c r="E21">
        <v>64388.651379406132</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184</v>
      </c>
      <c r="C1" t="s">
        <v>188</v>
      </c>
      <c r="D1" t="s">
        <v>190</v>
      </c>
      <c r="E1" t="s">
        <v>196</v>
      </c>
      <c r="F1" t="s">
        <v>191</v>
      </c>
      <c r="G1" t="s">
        <v>199</v>
      </c>
    </row>
    <row r="2" spans="1:14">
      <c r="A2" t="s">
        <v>176</v>
      </c>
      <c r="B2" s="1" t="s">
        <v>193</v>
      </c>
      <c r="C2" t="s">
        <v>198</v>
      </c>
      <c r="D2" s="1" t="s">
        <v>195</v>
      </c>
      <c r="F2" s="1" t="s">
        <v>192</v>
      </c>
      <c r="G2" t="s">
        <v>194</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184</v>
      </c>
      <c r="C1" t="s">
        <v>188</v>
      </c>
      <c r="D1" t="s">
        <v>190</v>
      </c>
      <c r="E1" t="s">
        <v>196</v>
      </c>
      <c r="F1" t="s">
        <v>191</v>
      </c>
      <c r="G1" t="s">
        <v>199</v>
      </c>
      <c r="H1" t="s">
        <v>324</v>
      </c>
      <c r="L1" t="s">
        <v>188</v>
      </c>
      <c r="M1" t="s">
        <v>188</v>
      </c>
      <c r="Q1" t="s">
        <v>321</v>
      </c>
    </row>
    <row r="2" spans="1:17">
      <c r="A2" t="s">
        <v>176</v>
      </c>
      <c r="B2" s="1" t="s">
        <v>323</v>
      </c>
      <c r="C2" t="s">
        <v>320</v>
      </c>
      <c r="D2" s="1" t="s">
        <v>201</v>
      </c>
      <c r="E2" t="s">
        <v>322</v>
      </c>
      <c r="F2" t="s">
        <v>322</v>
      </c>
      <c r="H2" t="s">
        <v>325</v>
      </c>
      <c r="L2" t="s">
        <v>320</v>
      </c>
      <c r="M2" s="39"/>
      <c r="Q2" t="s">
        <v>320</v>
      </c>
    </row>
    <row r="3" spans="1:17">
      <c r="A3">
        <v>2001</v>
      </c>
      <c r="B3" s="39">
        <v>3.7280000000000002</v>
      </c>
      <c r="C3">
        <v>32158607.714417279</v>
      </c>
      <c r="D3">
        <v>2.56</v>
      </c>
      <c r="E3">
        <v>0.94684931506849312</v>
      </c>
      <c r="F3">
        <v>3.506849315068493</v>
      </c>
      <c r="H3" s="39">
        <v>3.7280000000000002</v>
      </c>
      <c r="L3">
        <v>13566761.083007999</v>
      </c>
      <c r="M3">
        <v>384.62169599999999</v>
      </c>
      <c r="Q3">
        <v>11873993.704704</v>
      </c>
    </row>
    <row r="4" spans="1:17">
      <c r="A4">
        <v>2002</v>
      </c>
      <c r="B4" s="39">
        <v>3.3620000000000001</v>
      </c>
      <c r="C4">
        <v>34756129.686718091</v>
      </c>
      <c r="D4">
        <v>2.5499999999999998</v>
      </c>
      <c r="E4">
        <v>1.0415492957746479</v>
      </c>
      <c r="F4">
        <v>3.591549295774648</v>
      </c>
      <c r="H4" s="39">
        <v>3.3620000000000001</v>
      </c>
      <c r="L4">
        <v>15261925.167299999</v>
      </c>
      <c r="M4" s="39">
        <v>432.68009999999998</v>
      </c>
      <c r="Q4">
        <v>13567145.704704</v>
      </c>
    </row>
    <row r="5" spans="1:17">
      <c r="A5">
        <v>2003</v>
      </c>
      <c r="B5" s="39">
        <v>3.206</v>
      </c>
      <c r="C5">
        <v>38240248.805773944</v>
      </c>
      <c r="D5">
        <v>2.54</v>
      </c>
      <c r="E5">
        <v>1.0885714285714287</v>
      </c>
      <c r="F5">
        <v>3.628571428571429</v>
      </c>
      <c r="H5" s="39">
        <v>3.206</v>
      </c>
      <c r="L5">
        <v>17508670.647999998</v>
      </c>
      <c r="M5" s="39">
        <v>496.37599999999998</v>
      </c>
      <c r="Q5">
        <v>15252034.346915999</v>
      </c>
    </row>
    <row r="6" spans="1:17">
      <c r="A6">
        <v>2004</v>
      </c>
      <c r="B6" s="39">
        <v>3.512</v>
      </c>
      <c r="C6">
        <v>33392445.494627818</v>
      </c>
      <c r="D6">
        <v>2.42</v>
      </c>
      <c r="E6">
        <v>1.0371428571428571</v>
      </c>
      <c r="F6">
        <v>3.4571428571428573</v>
      </c>
      <c r="H6" s="39">
        <v>3.512</v>
      </c>
      <c r="L6">
        <v>19169570.399</v>
      </c>
      <c r="M6" s="39">
        <v>543.46299999999997</v>
      </c>
      <c r="Q6">
        <v>15749019.786006</v>
      </c>
    </row>
    <row r="7" spans="1:17">
      <c r="A7">
        <v>2005</v>
      </c>
      <c r="B7" s="39">
        <v>3.7450000000000001</v>
      </c>
      <c r="C7">
        <v>33248775.81758856</v>
      </c>
      <c r="D7">
        <v>2.48</v>
      </c>
      <c r="E7">
        <v>0.91726027397260279</v>
      </c>
      <c r="F7">
        <v>3.397260273972603</v>
      </c>
      <c r="H7" s="39">
        <v>3.7450000000000001</v>
      </c>
      <c r="L7">
        <v>20163133.2084</v>
      </c>
      <c r="M7" s="39">
        <v>571.63080000000002</v>
      </c>
      <c r="Q7">
        <v>15122391.179784</v>
      </c>
    </row>
    <row r="8" spans="1:17">
      <c r="A8">
        <v>2006</v>
      </c>
      <c r="B8" s="39">
        <v>3.4239999999999999</v>
      </c>
      <c r="C8">
        <v>30743276.91313928</v>
      </c>
      <c r="D8">
        <v>2.37</v>
      </c>
      <c r="E8">
        <v>1.2761538461538462</v>
      </c>
      <c r="F8">
        <v>3.6461538461538461</v>
      </c>
      <c r="H8" s="39">
        <v>3.4239999999999999</v>
      </c>
      <c r="L8">
        <v>26549874.226400003</v>
      </c>
      <c r="M8" s="39">
        <v>752.69680000000005</v>
      </c>
      <c r="Q8">
        <v>20608702.998528</v>
      </c>
    </row>
    <row r="9" spans="1:17">
      <c r="A9">
        <v>2007</v>
      </c>
      <c r="B9" s="39">
        <v>3.552</v>
      </c>
      <c r="C9">
        <v>30864252.603043139</v>
      </c>
      <c r="D9">
        <v>2.35</v>
      </c>
      <c r="E9">
        <v>1.1574626865671642</v>
      </c>
      <c r="F9">
        <v>3.5074626865671643</v>
      </c>
      <c r="H9" s="39">
        <v>3.552</v>
      </c>
      <c r="L9">
        <v>29720363.140299998</v>
      </c>
      <c r="M9" s="39">
        <v>842.58109999999999</v>
      </c>
      <c r="Q9">
        <v>23289317.400419999</v>
      </c>
    </row>
    <row r="10" spans="1:17">
      <c r="A10">
        <v>2008</v>
      </c>
      <c r="B10" s="39">
        <v>3.806</v>
      </c>
      <c r="C10">
        <v>35319609.12352629</v>
      </c>
      <c r="D10">
        <v>2.2799999999999998</v>
      </c>
      <c r="E10">
        <v>1.4577049180327868</v>
      </c>
      <c r="F10">
        <v>3.7377049180327866</v>
      </c>
      <c r="H10" s="39">
        <v>3.806</v>
      </c>
      <c r="L10">
        <v>35897191.008000001</v>
      </c>
      <c r="M10" s="39">
        <v>1017.696</v>
      </c>
      <c r="Q10">
        <v>26830921.217274003</v>
      </c>
    </row>
    <row r="11" spans="1:17">
      <c r="A11">
        <v>2009</v>
      </c>
      <c r="B11" s="39">
        <v>3.6116350000000002</v>
      </c>
      <c r="C11">
        <v>38898966.518224157</v>
      </c>
      <c r="D11">
        <v>2.46</v>
      </c>
      <c r="E11">
        <v>1.7813793103448277</v>
      </c>
      <c r="F11">
        <v>4.2413793103448274</v>
      </c>
      <c r="H11" s="39">
        <v>3.6116350000000002</v>
      </c>
      <c r="L11">
        <v>40098416.945999995</v>
      </c>
      <c r="M11" s="39">
        <v>1136.8019999999999</v>
      </c>
      <c r="Q11">
        <v>35094737.355630003</v>
      </c>
    </row>
    <row r="12" spans="1:17">
      <c r="A12">
        <v>2010</v>
      </c>
      <c r="B12" s="39">
        <v>4.1711999999999998</v>
      </c>
      <c r="C12">
        <v>37588090.75913588</v>
      </c>
      <c r="D12">
        <v>2.7545000000000002</v>
      </c>
      <c r="E12">
        <v>1.6710719654124919</v>
      </c>
      <c r="F12">
        <v>4.4255719654124919</v>
      </c>
      <c r="H12" s="39">
        <v>4.1711999999999998</v>
      </c>
      <c r="L12">
        <v>49760044.376000002</v>
      </c>
      <c r="M12" s="39">
        <v>1410.712</v>
      </c>
      <c r="Q12">
        <v>42975239.260650001</v>
      </c>
    </row>
    <row r="13" spans="1:17">
      <c r="A13">
        <v>2011</v>
      </c>
      <c r="B13" s="39">
        <v>4.7247000000000003</v>
      </c>
      <c r="C13">
        <v>30235459.474326681</v>
      </c>
      <c r="D13">
        <v>2.8769</v>
      </c>
      <c r="E13">
        <v>1.6260682952887595</v>
      </c>
      <c r="F13">
        <v>4.5029682952887597</v>
      </c>
      <c r="H13" s="39">
        <v>4.7247000000000003</v>
      </c>
      <c r="L13">
        <v>61920552.217999995</v>
      </c>
      <c r="M13" s="39">
        <v>1755.4659999999999</v>
      </c>
      <c r="Q13">
        <v>53778977.547102004</v>
      </c>
    </row>
    <row r="14" spans="1:17">
      <c r="A14">
        <v>2012</v>
      </c>
      <c r="B14" s="39">
        <v>4.6726999999999999</v>
      </c>
      <c r="C14">
        <v>34760511.443366013</v>
      </c>
      <c r="D14">
        <v>2.9571999999999998</v>
      </c>
      <c r="E14">
        <v>1.636490651685955</v>
      </c>
      <c r="F14">
        <v>4.5936906516859546</v>
      </c>
      <c r="H14" s="39">
        <v>4.6726999999999999</v>
      </c>
      <c r="L14">
        <v>64372413.721000001</v>
      </c>
      <c r="M14" s="39">
        <v>1824.9770000000001</v>
      </c>
      <c r="Q14">
        <v>56518569.477336004</v>
      </c>
    </row>
    <row r="15" spans="1:17">
      <c r="A15">
        <v>2013</v>
      </c>
      <c r="B15" s="39">
        <v>4.5137</v>
      </c>
      <c r="C15">
        <v>36919530.56733261</v>
      </c>
      <c r="D15">
        <v>3.1667999999999998</v>
      </c>
      <c r="E15">
        <v>1.1952304507245022</v>
      </c>
      <c r="F15">
        <v>4.362030450724502</v>
      </c>
      <c r="H15" s="39">
        <v>4.5137</v>
      </c>
      <c r="L15">
        <v>53626494.270999998</v>
      </c>
      <c r="M15" s="39">
        <v>1520.327</v>
      </c>
      <c r="Q15">
        <v>45537007.619892001</v>
      </c>
    </row>
    <row r="16" spans="1:17">
      <c r="A16">
        <v>2014</v>
      </c>
      <c r="B16" s="39">
        <v>4.4260999999999999</v>
      </c>
      <c r="C16">
        <v>39607390.179120421</v>
      </c>
      <c r="D16">
        <v>3.2705000000000002</v>
      </c>
      <c r="E16">
        <v>1.1295000626595046</v>
      </c>
      <c r="F16">
        <v>4.4000000626595046</v>
      </c>
      <c r="H16" s="39">
        <v>4.4260999999999999</v>
      </c>
      <c r="L16">
        <v>47384090.369000003</v>
      </c>
      <c r="M16" s="39">
        <v>1343.3530000000001</v>
      </c>
      <c r="Q16">
        <v>39909789.610542007</v>
      </c>
    </row>
    <row r="17" spans="1:17">
      <c r="A17">
        <v>2015</v>
      </c>
      <c r="B17" s="39">
        <v>4.3685</v>
      </c>
      <c r="C17">
        <v>42508448.15397431</v>
      </c>
      <c r="D17">
        <v>3.3662999999999998</v>
      </c>
      <c r="E17">
        <v>1.0668016412034791</v>
      </c>
      <c r="F17">
        <v>4.4331016412034785</v>
      </c>
      <c r="H17" s="39">
        <v>4.3685</v>
      </c>
      <c r="L17">
        <v>43305191.195</v>
      </c>
      <c r="M17" s="39">
        <v>1227.7149999999999</v>
      </c>
      <c r="Q17">
        <v>40209714.238356002</v>
      </c>
    </row>
    <row r="18" spans="1:17">
      <c r="A18">
        <v>2016</v>
      </c>
      <c r="B18" s="39">
        <v>4.3914</v>
      </c>
      <c r="C18">
        <v>42548544.823638499</v>
      </c>
      <c r="D18">
        <v>3.5173000000000001</v>
      </c>
      <c r="E18">
        <v>1.2321408911587837</v>
      </c>
      <c r="F18">
        <v>4.749440891158784</v>
      </c>
      <c r="H18" s="39">
        <v>4.3914</v>
      </c>
      <c r="L18">
        <v>46124315.173999995</v>
      </c>
      <c r="M18" s="39">
        <v>1307.6379999999999</v>
      </c>
      <c r="Q18">
        <v>43624963.306727998</v>
      </c>
    </row>
    <row r="19" spans="1:17">
      <c r="A19">
        <v>2017</v>
      </c>
      <c r="B19" s="39">
        <v>4.2782999999999998</v>
      </c>
      <c r="C19">
        <v>42679109.372038342</v>
      </c>
      <c r="D19">
        <v>3.5678000000000001</v>
      </c>
      <c r="E19">
        <v>1.112318600152481</v>
      </c>
      <c r="F19">
        <v>4.6801186001524808</v>
      </c>
      <c r="H19" s="39">
        <v>4.2782999999999998</v>
      </c>
      <c r="L19">
        <v>45451976.520999998</v>
      </c>
      <c r="M19" s="39">
        <v>1288.577</v>
      </c>
      <c r="Q19">
        <v>42306183.016679995</v>
      </c>
    </row>
    <row r="20" spans="1:17">
      <c r="A20">
        <v>2018</v>
      </c>
      <c r="B20" s="39">
        <v>4.4542999999999999</v>
      </c>
      <c r="C20">
        <v>45655005.588163659</v>
      </c>
      <c r="D20">
        <v>3.6536</v>
      </c>
      <c r="E20">
        <v>1.1317010124660076</v>
      </c>
      <c r="F20">
        <v>4.7853010124660074</v>
      </c>
      <c r="H20" s="39">
        <v>4.4542999999999999</v>
      </c>
      <c r="L20">
        <v>44895298.035000004</v>
      </c>
      <c r="M20" s="39">
        <v>1272.7950000000001</v>
      </c>
      <c r="Q20">
        <v>40434691.598711997</v>
      </c>
    </row>
    <row r="21" spans="1:17">
      <c r="A21">
        <v>2019</v>
      </c>
      <c r="B21" s="39">
        <v>4.3593999999999999</v>
      </c>
      <c r="C21">
        <f t="shared" ref="C21" si="0">M21*35273</f>
        <v>52976451.681300007</v>
      </c>
      <c r="D21">
        <v>3.5962000000000001</v>
      </c>
      <c r="E21">
        <v>1.2756181422894106</v>
      </c>
      <c r="F21">
        <v>4.8718181422894107</v>
      </c>
      <c r="H21" s="39">
        <v>4.3593999999999999</v>
      </c>
      <c r="L21">
        <v>52976451.681300007</v>
      </c>
      <c r="M21">
        <f>M20+(M20*0.18)</f>
        <v>1501.8981000000001</v>
      </c>
      <c r="Q21">
        <v>47712936.086480156</v>
      </c>
    </row>
    <row r="22" spans="1:17" ht="19">
      <c r="H22" s="38"/>
    </row>
    <row r="23" spans="1:17" ht="19">
      <c r="C23" s="40"/>
      <c r="H23" s="38"/>
    </row>
    <row r="24" spans="1:17" ht="19">
      <c r="C24" s="40"/>
      <c r="H24" s="38"/>
    </row>
    <row r="25" spans="1:17" ht="19">
      <c r="C25" s="40"/>
      <c r="H25" s="38"/>
    </row>
    <row r="26" spans="1:17">
      <c r="C26" s="40"/>
    </row>
    <row r="27" spans="1:17">
      <c r="C27" s="40"/>
    </row>
    <row r="28" spans="1:17">
      <c r="C28" s="40"/>
    </row>
    <row r="29" spans="1:17">
      <c r="C29" s="40"/>
    </row>
    <row r="30" spans="1:17">
      <c r="C30" s="40"/>
    </row>
    <row r="31" spans="1:17">
      <c r="C31" s="40"/>
    </row>
    <row r="32" spans="1:17">
      <c r="C32" s="40"/>
    </row>
    <row r="33" spans="3:3">
      <c r="C33" s="40"/>
    </row>
    <row r="34" spans="3:3">
      <c r="C34" s="40"/>
    </row>
    <row r="35" spans="3:3">
      <c r="C35" s="40"/>
    </row>
    <row r="36" spans="3:3">
      <c r="C36" s="40"/>
    </row>
    <row r="37" spans="3:3">
      <c r="C37" s="40"/>
    </row>
    <row r="38" spans="3:3">
      <c r="C38" s="40"/>
    </row>
    <row r="39" spans="3:3">
      <c r="C39" s="40"/>
    </row>
    <row r="40" spans="3:3">
      <c r="C40" s="40"/>
    </row>
    <row r="41" spans="3:3">
      <c r="C41"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16" sqref="D16"/>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B32" sqref="B32"/>
    </sheetView>
  </sheetViews>
  <sheetFormatPr baseColWidth="10" defaultColWidth="8.83203125" defaultRowHeight="15"/>
  <sheetData>
    <row r="1" spans="1:5">
      <c r="B1" t="s">
        <v>184</v>
      </c>
      <c r="C1" t="s">
        <v>188</v>
      </c>
      <c r="D1" t="s">
        <v>190</v>
      </c>
      <c r="E1" t="s">
        <v>196</v>
      </c>
    </row>
    <row r="2" spans="1:5">
      <c r="A2" t="s">
        <v>176</v>
      </c>
      <c r="B2" s="1" t="s">
        <v>332</v>
      </c>
      <c r="D2" s="1"/>
    </row>
    <row r="3" spans="1:5">
      <c r="A3">
        <v>1990</v>
      </c>
      <c r="B3">
        <v>227.46799999999999</v>
      </c>
      <c r="D3" s="1"/>
    </row>
    <row r="4" spans="1:5">
      <c r="A4">
        <v>1991</v>
      </c>
      <c r="B4">
        <v>203.57</v>
      </c>
      <c r="D4" s="1"/>
    </row>
    <row r="5" spans="1:5">
      <c r="A5">
        <v>1992</v>
      </c>
      <c r="B5">
        <v>203.13800000000001</v>
      </c>
      <c r="D5" s="1"/>
    </row>
    <row r="6" spans="1:5">
      <c r="A6">
        <v>1993</v>
      </c>
      <c r="B6">
        <v>197.32599999999999</v>
      </c>
      <c r="D6" s="1"/>
    </row>
    <row r="7" spans="1:5">
      <c r="A7">
        <v>1994</v>
      </c>
      <c r="B7">
        <v>231.25700000000001</v>
      </c>
      <c r="D7" s="1"/>
    </row>
    <row r="8" spans="1:5">
      <c r="A8">
        <v>1995</v>
      </c>
      <c r="B8">
        <v>219.834</v>
      </c>
      <c r="D8" s="1"/>
    </row>
    <row r="9" spans="1:5">
      <c r="A9">
        <v>1996</v>
      </c>
      <c r="B9">
        <v>230.744</v>
      </c>
      <c r="D9" s="1"/>
    </row>
    <row r="10" spans="1:5">
      <c r="A10">
        <v>1997</v>
      </c>
      <c r="B10">
        <v>238.179</v>
      </c>
      <c r="D10" s="1"/>
    </row>
    <row r="11" spans="1:5">
      <c r="A11">
        <v>1998</v>
      </c>
      <c r="B11">
        <v>237.03</v>
      </c>
      <c r="D11" s="1"/>
    </row>
    <row r="12" spans="1:5">
      <c r="A12">
        <v>1999</v>
      </c>
      <c r="B12">
        <v>248.10300000000001</v>
      </c>
      <c r="D12" s="1"/>
    </row>
    <row r="13" spans="1:5">
      <c r="A13">
        <v>2000</v>
      </c>
      <c r="B13">
        <v>260.66899999999998</v>
      </c>
      <c r="D13" s="1"/>
    </row>
    <row r="14" spans="1:5" ht="16">
      <c r="A14">
        <v>2001</v>
      </c>
      <c r="B14">
        <v>280.69499999999999</v>
      </c>
      <c r="C14" s="3"/>
    </row>
    <row r="15" spans="1:5">
      <c r="A15">
        <v>2002</v>
      </c>
      <c r="B15">
        <v>264.428</v>
      </c>
    </row>
    <row r="16" spans="1:5">
      <c r="A16">
        <v>2003</v>
      </c>
      <c r="B16">
        <v>275.28199999999998</v>
      </c>
    </row>
    <row r="17" spans="1:2">
      <c r="A17">
        <v>2004</v>
      </c>
      <c r="B17">
        <v>313.08999999999997</v>
      </c>
    </row>
    <row r="18" spans="1:2">
      <c r="A18">
        <v>2005</v>
      </c>
      <c r="B18">
        <v>333.6</v>
      </c>
    </row>
    <row r="19" spans="1:2">
      <c r="A19">
        <v>2006</v>
      </c>
      <c r="B19">
        <v>327.00200000000001</v>
      </c>
    </row>
    <row r="20" spans="1:2">
      <c r="A20">
        <v>2007</v>
      </c>
      <c r="B20">
        <v>335.40800000000002</v>
      </c>
    </row>
    <row r="21" spans="1:2">
      <c r="A21">
        <v>2008</v>
      </c>
      <c r="B21">
        <v>326.262</v>
      </c>
    </row>
    <row r="22" spans="1:2">
      <c r="A22">
        <v>2009</v>
      </c>
      <c r="B22">
        <v>318.16300000000001</v>
      </c>
    </row>
    <row r="23" spans="1:2">
      <c r="A23">
        <v>2010</v>
      </c>
      <c r="B23">
        <v>351.84800000000001</v>
      </c>
    </row>
    <row r="24" spans="1:2">
      <c r="A24">
        <v>2011</v>
      </c>
      <c r="B24">
        <v>364.58600000000001</v>
      </c>
    </row>
    <row r="25" spans="1:2">
      <c r="A25">
        <v>2012</v>
      </c>
      <c r="B25">
        <v>357.89600000000002</v>
      </c>
    </row>
    <row r="26" spans="1:2">
      <c r="A26">
        <v>2013</v>
      </c>
      <c r="B26">
        <v>346.137</v>
      </c>
    </row>
    <row r="27" spans="1:2">
      <c r="A27">
        <v>2014</v>
      </c>
      <c r="B27">
        <v>391.78300000000002</v>
      </c>
    </row>
    <row r="28" spans="1:2">
      <c r="A28">
        <v>2015</v>
      </c>
      <c r="B28">
        <v>348.48</v>
      </c>
    </row>
    <row r="29" spans="1:2">
      <c r="A29">
        <v>2016</v>
      </c>
      <c r="B29">
        <v>362.06099999999998</v>
      </c>
    </row>
    <row r="30" spans="1:2">
      <c r="A30">
        <v>2017</v>
      </c>
      <c r="B30">
        <v>369.08800000000002</v>
      </c>
    </row>
    <row r="31" spans="1:2">
      <c r="A31">
        <v>2018</v>
      </c>
      <c r="B31">
        <v>373.03500000000003</v>
      </c>
    </row>
    <row r="32" spans="1:2">
      <c r="A32">
        <v>2019</v>
      </c>
      <c r="B32">
        <v>371.81700000000001</v>
      </c>
    </row>
    <row r="33" spans="1:2">
      <c r="A33">
        <v>2020</v>
      </c>
      <c r="B33">
        <v>367.46699999999998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B8" sqref="B8"/>
    </sheetView>
  </sheetViews>
  <sheetFormatPr baseColWidth="10" defaultColWidth="8.83203125" defaultRowHeight="15"/>
  <sheetData>
    <row r="1" spans="1:5">
      <c r="B1" t="s">
        <v>184</v>
      </c>
      <c r="C1" t="s">
        <v>188</v>
      </c>
      <c r="D1" t="s">
        <v>190</v>
      </c>
      <c r="E1" t="s">
        <v>196</v>
      </c>
    </row>
    <row r="2" spans="1:5">
      <c r="A2" t="s">
        <v>176</v>
      </c>
      <c r="B2" t="s">
        <v>197</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2"/>
  <sheetViews>
    <sheetView topLeftCell="A45" workbookViewId="0">
      <selection activeCell="J15" sqref="J15"/>
    </sheetView>
  </sheetViews>
  <sheetFormatPr baseColWidth="10" defaultColWidth="8.83203125" defaultRowHeight="15"/>
  <sheetData>
    <row r="1" spans="1:5">
      <c r="B1" t="s">
        <v>184</v>
      </c>
      <c r="C1" t="s">
        <v>188</v>
      </c>
      <c r="D1" t="s">
        <v>190</v>
      </c>
      <c r="E1" t="s">
        <v>196</v>
      </c>
    </row>
    <row r="2" spans="1:5">
      <c r="A2" t="s">
        <v>176</v>
      </c>
      <c r="B2" t="s">
        <v>330</v>
      </c>
      <c r="D2" t="s">
        <v>333</v>
      </c>
      <c r="E2" t="s">
        <v>329</v>
      </c>
    </row>
    <row r="3" spans="1:5" ht="16">
      <c r="A3">
        <v>1950</v>
      </c>
      <c r="C3" s="3"/>
      <c r="D3" s="41">
        <v>2385.7328498409602</v>
      </c>
    </row>
    <row r="4" spans="1:5">
      <c r="A4">
        <v>1951</v>
      </c>
      <c r="D4" s="41">
        <v>2491.7023564716101</v>
      </c>
    </row>
    <row r="5" spans="1:5">
      <c r="A5">
        <v>1952</v>
      </c>
      <c r="D5" s="41">
        <v>2565.8650655053102</v>
      </c>
    </row>
    <row r="6" spans="1:5">
      <c r="A6">
        <v>1953</v>
      </c>
      <c r="D6" s="41">
        <v>2586.99455908245</v>
      </c>
    </row>
    <row r="7" spans="1:5">
      <c r="A7">
        <v>1954</v>
      </c>
      <c r="D7" s="41">
        <v>2639.9402300258098</v>
      </c>
    </row>
    <row r="8" spans="1:5">
      <c r="A8">
        <v>1955</v>
      </c>
      <c r="D8" s="41">
        <v>2926.20140839841</v>
      </c>
    </row>
    <row r="9" spans="1:5">
      <c r="A9">
        <v>1956</v>
      </c>
      <c r="D9" s="41">
        <v>3212.4719665402799</v>
      </c>
    </row>
    <row r="10" spans="1:5">
      <c r="A10">
        <v>1957</v>
      </c>
      <c r="D10" s="41">
        <v>3286.6284223944599</v>
      </c>
    </row>
    <row r="11" spans="1:5">
      <c r="A11">
        <v>1958</v>
      </c>
      <c r="D11" s="41">
        <v>3191.10172555186</v>
      </c>
    </row>
    <row r="12" spans="1:5">
      <c r="A12">
        <v>1959</v>
      </c>
      <c r="D12" s="41">
        <v>3445.5498531479898</v>
      </c>
    </row>
    <row r="13" spans="1:5">
      <c r="A13">
        <v>1960</v>
      </c>
      <c r="B13">
        <v>5790.4642289348103</v>
      </c>
      <c r="D13" s="41">
        <v>3924</v>
      </c>
    </row>
    <row r="14" spans="1:5">
      <c r="A14">
        <v>1961</v>
      </c>
      <c r="B14">
        <v>6290.0635930047702</v>
      </c>
      <c r="D14" s="41">
        <v>4081</v>
      </c>
    </row>
    <row r="15" spans="1:5">
      <c r="A15">
        <v>1962</v>
      </c>
      <c r="B15">
        <v>6288.0635930047702</v>
      </c>
      <c r="D15" s="41">
        <v>4216</v>
      </c>
    </row>
    <row r="16" spans="1:5">
      <c r="A16">
        <v>1963</v>
      </c>
      <c r="B16">
        <v>6711.4467408585006</v>
      </c>
      <c r="D16" s="41">
        <v>4286</v>
      </c>
    </row>
    <row r="17" spans="1:4">
      <c r="A17">
        <v>1964</v>
      </c>
      <c r="B17">
        <v>7820.1192368839402</v>
      </c>
      <c r="D17" s="41">
        <v>4443</v>
      </c>
    </row>
    <row r="18" spans="1:4">
      <c r="A18">
        <v>1965</v>
      </c>
      <c r="B18">
        <v>8056.2750397456202</v>
      </c>
      <c r="D18" s="41">
        <v>4769</v>
      </c>
    </row>
    <row r="19" spans="1:4">
      <c r="A19">
        <v>1966</v>
      </c>
      <c r="B19">
        <v>8320.9936406995203</v>
      </c>
      <c r="D19" s="41">
        <v>4987</v>
      </c>
    </row>
    <row r="20" spans="1:4">
      <c r="A20">
        <v>1967</v>
      </c>
      <c r="B20">
        <v>7994.6820349761501</v>
      </c>
      <c r="D20" s="41">
        <v>4743</v>
      </c>
    </row>
    <row r="21" spans="1:4">
      <c r="A21">
        <v>1968</v>
      </c>
      <c r="B21">
        <v>8462.5866454689894</v>
      </c>
      <c r="D21" s="41">
        <v>5010</v>
      </c>
    </row>
    <row r="22" spans="1:4">
      <c r="A22">
        <v>1969</v>
      </c>
      <c r="B22">
        <v>9286.4435612082598</v>
      </c>
      <c r="D22" s="41">
        <v>5682</v>
      </c>
    </row>
    <row r="23" spans="1:4">
      <c r="A23">
        <v>1970</v>
      </c>
      <c r="B23">
        <v>9275.1017488076304</v>
      </c>
      <c r="D23" s="41">
        <v>5900</v>
      </c>
    </row>
    <row r="24" spans="1:4">
      <c r="A24">
        <v>1971</v>
      </c>
      <c r="B24">
        <v>9350.0540540540496</v>
      </c>
      <c r="D24" s="41">
        <v>5941</v>
      </c>
    </row>
    <row r="25" spans="1:4">
      <c r="A25">
        <v>1972</v>
      </c>
      <c r="B25">
        <v>10085.084260731321</v>
      </c>
      <c r="D25" s="41">
        <v>6541</v>
      </c>
    </row>
    <row r="26" spans="1:4">
      <c r="A26">
        <v>1973</v>
      </c>
      <c r="B26">
        <v>11162.89348171701</v>
      </c>
      <c r="D26" s="41">
        <v>6915</v>
      </c>
    </row>
    <row r="27" spans="1:4">
      <c r="A27">
        <v>1974</v>
      </c>
      <c r="B27">
        <v>10545.29411764705</v>
      </c>
      <c r="D27" s="41">
        <v>7097</v>
      </c>
    </row>
    <row r="28" spans="1:4">
      <c r="A28">
        <v>1975</v>
      </c>
      <c r="B28">
        <v>9241.5023847376706</v>
      </c>
      <c r="D28" s="41">
        <v>6735</v>
      </c>
    </row>
    <row r="29" spans="1:4">
      <c r="A29">
        <v>1976</v>
      </c>
      <c r="B29">
        <v>10602.593004769471</v>
      </c>
      <c r="D29" s="41">
        <v>7289</v>
      </c>
    </row>
    <row r="30" spans="1:4">
      <c r="A30">
        <v>1977</v>
      </c>
      <c r="B30">
        <v>11082.437201907789</v>
      </c>
      <c r="D30" s="41">
        <v>7444</v>
      </c>
    </row>
    <row r="31" spans="1:4">
      <c r="A31">
        <v>1978</v>
      </c>
      <c r="B31">
        <v>11727.31796502384</v>
      </c>
      <c r="D31" s="41">
        <v>7306</v>
      </c>
    </row>
    <row r="32" spans="1:4">
      <c r="A32">
        <v>1979</v>
      </c>
      <c r="B32">
        <v>12375.82193958664</v>
      </c>
      <c r="D32" s="41">
        <v>7371</v>
      </c>
    </row>
    <row r="33" spans="1:4">
      <c r="A33">
        <v>1980</v>
      </c>
      <c r="B33">
        <v>11981.05564387917</v>
      </c>
      <c r="D33" s="41">
        <v>7227</v>
      </c>
    </row>
    <row r="34" spans="1:4">
      <c r="A34">
        <v>1981</v>
      </c>
      <c r="B34">
        <v>12119.774244833061</v>
      </c>
      <c r="D34" s="41">
        <v>7721</v>
      </c>
    </row>
    <row r="35" spans="1:4">
      <c r="A35">
        <v>1982</v>
      </c>
      <c r="B35">
        <v>11439.761526232111</v>
      </c>
      <c r="D35" s="41">
        <v>7745</v>
      </c>
    </row>
    <row r="36" spans="1:4">
      <c r="A36">
        <v>1983</v>
      </c>
      <c r="B36">
        <v>11882.01907790143</v>
      </c>
      <c r="D36" s="41">
        <v>7824</v>
      </c>
    </row>
    <row r="37" spans="1:4">
      <c r="A37">
        <v>1984</v>
      </c>
      <c r="B37">
        <v>12559.5707472178</v>
      </c>
      <c r="D37" s="41">
        <v>8135</v>
      </c>
    </row>
    <row r="38" spans="1:4">
      <c r="A38">
        <v>1985</v>
      </c>
      <c r="B38">
        <v>12456.18759936407</v>
      </c>
      <c r="D38" s="41">
        <v>8288</v>
      </c>
    </row>
    <row r="39" spans="1:4">
      <c r="A39">
        <v>1986</v>
      </c>
      <c r="B39">
        <v>12852.85850556438</v>
      </c>
      <c r="D39" s="41">
        <v>8295</v>
      </c>
    </row>
    <row r="40" spans="1:4">
      <c r="A40">
        <v>1987</v>
      </c>
      <c r="B40">
        <v>13189.661367249601</v>
      </c>
      <c r="D40" s="41">
        <v>8620</v>
      </c>
    </row>
    <row r="41" spans="1:4">
      <c r="A41">
        <v>1988</v>
      </c>
      <c r="B41">
        <v>13615.535771065181</v>
      </c>
      <c r="D41" s="41">
        <v>8773</v>
      </c>
    </row>
    <row r="42" spans="1:4">
      <c r="A42">
        <v>1989</v>
      </c>
      <c r="B42">
        <v>13939.50556438791</v>
      </c>
      <c r="D42" s="41">
        <v>9086</v>
      </c>
    </row>
    <row r="43" spans="1:4">
      <c r="A43">
        <v>1990</v>
      </c>
      <c r="B43">
        <v>13874.871224165341</v>
      </c>
      <c r="D43" s="41">
        <v>9227</v>
      </c>
    </row>
    <row r="44" spans="1:4">
      <c r="A44">
        <v>1991</v>
      </c>
      <c r="B44">
        <v>13570.94912559618</v>
      </c>
      <c r="D44" s="41">
        <v>9373</v>
      </c>
    </row>
    <row r="45" spans="1:4">
      <c r="A45">
        <v>1992</v>
      </c>
      <c r="B45">
        <v>14074.267090620029</v>
      </c>
      <c r="D45" s="41">
        <v>9497</v>
      </c>
    </row>
    <row r="46" spans="1:4">
      <c r="A46">
        <v>1993</v>
      </c>
      <c r="B46">
        <v>14152.57233704292</v>
      </c>
      <c r="D46" s="41">
        <v>9571</v>
      </c>
    </row>
    <row r="47" spans="1:4">
      <c r="A47">
        <v>1994</v>
      </c>
      <c r="B47">
        <v>15025.818759936399</v>
      </c>
      <c r="D47" s="41">
        <v>9539</v>
      </c>
    </row>
    <row r="48" spans="1:4">
      <c r="A48">
        <v>1995</v>
      </c>
      <c r="B48">
        <v>15524.717011128771</v>
      </c>
      <c r="D48" s="41">
        <v>10070</v>
      </c>
    </row>
    <row r="49" spans="1:5">
      <c r="A49">
        <v>1996</v>
      </c>
      <c r="B49">
        <v>16298.220985691571</v>
      </c>
      <c r="D49" s="41">
        <v>11084</v>
      </c>
    </row>
    <row r="50" spans="1:5">
      <c r="A50">
        <v>1997</v>
      </c>
      <c r="B50">
        <v>17228.263910969792</v>
      </c>
      <c r="D50" s="41">
        <v>11514</v>
      </c>
    </row>
    <row r="51" spans="1:5">
      <c r="A51">
        <v>1998</v>
      </c>
      <c r="B51">
        <v>17875.612082670901</v>
      </c>
      <c r="D51" s="41">
        <v>12228</v>
      </c>
    </row>
    <row r="52" spans="1:5">
      <c r="A52">
        <v>1999</v>
      </c>
      <c r="B52">
        <v>19129.20031796502</v>
      </c>
      <c r="D52" s="41">
        <v>12767</v>
      </c>
    </row>
    <row r="53" spans="1:5">
      <c r="A53">
        <v>2000</v>
      </c>
      <c r="B53">
        <v>20776</v>
      </c>
      <c r="D53" s="41">
        <v>13199</v>
      </c>
      <c r="E53">
        <v>6952.0186409456373</v>
      </c>
    </row>
    <row r="54" spans="1:5">
      <c r="A54">
        <v>2001</v>
      </c>
      <c r="B54">
        <v>20067</v>
      </c>
      <c r="D54" s="41">
        <v>13636</v>
      </c>
      <c r="E54">
        <v>7029.967721237299</v>
      </c>
    </row>
    <row r="55" spans="1:5">
      <c r="A55">
        <v>2002</v>
      </c>
      <c r="B55">
        <v>20292</v>
      </c>
      <c r="D55" s="41">
        <v>13487</v>
      </c>
      <c r="E55">
        <v>6858.9913693972994</v>
      </c>
    </row>
    <row r="56" spans="1:5">
      <c r="A56">
        <v>2003</v>
      </c>
      <c r="B56">
        <v>20703</v>
      </c>
      <c r="D56" s="41">
        <v>13699</v>
      </c>
      <c r="E56">
        <v>7475.7839077943008</v>
      </c>
    </row>
    <row r="57" spans="1:5">
      <c r="A57">
        <v>2004</v>
      </c>
      <c r="B57">
        <v>22137</v>
      </c>
      <c r="D57" s="41">
        <v>14594</v>
      </c>
      <c r="E57">
        <v>7475.9243112857002</v>
      </c>
    </row>
    <row r="58" spans="1:5">
      <c r="A58">
        <v>2005</v>
      </c>
      <c r="B58">
        <v>21872</v>
      </c>
      <c r="D58" s="41">
        <v>14927</v>
      </c>
      <c r="E58">
        <v>8402.4118511779016</v>
      </c>
    </row>
    <row r="59" spans="1:5">
      <c r="A59">
        <v>2006</v>
      </c>
      <c r="B59">
        <v>22009</v>
      </c>
      <c r="D59" s="41">
        <v>14983</v>
      </c>
      <c r="E59">
        <v>8504.8712991395023</v>
      </c>
    </row>
    <row r="60" spans="1:5">
      <c r="A60">
        <v>2007</v>
      </c>
      <c r="B60">
        <v>23753</v>
      </c>
      <c r="D60" s="41">
        <v>15508</v>
      </c>
      <c r="E60">
        <v>8230.7334818801992</v>
      </c>
    </row>
    <row r="61" spans="1:5">
      <c r="A61">
        <v>2008</v>
      </c>
      <c r="B61">
        <v>23145</v>
      </c>
      <c r="D61" s="41">
        <v>15537</v>
      </c>
      <c r="E61">
        <v>7235.8694416013004</v>
      </c>
    </row>
    <row r="62" spans="1:5">
      <c r="A62">
        <v>2009</v>
      </c>
      <c r="B62">
        <v>23145</v>
      </c>
      <c r="D62" s="41">
        <v>15945</v>
      </c>
      <c r="E62">
        <v>8354.0918708251647</v>
      </c>
    </row>
    <row r="63" spans="1:5">
      <c r="A63">
        <v>2010</v>
      </c>
      <c r="B63">
        <v>24194.52173168564</v>
      </c>
      <c r="D63" s="41">
        <v>15990</v>
      </c>
      <c r="E63">
        <v>9046.3264891723593</v>
      </c>
    </row>
    <row r="64" spans="1:5">
      <c r="A64">
        <v>2011</v>
      </c>
      <c r="B64">
        <v>25089.29089953471</v>
      </c>
      <c r="D64" s="41">
        <v>15965</v>
      </c>
      <c r="E64">
        <v>9043.9376022742108</v>
      </c>
    </row>
    <row r="65" spans="1:5">
      <c r="A65">
        <v>2012</v>
      </c>
      <c r="B65">
        <v>25297.975557049198</v>
      </c>
      <c r="D65" s="41">
        <v>16692</v>
      </c>
      <c r="E65">
        <v>9252.9652058623305</v>
      </c>
    </row>
    <row r="66" spans="1:5">
      <c r="A66">
        <v>2013</v>
      </c>
      <c r="B66">
        <v>26259.767623756532</v>
      </c>
      <c r="D66" s="41">
        <v>18190</v>
      </c>
      <c r="E66">
        <v>9652.3273730605197</v>
      </c>
    </row>
    <row r="67" spans="1:5">
      <c r="A67">
        <v>2014</v>
      </c>
      <c r="B67">
        <v>27894.831923939641</v>
      </c>
      <c r="D67" s="41">
        <v>18426</v>
      </c>
      <c r="E67">
        <v>9480.77543268714</v>
      </c>
    </row>
    <row r="68" spans="1:5">
      <c r="A68">
        <v>2015</v>
      </c>
      <c r="B68">
        <v>27978.19375439177</v>
      </c>
      <c r="D68" s="41">
        <v>19149</v>
      </c>
      <c r="E68">
        <v>9415.0511819017902</v>
      </c>
    </row>
    <row r="69" spans="1:5">
      <c r="A69">
        <v>2016</v>
      </c>
      <c r="B69">
        <v>28520.721798863349</v>
      </c>
      <c r="D69" s="41">
        <v>20357</v>
      </c>
      <c r="E69">
        <v>9983.9347356099406</v>
      </c>
    </row>
    <row r="70" spans="1:5">
      <c r="A70">
        <v>2017</v>
      </c>
      <c r="B70">
        <v>29751.152073732701</v>
      </c>
      <c r="D70" s="41">
        <v>20038</v>
      </c>
      <c r="E70">
        <v>9980.2319609177994</v>
      </c>
    </row>
    <row r="71" spans="1:5">
      <c r="A71">
        <v>2018</v>
      </c>
      <c r="B71">
        <v>30709.677419354801</v>
      </c>
      <c r="D71">
        <v>20539</v>
      </c>
      <c r="E71">
        <v>9619.4503171247306</v>
      </c>
    </row>
    <row r="72" spans="1:5">
      <c r="A72">
        <v>2019</v>
      </c>
      <c r="B72">
        <v>30046.0829493087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B2" sqref="B2"/>
    </sheetView>
  </sheetViews>
  <sheetFormatPr baseColWidth="10" defaultColWidth="8.83203125" defaultRowHeight="15"/>
  <sheetData>
    <row r="1" spans="1:5">
      <c r="B1" t="s">
        <v>184</v>
      </c>
      <c r="C1" t="s">
        <v>188</v>
      </c>
      <c r="D1" t="s">
        <v>190</v>
      </c>
      <c r="E1" t="s">
        <v>196</v>
      </c>
    </row>
    <row r="2" spans="1:5">
      <c r="A2" t="s">
        <v>176</v>
      </c>
      <c r="B2" s="1" t="s">
        <v>331</v>
      </c>
      <c r="D2" s="1"/>
      <c r="E2" s="1" t="s">
        <v>331</v>
      </c>
    </row>
    <row r="3" spans="1:5" ht="16">
      <c r="A3">
        <v>1995</v>
      </c>
      <c r="B3">
        <v>1469.917875310188</v>
      </c>
      <c r="C3" s="3"/>
      <c r="E3">
        <v>461.47509857472789</v>
      </c>
    </row>
    <row r="4" spans="1:5">
      <c r="A4">
        <v>1996</v>
      </c>
      <c r="B4">
        <v>1432.5767347969486</v>
      </c>
      <c r="E4">
        <v>461.65741021908769</v>
      </c>
    </row>
    <row r="5" spans="1:5">
      <c r="A5">
        <v>1997</v>
      </c>
      <c r="B5">
        <v>1558.8604356972196</v>
      </c>
      <c r="E5">
        <v>508.20377528446966</v>
      </c>
    </row>
    <row r="6" spans="1:5">
      <c r="A6">
        <v>1998</v>
      </c>
      <c r="B6">
        <v>1566.6470888700878</v>
      </c>
      <c r="E6">
        <v>530.06172301643778</v>
      </c>
    </row>
    <row r="7" spans="1:5">
      <c r="A7">
        <v>1999</v>
      </c>
      <c r="B7">
        <v>1635.0227035488601</v>
      </c>
      <c r="E7">
        <v>523.39043338001011</v>
      </c>
    </row>
    <row r="8" spans="1:5">
      <c r="A8">
        <v>2000</v>
      </c>
      <c r="B8">
        <v>1661.7302002671909</v>
      </c>
      <c r="E8">
        <v>507.88404642104092</v>
      </c>
    </row>
    <row r="9" spans="1:5">
      <c r="A9">
        <v>2001</v>
      </c>
      <c r="B9">
        <v>1646.5508055892237</v>
      </c>
      <c r="E9">
        <v>506.77594630217362</v>
      </c>
    </row>
    <row r="10" spans="1:5">
      <c r="A10">
        <v>2002</v>
      </c>
      <c r="B10">
        <v>1828.5151622065189</v>
      </c>
      <c r="E10">
        <v>623.07426164366882</v>
      </c>
    </row>
    <row r="11" spans="1:5">
      <c r="A11">
        <v>2003</v>
      </c>
      <c r="B11">
        <v>1852.2122080473666</v>
      </c>
      <c r="E11">
        <v>599.86699228751672</v>
      </c>
    </row>
    <row r="12" spans="1:5">
      <c r="A12">
        <v>2004</v>
      </c>
      <c r="B12">
        <v>1918.1720841064041</v>
      </c>
      <c r="E12">
        <v>637.68427922835428</v>
      </c>
    </row>
    <row r="13" spans="1:5">
      <c r="A13">
        <v>2005</v>
      </c>
      <c r="B13">
        <v>1807.1371119820149</v>
      </c>
      <c r="E13">
        <v>526.64930710397505</v>
      </c>
    </row>
    <row r="14" spans="1:5">
      <c r="A14">
        <v>2006</v>
      </c>
      <c r="B14">
        <v>2007.3552125204042</v>
      </c>
      <c r="E14">
        <v>572.08316749226424</v>
      </c>
    </row>
    <row r="15" spans="1:5">
      <c r="A15">
        <v>2007</v>
      </c>
      <c r="B15">
        <v>1863.4250041489902</v>
      </c>
      <c r="E15">
        <v>512.58072647544986</v>
      </c>
    </row>
    <row r="16" spans="1:5">
      <c r="A16">
        <v>2008</v>
      </c>
      <c r="B16">
        <v>1854.4805365204747</v>
      </c>
      <c r="E16">
        <v>536.46927948483471</v>
      </c>
    </row>
    <row r="17" spans="1:5">
      <c r="A17">
        <v>2009</v>
      </c>
      <c r="B17">
        <v>1773.6215012491273</v>
      </c>
      <c r="E17">
        <v>502.5145594104772</v>
      </c>
    </row>
    <row r="18" spans="1:5">
      <c r="A18">
        <v>2010</v>
      </c>
      <c r="B18">
        <v>2070.5609888925214</v>
      </c>
      <c r="E18">
        <v>574.31333410828154</v>
      </c>
    </row>
    <row r="19" spans="1:5">
      <c r="A19">
        <v>2011</v>
      </c>
      <c r="B19">
        <v>2253.2043546584018</v>
      </c>
      <c r="E19">
        <v>611.5533227634719</v>
      </c>
    </row>
    <row r="20" spans="1:5">
      <c r="A20">
        <v>2012</v>
      </c>
      <c r="B20">
        <v>2317.9463444890989</v>
      </c>
      <c r="E20">
        <v>615.31970283806891</v>
      </c>
    </row>
    <row r="21" spans="1:5">
      <c r="A21">
        <v>2013</v>
      </c>
      <c r="B21">
        <v>2457.656878677687</v>
      </c>
      <c r="E21">
        <v>637.76944903416688</v>
      </c>
    </row>
    <row r="22" spans="1:5">
      <c r="A22">
        <v>2014</v>
      </c>
      <c r="B22">
        <v>2551.1525244544005</v>
      </c>
      <c r="E22">
        <v>646.83732745628015</v>
      </c>
    </row>
    <row r="23" spans="1:5">
      <c r="A23">
        <v>2015</v>
      </c>
      <c r="B23">
        <v>2543.4257897672492</v>
      </c>
      <c r="E23">
        <v>629.729729729729</v>
      </c>
    </row>
    <row r="24" spans="1:5">
      <c r="A24">
        <v>2016</v>
      </c>
      <c r="B24">
        <v>2727.9397596470685</v>
      </c>
      <c r="E24">
        <v>659.45945945945903</v>
      </c>
    </row>
    <row r="25" spans="1:5">
      <c r="A25">
        <v>2017</v>
      </c>
      <c r="B25">
        <v>2940.1957304396319</v>
      </c>
      <c r="E25">
        <v>721.62162162162201</v>
      </c>
    </row>
    <row r="26" spans="1:5">
      <c r="A26">
        <v>2018</v>
      </c>
      <c r="B26">
        <v>3118.0315399827541</v>
      </c>
      <c r="E26">
        <v>754.05405405405395</v>
      </c>
    </row>
    <row r="27" spans="1:5">
      <c r="A27">
        <v>2019</v>
      </c>
      <c r="B27">
        <v>3226.8622280817385</v>
      </c>
      <c r="E27">
        <v>787.83783783783804</v>
      </c>
    </row>
    <row r="28" spans="1:5">
      <c r="A28">
        <v>2020</v>
      </c>
      <c r="B28">
        <v>3190.6115308554304</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2022-09-08T20:50:13Z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