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filterPrivacy="1"/>
  <xr:revisionPtr revIDLastSave="0" documentId="13_ncr:1_{4151F147-60C7-E246-BD1B-3EA1C876F68A}" xr6:coauthVersionLast="47" xr6:coauthVersionMax="47" xr10:uidLastSave="{00000000-0000-0000-0000-000000000000}"/>
  <bookViews>
    <workbookView xWindow="0" yWindow="500" windowWidth="28800" windowHeight="16100" activeTab="2" xr2:uid="{00000000-000D-0000-FFFF-FFFF00000000}"/>
  </bookViews>
  <sheets>
    <sheet name="__snloffice" sheetId="7" state="veryHidden" r:id="rId1"/>
    <sheet name="All sources" sheetId="1" r:id="rId2"/>
    <sheet name="Selected" sheetId="3" r:id="rId3"/>
    <sheet name="Notes" sheetId="2" r:id="rId4"/>
    <sheet name="China" sheetId="4" r:id="rId5"/>
    <sheet name="China Data Analysis" sheetId="5" r:id="rId6"/>
    <sheet name="China Notes" sheetId="8" r:id="rId7"/>
  </sheets>
  <externalReferences>
    <externalReference r:id="rId8"/>
  </externalReferences>
  <definedNames>
    <definedName name="CHINA_PROD">[1]ASIA!$D$103:$AU$103</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F43" i="4" l="1"/>
  <c r="AF42" i="4" s="1"/>
  <c r="AF41" i="4" s="1"/>
  <c r="AF40" i="4" s="1"/>
  <c r="AF39" i="4" s="1"/>
  <c r="AF38" i="4" s="1"/>
  <c r="AF37" i="4" s="1"/>
  <c r="AF36" i="4" s="1"/>
  <c r="AF35" i="4" s="1"/>
  <c r="AF34" i="4" s="1"/>
  <c r="AF33" i="4" s="1"/>
  <c r="AF32" i="4" s="1"/>
  <c r="AF31" i="4" s="1"/>
  <c r="AF30" i="4" s="1"/>
  <c r="AF29" i="4" s="1"/>
  <c r="AF28" i="4" s="1"/>
  <c r="AF27" i="4" s="1"/>
  <c r="AF26" i="4" s="1"/>
  <c r="AF25" i="4" s="1"/>
  <c r="AF24" i="4" s="1"/>
  <c r="AF23" i="4" s="1"/>
  <c r="AF22" i="4" s="1"/>
  <c r="AF21" i="4" s="1"/>
  <c r="AF20" i="4" s="1"/>
  <c r="AF19" i="4" s="1"/>
  <c r="AF18" i="4" s="1"/>
  <c r="AF17" i="4" s="1"/>
  <c r="AF16" i="4" s="1"/>
  <c r="AF15" i="4" s="1"/>
  <c r="AF14" i="4" s="1"/>
  <c r="AF13" i="4" s="1"/>
  <c r="AF12" i="4" s="1"/>
  <c r="AH46" i="4"/>
  <c r="AH47" i="4"/>
  <c r="AH48" i="4"/>
  <c r="AH49" i="4"/>
  <c r="AH50" i="4"/>
  <c r="AH51" i="4"/>
  <c r="AH52" i="4"/>
  <c r="AH53" i="4"/>
  <c r="AH54" i="4"/>
  <c r="AH55" i="4"/>
  <c r="AH56" i="4"/>
  <c r="AH57" i="4"/>
  <c r="AH58" i="4"/>
  <c r="AH59" i="4"/>
  <c r="AH60" i="4"/>
  <c r="AH61" i="4"/>
  <c r="AH62" i="4"/>
  <c r="AH63" i="4"/>
  <c r="AH64" i="4"/>
  <c r="AH65" i="4"/>
  <c r="AH66" i="4"/>
  <c r="AH67" i="4"/>
  <c r="AH68" i="4"/>
  <c r="AH69" i="4"/>
  <c r="AH70" i="4"/>
  <c r="AH45" i="4"/>
  <c r="AJ107" i="4" l="1"/>
  <c r="AJ108" i="4" s="1"/>
  <c r="AJ109" i="4" s="1"/>
  <c r="AJ110" i="4" s="1"/>
  <c r="AJ111" i="4" s="1"/>
  <c r="AJ112" i="4" s="1"/>
  <c r="AJ113" i="4" s="1"/>
  <c r="AJ114" i="4" s="1"/>
  <c r="AJ115" i="4" s="1"/>
  <c r="AJ116" i="4" s="1"/>
  <c r="AJ117" i="4" s="1"/>
  <c r="AJ118" i="4" s="1"/>
  <c r="AJ119" i="4" s="1"/>
  <c r="AJ120" i="4" s="1"/>
  <c r="AJ121" i="4" s="1"/>
  <c r="AJ122" i="4" s="1"/>
  <c r="AJ123" i="4" s="1"/>
  <c r="AJ124" i="4" s="1"/>
  <c r="AJ125" i="4" s="1"/>
  <c r="AJ126" i="4" s="1"/>
  <c r="AJ127" i="4" s="1"/>
  <c r="AJ128" i="4" s="1"/>
  <c r="AJ129" i="4" s="1"/>
  <c r="AI107" i="4"/>
  <c r="AH108" i="4"/>
  <c r="AH109" i="4" s="1"/>
  <c r="AH110" i="4" s="1"/>
  <c r="AH111" i="4" s="1"/>
  <c r="AH112" i="4" s="1"/>
  <c r="AH113" i="4" s="1"/>
  <c r="AH114" i="4" s="1"/>
  <c r="AH115" i="4" s="1"/>
  <c r="AH116" i="4" s="1"/>
  <c r="AH117" i="4" s="1"/>
  <c r="AH118" i="4" s="1"/>
  <c r="AH119" i="4" s="1"/>
  <c r="AH120" i="4" s="1"/>
  <c r="AH121" i="4" s="1"/>
  <c r="AH122" i="4" s="1"/>
  <c r="AH123" i="4" s="1"/>
  <c r="AH124" i="4" s="1"/>
  <c r="AH125" i="4" s="1"/>
  <c r="AH126" i="4" s="1"/>
  <c r="AH127" i="4" s="1"/>
  <c r="AH128" i="4" s="1"/>
  <c r="AH129" i="4" s="1"/>
  <c r="AG107" i="4"/>
  <c r="AF107" i="4"/>
  <c r="AF108" i="4" s="1"/>
  <c r="AF109" i="4" s="1"/>
  <c r="AF110" i="4" s="1"/>
  <c r="AF111" i="4" s="1"/>
  <c r="AF112" i="4" s="1"/>
  <c r="AF113" i="4" s="1"/>
  <c r="AF114" i="4" s="1"/>
  <c r="AF115" i="4" s="1"/>
  <c r="AF116" i="4" s="1"/>
  <c r="AF117" i="4" s="1"/>
  <c r="AF118" i="4" s="1"/>
  <c r="AF119" i="4" s="1"/>
  <c r="AF120" i="4" s="1"/>
  <c r="AF121" i="4" s="1"/>
  <c r="AF122" i="4" s="1"/>
  <c r="AF123" i="4" s="1"/>
  <c r="AF124" i="4" s="1"/>
  <c r="AF125" i="4" s="1"/>
  <c r="AF126" i="4" s="1"/>
  <c r="AF127" i="4" s="1"/>
  <c r="AF128" i="4" s="1"/>
  <c r="AF129" i="4" s="1"/>
  <c r="S107" i="4"/>
  <c r="U107" i="4" s="1"/>
  <c r="U108" i="4" s="1"/>
  <c r="U109" i="4" s="1"/>
  <c r="U110" i="4" s="1"/>
  <c r="U111" i="4" s="1"/>
  <c r="U112" i="4" s="1"/>
  <c r="U113" i="4" s="1"/>
  <c r="U114" i="4" s="1"/>
  <c r="U115" i="4" s="1"/>
  <c r="U116" i="4" s="1"/>
  <c r="U117" i="4" s="1"/>
  <c r="U118" i="4" s="1"/>
  <c r="U119" i="4" s="1"/>
  <c r="U120" i="4" s="1"/>
  <c r="U121" i="4" s="1"/>
  <c r="U122" i="4" s="1"/>
  <c r="U123" i="4" s="1"/>
  <c r="U124" i="4" s="1"/>
  <c r="U125" i="4" s="1"/>
  <c r="U126" i="4" s="1"/>
  <c r="U127" i="4" s="1"/>
  <c r="U128" i="4" s="1"/>
  <c r="U129" i="4" s="1"/>
  <c r="R107" i="4"/>
  <c r="V107" i="4" s="1"/>
  <c r="Z107" i="4" s="1"/>
  <c r="S108" i="4" l="1"/>
  <c r="S109" i="4" s="1"/>
  <c r="S110" i="4" s="1"/>
  <c r="S111" i="4" s="1"/>
  <c r="S112" i="4" s="1"/>
  <c r="S113" i="4" s="1"/>
  <c r="S114" i="4" s="1"/>
  <c r="S115" i="4" s="1"/>
  <c r="S116" i="4" s="1"/>
  <c r="S117" i="4" s="1"/>
  <c r="S118" i="4" s="1"/>
  <c r="S119" i="4" s="1"/>
  <c r="S120" i="4" s="1"/>
  <c r="S121" i="4" s="1"/>
  <c r="S122" i="4" s="1"/>
  <c r="S123" i="4" s="1"/>
  <c r="S124" i="4" s="1"/>
  <c r="S125" i="4" s="1"/>
  <c r="S126" i="4" s="1"/>
  <c r="S127" i="4" s="1"/>
  <c r="S128" i="4" s="1"/>
  <c r="S129" i="4" s="1"/>
  <c r="R108" i="4"/>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T107" i="4"/>
  <c r="X107" i="4" s="1"/>
  <c r="W107" i="4"/>
  <c r="AA107" i="4" s="1"/>
  <c r="AG108" i="4"/>
  <c r="AG109" i="4" s="1"/>
  <c r="AG110" i="4" s="1"/>
  <c r="AG111" i="4" s="1"/>
  <c r="AG112" i="4" s="1"/>
  <c r="AG113" i="4" s="1"/>
  <c r="AG114" i="4" s="1"/>
  <c r="AG115" i="4" s="1"/>
  <c r="AG116" i="4" s="1"/>
  <c r="AG117" i="4" s="1"/>
  <c r="AG118" i="4" s="1"/>
  <c r="AG119" i="4" s="1"/>
  <c r="AG120" i="4" s="1"/>
  <c r="AG121" i="4" s="1"/>
  <c r="AG122" i="4" s="1"/>
  <c r="AG123" i="4" s="1"/>
  <c r="AG124" i="4" s="1"/>
  <c r="AG125" i="4" s="1"/>
  <c r="AG126" i="4" s="1"/>
  <c r="AG127" i="4" s="1"/>
  <c r="AG128" i="4" s="1"/>
  <c r="AG129" i="4" s="1"/>
  <c r="AI108" i="4"/>
  <c r="AI109" i="4" s="1"/>
  <c r="AI110" i="4" s="1"/>
  <c r="AI111" i="4" s="1"/>
  <c r="AI112" i="4" s="1"/>
  <c r="AI113" i="4" s="1"/>
  <c r="AI114" i="4" s="1"/>
  <c r="AI115" i="4" s="1"/>
  <c r="AI116" i="4" s="1"/>
  <c r="AI117" i="4" s="1"/>
  <c r="AI118" i="4" s="1"/>
  <c r="AI119" i="4" s="1"/>
  <c r="AI120" i="4" s="1"/>
  <c r="AI121" i="4" s="1"/>
  <c r="AI122" i="4" s="1"/>
  <c r="AI123" i="4" s="1"/>
  <c r="AI124" i="4" s="1"/>
  <c r="AI125" i="4" s="1"/>
  <c r="AI126" i="4" s="1"/>
  <c r="AI127" i="4" s="1"/>
  <c r="AI128" i="4" s="1"/>
  <c r="AI129" i="4" s="1"/>
  <c r="G52" i="2"/>
  <c r="G53" i="2"/>
  <c r="G54" i="2"/>
  <c r="G55" i="2"/>
  <c r="G56" i="2"/>
  <c r="G57" i="2"/>
  <c r="G58" i="2"/>
  <c r="G59" i="2"/>
  <c r="G60" i="2"/>
  <c r="G61" i="2"/>
  <c r="G62" i="2"/>
  <c r="G63" i="2"/>
  <c r="G64" i="2"/>
  <c r="E52" i="2"/>
  <c r="E53" i="2"/>
  <c r="E54" i="2"/>
  <c r="E55" i="2"/>
  <c r="E56" i="2"/>
  <c r="E57" i="2"/>
  <c r="E58" i="2"/>
  <c r="E59" i="2"/>
  <c r="E60" i="2"/>
  <c r="E61" i="2"/>
  <c r="E62" i="2"/>
  <c r="E63" i="2"/>
  <c r="E64" i="2"/>
  <c r="C52" i="2"/>
  <c r="C53" i="2"/>
  <c r="C54" i="2"/>
  <c r="C55" i="2"/>
  <c r="C56" i="2"/>
  <c r="C57" i="2"/>
  <c r="C58" i="2"/>
  <c r="C59" i="2"/>
  <c r="C60" i="2"/>
  <c r="C61" i="2"/>
  <c r="C62" i="2"/>
  <c r="C63" i="2"/>
  <c r="C64" i="2"/>
  <c r="C42" i="2"/>
  <c r="C43" i="2"/>
  <c r="C44" i="2"/>
  <c r="C45" i="2"/>
  <c r="C46" i="2"/>
  <c r="C47" i="2"/>
  <c r="C48" i="2"/>
  <c r="C49" i="2"/>
  <c r="C50" i="2"/>
  <c r="C51" i="2"/>
  <c r="C41" i="2"/>
  <c r="E42" i="2"/>
  <c r="E43" i="2"/>
  <c r="E44" i="2"/>
  <c r="E45" i="2"/>
  <c r="E46" i="2"/>
  <c r="E47" i="2"/>
  <c r="E48" i="2"/>
  <c r="E49" i="2"/>
  <c r="E50" i="2"/>
  <c r="E51" i="2"/>
  <c r="E41" i="2"/>
  <c r="G42" i="2"/>
  <c r="G43" i="2"/>
  <c r="G44" i="2"/>
  <c r="G45" i="2"/>
  <c r="G46" i="2"/>
  <c r="G47" i="2"/>
  <c r="G48" i="2"/>
  <c r="G49" i="2"/>
  <c r="G50" i="2"/>
  <c r="G51" i="2"/>
  <c r="G41" i="2"/>
  <c r="T108" i="4" l="1"/>
  <c r="T109" i="4" s="1"/>
  <c r="T110" i="4" s="1"/>
  <c r="T111" i="4" s="1"/>
  <c r="T112" i="4" s="1"/>
  <c r="T113" i="4" s="1"/>
  <c r="T114" i="4" s="1"/>
  <c r="T115" i="4" s="1"/>
  <c r="T116" i="4" s="1"/>
  <c r="T117" i="4" s="1"/>
  <c r="T118" i="4" s="1"/>
  <c r="T119" i="4" s="1"/>
  <c r="T120" i="4" s="1"/>
  <c r="T121" i="4" s="1"/>
  <c r="T122" i="4" s="1"/>
  <c r="T123" i="4" s="1"/>
  <c r="T124" i="4" s="1"/>
  <c r="T125" i="4" s="1"/>
  <c r="T126" i="4" s="1"/>
  <c r="T127" i="4" s="1"/>
  <c r="T128" i="4" s="1"/>
  <c r="T129" i="4" s="1"/>
  <c r="X108" i="4" s="1"/>
  <c r="X109" i="4" s="1"/>
  <c r="X110" i="4" s="1"/>
  <c r="X111" i="4" s="1"/>
  <c r="X112" i="4" s="1"/>
  <c r="X113" i="4" s="1"/>
  <c r="X114" i="4" s="1"/>
  <c r="X115" i="4" s="1"/>
  <c r="X116" i="4" s="1"/>
  <c r="X117" i="4" s="1"/>
  <c r="X118" i="4" s="1"/>
  <c r="X119" i="4" s="1"/>
  <c r="X120" i="4" s="1"/>
  <c r="X121" i="4" s="1"/>
  <c r="X122" i="4" s="1"/>
  <c r="X123" i="4" s="1"/>
  <c r="X124" i="4" s="1"/>
  <c r="X125" i="4" s="1"/>
  <c r="X126" i="4" s="1"/>
  <c r="X127" i="4" s="1"/>
  <c r="X128" i="4" s="1"/>
  <c r="X129" i="4" s="1"/>
  <c r="Y107" i="4"/>
  <c r="Y108" i="4"/>
  <c r="Y109" i="4" s="1"/>
  <c r="Y110" i="4" s="1"/>
  <c r="Y111" i="4" s="1"/>
  <c r="Y112" i="4" s="1"/>
  <c r="Y113" i="4" s="1"/>
  <c r="Y114" i="4" s="1"/>
  <c r="Y115" i="4" s="1"/>
  <c r="Y116" i="4" s="1"/>
  <c r="Y117" i="4" s="1"/>
  <c r="Y118" i="4" s="1"/>
  <c r="Y119" i="4" s="1"/>
  <c r="Y120" i="4" s="1"/>
  <c r="Y121" i="4" s="1"/>
  <c r="Y122" i="4" s="1"/>
  <c r="Y123" i="4" s="1"/>
  <c r="Y124" i="4" s="1"/>
  <c r="Y125" i="4" s="1"/>
  <c r="Y126" i="4" s="1"/>
  <c r="Y127" i="4" s="1"/>
  <c r="Y128" i="4" s="1"/>
  <c r="Y129" i="4" s="1"/>
  <c r="Z108" i="4"/>
  <c r="Z109" i="4" s="1"/>
  <c r="Z110" i="4" s="1"/>
  <c r="Z111" i="4" s="1"/>
  <c r="Z112" i="4" s="1"/>
  <c r="Z113" i="4" s="1"/>
  <c r="Z114" i="4" s="1"/>
  <c r="Z115" i="4" s="1"/>
  <c r="Z116" i="4" s="1"/>
  <c r="Z117" i="4" s="1"/>
  <c r="Z118" i="4" s="1"/>
  <c r="Z119" i="4" s="1"/>
  <c r="Z120" i="4" s="1"/>
  <c r="Z121" i="4" s="1"/>
  <c r="Z122" i="4" s="1"/>
  <c r="Z123" i="4" s="1"/>
  <c r="Z124" i="4" s="1"/>
  <c r="Z125" i="4" s="1"/>
  <c r="Z126" i="4" s="1"/>
  <c r="Z127" i="4" s="1"/>
  <c r="Z128" i="4" s="1"/>
  <c r="Z129" i="4" s="1"/>
  <c r="AA108" i="4"/>
  <c r="AA109" i="4" s="1"/>
  <c r="AA110" i="4" s="1"/>
  <c r="AA111" i="4" s="1"/>
  <c r="AA112" i="4" s="1"/>
  <c r="AA113" i="4" s="1"/>
  <c r="AA114" i="4" s="1"/>
  <c r="AA115" i="4" s="1"/>
  <c r="AA116" i="4" s="1"/>
  <c r="AA117" i="4" s="1"/>
  <c r="AA118" i="4" s="1"/>
  <c r="AA119" i="4" s="1"/>
  <c r="AA120" i="4" s="1"/>
  <c r="AA121" i="4" s="1"/>
  <c r="AA122" i="4" s="1"/>
  <c r="AA123" i="4" s="1"/>
  <c r="AA124" i="4" s="1"/>
  <c r="AA125" i="4" s="1"/>
  <c r="AA126" i="4" s="1"/>
  <c r="AA127" i="4" s="1"/>
  <c r="AA128" i="4" s="1"/>
  <c r="AA129" i="4" s="1"/>
  <c r="W108" i="4"/>
  <c r="W109" i="4" s="1"/>
  <c r="W110" i="4" s="1"/>
  <c r="W111" i="4" s="1"/>
  <c r="W112" i="4" s="1"/>
  <c r="W113" i="4" s="1"/>
  <c r="W114" i="4" s="1"/>
  <c r="W115" i="4" s="1"/>
  <c r="W116" i="4" s="1"/>
  <c r="W117" i="4" s="1"/>
  <c r="W118" i="4" s="1"/>
  <c r="W119" i="4" s="1"/>
  <c r="W120" i="4" s="1"/>
  <c r="W121" i="4" s="1"/>
  <c r="W122" i="4" s="1"/>
  <c r="W123" i="4" s="1"/>
  <c r="W124" i="4" s="1"/>
  <c r="W125" i="4" s="1"/>
  <c r="W126" i="4" s="1"/>
  <c r="W127" i="4" s="1"/>
  <c r="W128" i="4" s="1"/>
  <c r="W129" i="4" s="1"/>
  <c r="V108" i="4" l="1"/>
  <c r="V109" i="4" s="1"/>
  <c r="V110" i="4" s="1"/>
  <c r="V111" i="4" s="1"/>
  <c r="V112" i="4" s="1"/>
  <c r="V113" i="4" s="1"/>
  <c r="V114" i="4" s="1"/>
  <c r="V115" i="4" s="1"/>
  <c r="V116" i="4" s="1"/>
  <c r="V117" i="4" s="1"/>
  <c r="V118" i="4" s="1"/>
  <c r="V119" i="4" s="1"/>
  <c r="V120" i="4" s="1"/>
  <c r="V121" i="4" s="1"/>
  <c r="V122" i="4" s="1"/>
  <c r="V123" i="4" s="1"/>
  <c r="V124" i="4" s="1"/>
  <c r="V125" i="4" s="1"/>
  <c r="V126" i="4" s="1"/>
  <c r="V127" i="4" s="1"/>
  <c r="V128" i="4" s="1"/>
  <c r="V129" i="4" s="1"/>
  <c r="L12" i="3"/>
  <c r="N12" i="3" s="1"/>
  <c r="L13" i="3"/>
  <c r="N13" i="3" s="1"/>
  <c r="AE43" i="4"/>
  <c r="AE42" i="4" s="1"/>
  <c r="AE41" i="4" s="1"/>
  <c r="AE40" i="4" s="1"/>
  <c r="AE39" i="4" s="1"/>
  <c r="AE38" i="4" s="1"/>
  <c r="AE37" i="4" s="1"/>
  <c r="AE36" i="4" s="1"/>
  <c r="AE35" i="4" s="1"/>
  <c r="AE34" i="4" s="1"/>
  <c r="AE33" i="4" s="1"/>
  <c r="AE32" i="4" s="1"/>
  <c r="AE31" i="4" s="1"/>
  <c r="AE30" i="4" s="1"/>
  <c r="AE29" i="4" s="1"/>
  <c r="AE28" i="4" s="1"/>
  <c r="AE27" i="4" s="1"/>
  <c r="AE26" i="4" s="1"/>
  <c r="AE25" i="4" s="1"/>
  <c r="AE24" i="4" s="1"/>
  <c r="AE23" i="4" s="1"/>
  <c r="AE22" i="4" s="1"/>
  <c r="AE21" i="4" s="1"/>
  <c r="AE20" i="4" s="1"/>
  <c r="AE19" i="4" s="1"/>
  <c r="AE18" i="4" s="1"/>
  <c r="AE17" i="4" s="1"/>
  <c r="AE16" i="4" s="1"/>
  <c r="AE15" i="4" s="1"/>
  <c r="AE14" i="4" s="1"/>
  <c r="AE13" i="4" s="1"/>
  <c r="AE12" i="4" s="1"/>
  <c r="AG46" i="4"/>
  <c r="AG47" i="4"/>
  <c r="AG48" i="4"/>
  <c r="AG49" i="4"/>
  <c r="AG50" i="4"/>
  <c r="AG51" i="4"/>
  <c r="AG52" i="4"/>
  <c r="AG53" i="4"/>
  <c r="AG54" i="4"/>
  <c r="AG55" i="4"/>
  <c r="AG56" i="4"/>
  <c r="AG57" i="4"/>
  <c r="AG58" i="4"/>
  <c r="AG59" i="4"/>
  <c r="AG60" i="4"/>
  <c r="AG61" i="4"/>
  <c r="AG62" i="4"/>
  <c r="AG63" i="4"/>
  <c r="AG64" i="4"/>
  <c r="AG65" i="4"/>
  <c r="AG66" i="4"/>
  <c r="AG67" i="4"/>
  <c r="AG68" i="4"/>
  <c r="AG69" i="4"/>
  <c r="AG70" i="4"/>
  <c r="AG45" i="4"/>
  <c r="M12" i="3" l="1"/>
  <c r="M13" i="3"/>
  <c r="AA45" i="4"/>
  <c r="AA46" i="4"/>
  <c r="AA47" i="4"/>
  <c r="AA48" i="4"/>
  <c r="AA49" i="4"/>
  <c r="AA50" i="4"/>
  <c r="AA51" i="4"/>
  <c r="AA52" i="4"/>
  <c r="AA53" i="4"/>
  <c r="AA54" i="4"/>
  <c r="AA55" i="4"/>
  <c r="AA56" i="4"/>
  <c r="AA57" i="4"/>
  <c r="AA58" i="4"/>
  <c r="AA59" i="4"/>
  <c r="AA70" i="4"/>
  <c r="AA44" i="4"/>
  <c r="AA43" i="4" s="1"/>
  <c r="AA42" i="4" s="1"/>
  <c r="AA41" i="4" s="1"/>
  <c r="AA40" i="4" s="1"/>
  <c r="AA39" i="4" s="1"/>
  <c r="AA38" i="4" s="1"/>
  <c r="AA37" i="4" s="1"/>
  <c r="AA36" i="4" s="1"/>
  <c r="AA35" i="4" s="1"/>
  <c r="AA34" i="4" s="1"/>
  <c r="AA33" i="4" s="1"/>
  <c r="AA32" i="4" s="1"/>
  <c r="AA31" i="4" s="1"/>
  <c r="AA30" i="4" s="1"/>
  <c r="AA29" i="4" s="1"/>
  <c r="AA28" i="4" s="1"/>
  <c r="AA27" i="4" s="1"/>
  <c r="AA26" i="4" s="1"/>
  <c r="AA25" i="4" s="1"/>
  <c r="AA24" i="4" s="1"/>
  <c r="AA23" i="4" s="1"/>
  <c r="AA22" i="4" s="1"/>
  <c r="AA21" i="4" s="1"/>
  <c r="AA20" i="4" s="1"/>
  <c r="AA19" i="4" s="1"/>
  <c r="AA18" i="4" s="1"/>
  <c r="AA17" i="4" s="1"/>
  <c r="AA16" i="4" s="1"/>
  <c r="AA15" i="4" s="1"/>
  <c r="AA14" i="4" s="1"/>
  <c r="AA13" i="4" s="1"/>
  <c r="AA12" i="4" s="1"/>
  <c r="M2" i="4" l="1"/>
  <c r="M3" i="4"/>
  <c r="M4" i="4"/>
  <c r="M5" i="4"/>
  <c r="M6" i="4"/>
  <c r="M7" i="4"/>
  <c r="M8" i="4"/>
  <c r="M9" i="4"/>
  <c r="M10" i="4"/>
  <c r="M11" i="4"/>
  <c r="M32" i="4"/>
  <c r="M33" i="4"/>
  <c r="M34" i="4"/>
  <c r="M35" i="4"/>
  <c r="X44" i="4" l="1"/>
  <c r="X43" i="4" s="1"/>
  <c r="X42" i="4" s="1"/>
  <c r="X41" i="4" s="1"/>
  <c r="X40" i="4" s="1"/>
  <c r="X39" i="4" s="1"/>
  <c r="X38" i="4" s="1"/>
  <c r="X37" i="4" s="1"/>
  <c r="X36" i="4" s="1"/>
  <c r="X35" i="4" s="1"/>
  <c r="X34" i="4" s="1"/>
  <c r="X33" i="4" s="1"/>
  <c r="X32" i="4" s="1"/>
  <c r="X31" i="4" s="1"/>
  <c r="X30" i="4" s="1"/>
  <c r="X29" i="4" s="1"/>
  <c r="X28" i="4" s="1"/>
  <c r="X27" i="4" s="1"/>
  <c r="X26" i="4" s="1"/>
  <c r="X25" i="4" s="1"/>
  <c r="X24" i="4" s="1"/>
  <c r="X23" i="4" s="1"/>
  <c r="X22" i="4" s="1"/>
  <c r="X21" i="4" s="1"/>
  <c r="X20" i="4" s="1"/>
  <c r="X19" i="4" s="1"/>
  <c r="X18" i="4" s="1"/>
  <c r="X17" i="4" s="1"/>
  <c r="X16" i="4" s="1"/>
  <c r="X15" i="4" s="1"/>
  <c r="X14" i="4" s="1"/>
  <c r="X13" i="4" s="1"/>
  <c r="X12" i="4" s="1"/>
  <c r="Y61" i="4" l="1"/>
  <c r="Y62" i="4"/>
  <c r="Y63" i="4"/>
  <c r="Y64" i="4"/>
  <c r="Y65" i="4"/>
  <c r="Y66" i="4"/>
  <c r="Y67" i="4"/>
  <c r="Y68" i="4"/>
  <c r="Y69" i="4"/>
  <c r="Y60" i="4"/>
  <c r="R62" i="4" l="1"/>
  <c r="R63" i="4"/>
  <c r="R64" i="4"/>
  <c r="R65" i="4"/>
  <c r="R66" i="4"/>
  <c r="R67" i="4"/>
  <c r="R61" i="4"/>
  <c r="K70"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M36" i="4" s="1"/>
  <c r="K37" i="4"/>
  <c r="M37" i="4" s="1"/>
  <c r="K38" i="4"/>
  <c r="M38" i="4" s="1"/>
  <c r="K39" i="4"/>
  <c r="M39" i="4" s="1"/>
  <c r="K40" i="4"/>
  <c r="M40" i="4" s="1"/>
  <c r="K41" i="4"/>
  <c r="M41" i="4" s="1"/>
  <c r="K42" i="4"/>
  <c r="M42" i="4" s="1"/>
  <c r="K43" i="4"/>
  <c r="M43" i="4" s="1"/>
  <c r="K44" i="4"/>
  <c r="M44" i="4" s="1"/>
  <c r="K45" i="4"/>
  <c r="M45" i="4" s="1"/>
  <c r="K46" i="4"/>
  <c r="M46" i="4" s="1"/>
  <c r="K47" i="4"/>
  <c r="M47" i="4" s="1"/>
  <c r="K48" i="4"/>
  <c r="M48" i="4" s="1"/>
  <c r="K49" i="4"/>
  <c r="M49" i="4" s="1"/>
  <c r="K50" i="4"/>
  <c r="M50" i="4" s="1"/>
  <c r="K51" i="4"/>
  <c r="M51" i="4" s="1"/>
  <c r="K52" i="4"/>
  <c r="M52" i="4" s="1"/>
  <c r="K53" i="4"/>
  <c r="M53" i="4" s="1"/>
  <c r="K54" i="4"/>
  <c r="M54" i="4" s="1"/>
  <c r="K55" i="4"/>
  <c r="M55" i="4" s="1"/>
  <c r="K56" i="4"/>
  <c r="M56" i="4" s="1"/>
  <c r="K57" i="4"/>
  <c r="M57" i="4" s="1"/>
  <c r="K58" i="4"/>
  <c r="M58" i="4" s="1"/>
  <c r="K59" i="4"/>
  <c r="M59" i="4" s="1"/>
  <c r="K60" i="4"/>
  <c r="M60" i="4" s="1"/>
  <c r="K61" i="4"/>
  <c r="M61" i="4" s="1"/>
  <c r="K62" i="4"/>
  <c r="M62" i="4" s="1"/>
  <c r="K63" i="4"/>
  <c r="M63" i="4" s="1"/>
  <c r="K64" i="4"/>
  <c r="M64" i="4" s="1"/>
  <c r="K65" i="4"/>
  <c r="M65" i="4" s="1"/>
  <c r="K66" i="4"/>
  <c r="M66" i="4" s="1"/>
  <c r="K67" i="4"/>
  <c r="M67" i="4" s="1"/>
  <c r="K68" i="4"/>
  <c r="M68" i="4" s="1"/>
  <c r="K69" i="4"/>
  <c r="M69" i="4" s="1"/>
  <c r="K2"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C35" i="4"/>
  <c r="B35" i="4" s="1"/>
  <c r="I43" i="4"/>
  <c r="J31" i="4"/>
  <c r="H44" i="4"/>
  <c r="H45" i="4"/>
  <c r="H46" i="4"/>
  <c r="H47" i="4"/>
  <c r="H48" i="4"/>
  <c r="H49" i="4"/>
  <c r="H50" i="4"/>
  <c r="H51" i="4"/>
  <c r="H52" i="4"/>
  <c r="H53" i="4"/>
  <c r="H54" i="4"/>
  <c r="H55" i="4"/>
  <c r="H56" i="4"/>
  <c r="H60" i="4"/>
  <c r="H61" i="4"/>
  <c r="H62" i="4"/>
  <c r="H63" i="4"/>
  <c r="H64" i="4"/>
  <c r="H65" i="4"/>
  <c r="H66" i="4"/>
  <c r="H67" i="4"/>
  <c r="H68" i="4"/>
  <c r="H69" i="4"/>
  <c r="N28" i="4"/>
  <c r="N29" i="4"/>
  <c r="N30" i="4"/>
  <c r="N31" i="4"/>
  <c r="N32" i="4"/>
  <c r="N33" i="4"/>
  <c r="N34" i="4"/>
  <c r="N35" i="4"/>
  <c r="N36" i="4"/>
  <c r="N37" i="4"/>
  <c r="N38" i="4"/>
  <c r="N39" i="4"/>
  <c r="N40" i="4"/>
  <c r="N41" i="4"/>
  <c r="N42" i="4"/>
  <c r="N43" i="4"/>
  <c r="N44" i="4"/>
  <c r="N45" i="4"/>
  <c r="N46" i="4"/>
  <c r="N47" i="4"/>
  <c r="N48" i="4"/>
  <c r="N49" i="4"/>
  <c r="N50" i="4"/>
  <c r="N51" i="4"/>
  <c r="K87" i="4" l="1"/>
  <c r="M70" i="4"/>
  <c r="H43" i="4"/>
  <c r="J30" i="4"/>
  <c r="M31" i="4"/>
  <c r="C34" i="4"/>
  <c r="I42" i="4"/>
  <c r="N27" i="4"/>
  <c r="B72" i="3"/>
  <c r="K88" i="4" l="1"/>
  <c r="K89" i="4" s="1"/>
  <c r="K90" i="4" s="1"/>
  <c r="K91" i="4" s="1"/>
  <c r="K92" i="4" s="1"/>
  <c r="K93" i="4" s="1"/>
  <c r="K94" i="4" s="1"/>
  <c r="K95" i="4" s="1"/>
  <c r="K96" i="4" s="1"/>
  <c r="K97" i="4" s="1"/>
  <c r="K98" i="4" s="1"/>
  <c r="K99" i="4" s="1"/>
  <c r="K100" i="4" s="1"/>
  <c r="K101" i="4" s="1"/>
  <c r="K102" i="4" s="1"/>
  <c r="K103" i="4" s="1"/>
  <c r="K104" i="4" s="1"/>
  <c r="K105" i="4" s="1"/>
  <c r="K106" i="4" s="1"/>
  <c r="K107" i="4" s="1"/>
  <c r="K108" i="4" s="1"/>
  <c r="M87" i="4"/>
  <c r="M88" i="4" s="1"/>
  <c r="M89" i="4" s="1"/>
  <c r="M90" i="4" s="1"/>
  <c r="M91" i="4" s="1"/>
  <c r="M92" i="4" s="1"/>
  <c r="M93" i="4" s="1"/>
  <c r="M94" i="4" s="1"/>
  <c r="M95" i="4" s="1"/>
  <c r="M96" i="4" s="1"/>
  <c r="M97" i="4" s="1"/>
  <c r="M98" i="4" s="1"/>
  <c r="N87" i="4"/>
  <c r="N88" i="4" s="1"/>
  <c r="N89" i="4" s="1"/>
  <c r="N90" i="4" s="1"/>
  <c r="N91" i="4" s="1"/>
  <c r="N92" i="4" s="1"/>
  <c r="L87" i="4"/>
  <c r="L88" i="4" s="1"/>
  <c r="L89" i="4" s="1"/>
  <c r="L90" i="4" s="1"/>
  <c r="L91" i="4" s="1"/>
  <c r="L92" i="4" s="1"/>
  <c r="L93" i="4" s="1"/>
  <c r="L94" i="4" s="1"/>
  <c r="L95" i="4" s="1"/>
  <c r="L96" i="4" s="1"/>
  <c r="L97" i="4" s="1"/>
  <c r="L98" i="4" s="1"/>
  <c r="L99" i="4" s="1"/>
  <c r="L100" i="4" s="1"/>
  <c r="L101" i="4" s="1"/>
  <c r="L102" i="4" s="1"/>
  <c r="L103" i="4" s="1"/>
  <c r="L104" i="4" s="1"/>
  <c r="L105" i="4" s="1"/>
  <c r="L106" i="4" s="1"/>
  <c r="L107" i="4" s="1"/>
  <c r="L108" i="4" s="1"/>
  <c r="J29" i="4"/>
  <c r="M30" i="4"/>
  <c r="H42" i="4"/>
  <c r="I41" i="4"/>
  <c r="C33" i="4"/>
  <c r="B34" i="4"/>
  <c r="N26" i="4"/>
  <c r="K28" i="5"/>
  <c r="Q28" i="5" s="1"/>
  <c r="K2" i="5"/>
  <c r="K3" i="5"/>
  <c r="V3" i="5" s="1"/>
  <c r="K4" i="5"/>
  <c r="V4" i="5" s="1"/>
  <c r="K5" i="5"/>
  <c r="V5" i="5" s="1"/>
  <c r="K6" i="5"/>
  <c r="K7" i="5"/>
  <c r="K8" i="5"/>
  <c r="K9" i="5"/>
  <c r="V9" i="5" s="1"/>
  <c r="K10" i="5"/>
  <c r="K11" i="5"/>
  <c r="V11" i="5" s="1"/>
  <c r="K12" i="5"/>
  <c r="V12" i="5" s="1"/>
  <c r="K13" i="5"/>
  <c r="V13" i="5" s="1"/>
  <c r="K14" i="5"/>
  <c r="K15" i="5"/>
  <c r="K16" i="5"/>
  <c r="V16" i="5" s="1"/>
  <c r="K17" i="5"/>
  <c r="V17" i="5" s="1"/>
  <c r="K18" i="5"/>
  <c r="K19" i="5"/>
  <c r="K20" i="5"/>
  <c r="Q20" i="5" s="1"/>
  <c r="K21" i="5"/>
  <c r="V21" i="5" s="1"/>
  <c r="K22" i="5"/>
  <c r="K23" i="5"/>
  <c r="K24" i="5"/>
  <c r="K25" i="5"/>
  <c r="V25" i="5" s="1"/>
  <c r="K26" i="5"/>
  <c r="K27" i="5"/>
  <c r="V27" i="5" s="1"/>
  <c r="K29" i="5"/>
  <c r="W31" i="5"/>
  <c r="W32" i="5"/>
  <c r="W33" i="5"/>
  <c r="W34" i="5"/>
  <c r="W35" i="5"/>
  <c r="W36" i="5"/>
  <c r="W37" i="5"/>
  <c r="W38" i="5"/>
  <c r="W39" i="5"/>
  <c r="W30" i="5"/>
  <c r="V2" i="5"/>
  <c r="V6" i="5"/>
  <c r="V7" i="5"/>
  <c r="V8" i="5"/>
  <c r="V10" i="5"/>
  <c r="V14" i="5"/>
  <c r="V15" i="5"/>
  <c r="V18" i="5"/>
  <c r="V19" i="5"/>
  <c r="V22" i="5"/>
  <c r="V23" i="5"/>
  <c r="V24" i="5"/>
  <c r="V26"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209" i="5"/>
  <c r="V210" i="5"/>
  <c r="V211" i="5"/>
  <c r="V212" i="5"/>
  <c r="V213" i="5"/>
  <c r="V214" i="5"/>
  <c r="V215" i="5"/>
  <c r="V216" i="5"/>
  <c r="V217" i="5"/>
  <c r="V218" i="5"/>
  <c r="V219" i="5"/>
  <c r="V220" i="5"/>
  <c r="V221" i="5"/>
  <c r="V222" i="5"/>
  <c r="V223" i="5"/>
  <c r="V224" i="5"/>
  <c r="V225" i="5"/>
  <c r="V226" i="5"/>
  <c r="V227" i="5"/>
  <c r="V228" i="5"/>
  <c r="V229" i="5"/>
  <c r="V230" i="5"/>
  <c r="V231" i="5"/>
  <c r="V232" i="5"/>
  <c r="V233" i="5"/>
  <c r="V234" i="5"/>
  <c r="V235" i="5"/>
  <c r="V236" i="5"/>
  <c r="V237" i="5"/>
  <c r="V238" i="5"/>
  <c r="V239" i="5"/>
  <c r="V240" i="5"/>
  <c r="V241" i="5"/>
  <c r="V242" i="5"/>
  <c r="V243" i="5"/>
  <c r="V244" i="5"/>
  <c r="V245" i="5"/>
  <c r="V246" i="5"/>
  <c r="V247" i="5"/>
  <c r="V248" i="5"/>
  <c r="V249" i="5"/>
  <c r="V250" i="5"/>
  <c r="V251" i="5"/>
  <c r="U2" i="5"/>
  <c r="U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51" i="5"/>
  <c r="U52" i="5"/>
  <c r="U53" i="5"/>
  <c r="U54" i="5"/>
  <c r="U55" i="5"/>
  <c r="U56" i="5"/>
  <c r="U57" i="5"/>
  <c r="U58" i="5"/>
  <c r="U59" i="5"/>
  <c r="U60" i="5"/>
  <c r="U61" i="5"/>
  <c r="U62" i="5"/>
  <c r="U63" i="5"/>
  <c r="U64" i="5"/>
  <c r="U65" i="5"/>
  <c r="U66" i="5"/>
  <c r="U67" i="5"/>
  <c r="U68" i="5"/>
  <c r="U69" i="5"/>
  <c r="U70" i="5"/>
  <c r="U71" i="5"/>
  <c r="U72" i="5"/>
  <c r="U73" i="5"/>
  <c r="U74" i="5"/>
  <c r="U75" i="5"/>
  <c r="U76" i="5"/>
  <c r="U77" i="5"/>
  <c r="U78" i="5"/>
  <c r="U79" i="5"/>
  <c r="U80" i="5"/>
  <c r="U81" i="5"/>
  <c r="U82" i="5"/>
  <c r="U83" i="5"/>
  <c r="U84" i="5"/>
  <c r="U85" i="5"/>
  <c r="U86" i="5"/>
  <c r="U87" i="5"/>
  <c r="U88" i="5"/>
  <c r="U89" i="5"/>
  <c r="U90" i="5"/>
  <c r="U91" i="5"/>
  <c r="U92" i="5"/>
  <c r="U93" i="5"/>
  <c r="U94" i="5"/>
  <c r="U95" i="5"/>
  <c r="U96" i="5"/>
  <c r="U97" i="5"/>
  <c r="U98" i="5"/>
  <c r="U99" i="5"/>
  <c r="U100" i="5"/>
  <c r="U101" i="5"/>
  <c r="U102" i="5"/>
  <c r="U103" i="5"/>
  <c r="U104" i="5"/>
  <c r="U105" i="5"/>
  <c r="U106" i="5"/>
  <c r="U107" i="5"/>
  <c r="U108" i="5"/>
  <c r="U109" i="5"/>
  <c r="U110" i="5"/>
  <c r="U111" i="5"/>
  <c r="U112" i="5"/>
  <c r="U113" i="5"/>
  <c r="U114" i="5"/>
  <c r="U115" i="5"/>
  <c r="U116" i="5"/>
  <c r="U117" i="5"/>
  <c r="U118" i="5"/>
  <c r="U119" i="5"/>
  <c r="U120" i="5"/>
  <c r="U121" i="5"/>
  <c r="U122" i="5"/>
  <c r="U123" i="5"/>
  <c r="U124" i="5"/>
  <c r="U125" i="5"/>
  <c r="U126" i="5"/>
  <c r="U127" i="5"/>
  <c r="U128" i="5"/>
  <c r="U129" i="5"/>
  <c r="U130" i="5"/>
  <c r="U131" i="5"/>
  <c r="U132" i="5"/>
  <c r="U133" i="5"/>
  <c r="U134" i="5"/>
  <c r="U135" i="5"/>
  <c r="U136"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W242" i="5" s="1"/>
  <c r="U243" i="5"/>
  <c r="W243" i="5" s="1"/>
  <c r="U244" i="5"/>
  <c r="W244" i="5" s="1"/>
  <c r="U245" i="5"/>
  <c r="U246" i="5"/>
  <c r="U247" i="5"/>
  <c r="U248" i="5"/>
  <c r="U249" i="5"/>
  <c r="U250" i="5"/>
  <c r="U251" i="5"/>
  <c r="W251" i="5" s="1"/>
  <c r="W247" i="5"/>
  <c r="S2" i="5"/>
  <c r="S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28" i="5"/>
  <c r="S229" i="5"/>
  <c r="S230" i="5"/>
  <c r="S231" i="5"/>
  <c r="S232" i="5"/>
  <c r="S233" i="5"/>
  <c r="S234" i="5"/>
  <c r="S235" i="5"/>
  <c r="S236" i="5"/>
  <c r="S237" i="5"/>
  <c r="S238" i="5"/>
  <c r="S239" i="5"/>
  <c r="S240" i="5"/>
  <c r="S241" i="5"/>
  <c r="S242" i="5"/>
  <c r="S243" i="5"/>
  <c r="S244" i="5"/>
  <c r="S245" i="5"/>
  <c r="S246" i="5"/>
  <c r="S247" i="5"/>
  <c r="S248" i="5"/>
  <c r="S249" i="5"/>
  <c r="S250" i="5"/>
  <c r="S251" i="5"/>
  <c r="R2" i="5"/>
  <c r="R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Q2" i="5"/>
  <c r="Q3" i="5"/>
  <c r="Q4" i="5"/>
  <c r="Q6" i="5"/>
  <c r="Q7" i="5"/>
  <c r="Q8" i="5"/>
  <c r="Q10" i="5"/>
  <c r="Q11" i="5"/>
  <c r="Q12" i="5"/>
  <c r="Q14" i="5"/>
  <c r="Q15" i="5"/>
  <c r="Q16" i="5"/>
  <c r="Q18" i="5"/>
  <c r="Q19" i="5"/>
  <c r="Q22" i="5"/>
  <c r="Q23" i="5"/>
  <c r="Q24" i="5"/>
  <c r="Q26" i="5"/>
  <c r="Q27" i="5"/>
  <c r="Q30" i="5"/>
  <c r="Q31" i="5"/>
  <c r="Q32" i="5"/>
  <c r="Q33" i="5"/>
  <c r="Q34" i="5"/>
  <c r="Q35" i="5"/>
  <c r="Q36" i="5"/>
  <c r="Q37" i="5"/>
  <c r="Q38" i="5"/>
  <c r="Q39" i="5"/>
  <c r="Q40" i="5"/>
  <c r="Q41" i="5"/>
  <c r="Q42" i="5"/>
  <c r="Q43" i="5"/>
  <c r="Q44" i="5"/>
  <c r="Q45" i="5"/>
  <c r="Q46" i="5"/>
  <c r="Q47" i="5"/>
  <c r="Q48" i="5"/>
  <c r="Q49" i="5"/>
  <c r="Q50" i="5"/>
  <c r="Q51" i="5"/>
  <c r="Q52" i="5"/>
  <c r="Q53" i="5"/>
  <c r="Q54" i="5"/>
  <c r="Q55" i="5"/>
  <c r="Q56" i="5"/>
  <c r="Q57" i="5"/>
  <c r="Q58" i="5"/>
  <c r="Q59" i="5"/>
  <c r="Q60" i="5"/>
  <c r="Q61" i="5"/>
  <c r="Q62" i="5"/>
  <c r="Q63" i="5"/>
  <c r="Q64" i="5"/>
  <c r="Q65" i="5"/>
  <c r="Q66" i="5"/>
  <c r="Q67" i="5"/>
  <c r="Q68" i="5"/>
  <c r="Q69" i="5"/>
  <c r="Q70" i="5"/>
  <c r="Q71" i="5"/>
  <c r="Q72" i="5"/>
  <c r="Q73" i="5"/>
  <c r="Q74" i="5"/>
  <c r="Q75" i="5"/>
  <c r="Q76" i="5"/>
  <c r="Q77" i="5"/>
  <c r="Q78" i="5"/>
  <c r="Q79" i="5"/>
  <c r="Q80" i="5"/>
  <c r="Q81" i="5"/>
  <c r="Q82" i="5"/>
  <c r="Q83" i="5"/>
  <c r="Q84" i="5"/>
  <c r="Q85" i="5"/>
  <c r="Q86" i="5"/>
  <c r="Q87" i="5"/>
  <c r="Q88" i="5"/>
  <c r="Q89" i="5"/>
  <c r="Q90" i="5"/>
  <c r="Q91" i="5"/>
  <c r="Q92" i="5"/>
  <c r="Q93" i="5"/>
  <c r="Q94" i="5"/>
  <c r="Q95" i="5"/>
  <c r="Q96" i="5"/>
  <c r="Q97" i="5"/>
  <c r="Q98" i="5"/>
  <c r="Q99" i="5"/>
  <c r="Q100" i="5"/>
  <c r="Q101" i="5"/>
  <c r="Q102" i="5"/>
  <c r="Q103" i="5"/>
  <c r="Q104" i="5"/>
  <c r="Q105" i="5"/>
  <c r="Q106" i="5"/>
  <c r="Q107" i="5"/>
  <c r="Q108" i="5"/>
  <c r="Q109" i="5"/>
  <c r="Q110" i="5"/>
  <c r="Q111" i="5"/>
  <c r="Q112" i="5"/>
  <c r="Q113" i="5"/>
  <c r="Q114" i="5"/>
  <c r="Q115" i="5"/>
  <c r="Q116" i="5"/>
  <c r="Q117" i="5"/>
  <c r="Q118" i="5"/>
  <c r="Q119" i="5"/>
  <c r="Q120" i="5"/>
  <c r="Q121" i="5"/>
  <c r="Q122" i="5"/>
  <c r="Q123" i="5"/>
  <c r="Q124" i="5"/>
  <c r="Q125" i="5"/>
  <c r="Q126" i="5"/>
  <c r="Q127" i="5"/>
  <c r="Q128" i="5"/>
  <c r="Q129" i="5"/>
  <c r="Q130" i="5"/>
  <c r="Q131" i="5"/>
  <c r="Q132" i="5"/>
  <c r="Q133" i="5"/>
  <c r="Q134" i="5"/>
  <c r="Q135" i="5"/>
  <c r="Q136" i="5"/>
  <c r="Q137" i="5"/>
  <c r="Q138" i="5"/>
  <c r="Q139" i="5"/>
  <c r="Q140" i="5"/>
  <c r="Q141" i="5"/>
  <c r="Q142" i="5"/>
  <c r="Q143" i="5"/>
  <c r="Q144" i="5"/>
  <c r="Q145" i="5"/>
  <c r="Q146" i="5"/>
  <c r="Q147" i="5"/>
  <c r="Q148" i="5"/>
  <c r="Q149" i="5"/>
  <c r="Q150" i="5"/>
  <c r="Q151" i="5"/>
  <c r="Q152" i="5"/>
  <c r="Q153" i="5"/>
  <c r="Q154" i="5"/>
  <c r="Q155" i="5"/>
  <c r="Q156" i="5"/>
  <c r="Q157" i="5"/>
  <c r="Q158" i="5"/>
  <c r="Q159" i="5"/>
  <c r="Q160" i="5"/>
  <c r="Q161" i="5"/>
  <c r="Q162" i="5"/>
  <c r="Q163" i="5"/>
  <c r="Q164" i="5"/>
  <c r="Q165" i="5"/>
  <c r="Q166" i="5"/>
  <c r="Q167" i="5"/>
  <c r="Q168" i="5"/>
  <c r="Q169" i="5"/>
  <c r="Q170" i="5"/>
  <c r="Q171" i="5"/>
  <c r="Q172" i="5"/>
  <c r="Q173" i="5"/>
  <c r="Q174" i="5"/>
  <c r="Q175" i="5"/>
  <c r="Q176" i="5"/>
  <c r="Q177" i="5"/>
  <c r="Q178" i="5"/>
  <c r="Q179" i="5"/>
  <c r="Q180" i="5"/>
  <c r="Q181" i="5"/>
  <c r="Q182" i="5"/>
  <c r="Q183" i="5"/>
  <c r="Q184" i="5"/>
  <c r="Q185" i="5"/>
  <c r="Q186" i="5"/>
  <c r="Q187" i="5"/>
  <c r="Q188" i="5"/>
  <c r="Q189" i="5"/>
  <c r="Q190" i="5"/>
  <c r="Q191" i="5"/>
  <c r="Q192" i="5"/>
  <c r="Q193" i="5"/>
  <c r="Q194" i="5"/>
  <c r="Q195" i="5"/>
  <c r="Q196" i="5"/>
  <c r="Q197" i="5"/>
  <c r="Q198" i="5"/>
  <c r="Q199" i="5"/>
  <c r="Q200" i="5"/>
  <c r="Q201" i="5"/>
  <c r="Q202" i="5"/>
  <c r="Q203" i="5"/>
  <c r="Q204" i="5"/>
  <c r="Q205" i="5"/>
  <c r="Q206" i="5"/>
  <c r="Q207" i="5"/>
  <c r="Q208" i="5"/>
  <c r="Q209" i="5"/>
  <c r="Q210" i="5"/>
  <c r="Q211" i="5"/>
  <c r="Q212" i="5"/>
  <c r="Q213" i="5"/>
  <c r="Q214" i="5"/>
  <c r="Q215" i="5"/>
  <c r="Q216" i="5"/>
  <c r="Q217" i="5"/>
  <c r="Q218" i="5"/>
  <c r="Q219" i="5"/>
  <c r="Q220" i="5"/>
  <c r="Q221" i="5"/>
  <c r="Q222" i="5"/>
  <c r="Q223" i="5"/>
  <c r="Q224" i="5"/>
  <c r="Q225" i="5"/>
  <c r="Q226" i="5"/>
  <c r="Q227" i="5"/>
  <c r="Q228" i="5"/>
  <c r="Q229" i="5"/>
  <c r="Q230" i="5"/>
  <c r="Q231" i="5"/>
  <c r="Q232" i="5"/>
  <c r="Q233" i="5"/>
  <c r="Q234" i="5"/>
  <c r="Q235" i="5"/>
  <c r="Q236" i="5"/>
  <c r="Q237" i="5"/>
  <c r="Q238" i="5"/>
  <c r="Q239" i="5"/>
  <c r="Q240" i="5"/>
  <c r="Q241" i="5"/>
  <c r="Q242" i="5"/>
  <c r="Q243" i="5"/>
  <c r="Q244" i="5"/>
  <c r="Q245" i="5"/>
  <c r="Q246" i="5"/>
  <c r="Q247" i="5"/>
  <c r="Q248" i="5"/>
  <c r="Q249" i="5"/>
  <c r="Q250" i="5"/>
  <c r="Q251" i="5"/>
  <c r="H39" i="5"/>
  <c r="G39" i="5"/>
  <c r="F39" i="5"/>
  <c r="H38" i="5"/>
  <c r="G38" i="5"/>
  <c r="F38" i="5"/>
  <c r="H37" i="5"/>
  <c r="G37" i="5"/>
  <c r="F37" i="5"/>
  <c r="H36" i="5"/>
  <c r="G36" i="5"/>
  <c r="F36" i="5"/>
  <c r="H35" i="5"/>
  <c r="G35" i="5"/>
  <c r="F35" i="5"/>
  <c r="H34" i="5"/>
  <c r="G34" i="5"/>
  <c r="F34" i="5"/>
  <c r="H33" i="5"/>
  <c r="G33" i="5"/>
  <c r="F33" i="5"/>
  <c r="H32" i="5"/>
  <c r="G32" i="5"/>
  <c r="F32" i="5"/>
  <c r="H31" i="5"/>
  <c r="G31" i="5"/>
  <c r="F31" i="5"/>
  <c r="H30" i="5"/>
  <c r="G30" i="5"/>
  <c r="F30" i="5"/>
  <c r="G29" i="5"/>
  <c r="F29" i="5"/>
  <c r="D29" i="5" s="1"/>
  <c r="G28" i="5"/>
  <c r="F28" i="5"/>
  <c r="D28" i="5" s="1"/>
  <c r="G27" i="5"/>
  <c r="F27" i="5"/>
  <c r="D27" i="5" s="1"/>
  <c r="C27" i="5"/>
  <c r="C29" i="5" s="1"/>
  <c r="G26" i="5"/>
  <c r="F26" i="5"/>
  <c r="D26" i="5" s="1"/>
  <c r="C26" i="5"/>
  <c r="G25" i="5"/>
  <c r="F25" i="5"/>
  <c r="D25" i="5" s="1"/>
  <c r="C25" i="5"/>
  <c r="G24" i="5"/>
  <c r="F24" i="5"/>
  <c r="D24" i="5" s="1"/>
  <c r="C24" i="5"/>
  <c r="G23" i="5"/>
  <c r="F23" i="5"/>
  <c r="D23" i="5" s="1"/>
  <c r="C23" i="5"/>
  <c r="G22" i="5"/>
  <c r="F22" i="5"/>
  <c r="D22" i="5" s="1"/>
  <c r="C22" i="5"/>
  <c r="G21" i="5"/>
  <c r="F21" i="5"/>
  <c r="D21" i="5" s="1"/>
  <c r="C21" i="5"/>
  <c r="G20" i="5"/>
  <c r="F20" i="5"/>
  <c r="D20" i="5" s="1"/>
  <c r="C20" i="5"/>
  <c r="G19" i="5"/>
  <c r="F19" i="5"/>
  <c r="D19" i="5" s="1"/>
  <c r="C19" i="5"/>
  <c r="G18" i="5"/>
  <c r="F18" i="5"/>
  <c r="D18" i="5" s="1"/>
  <c r="C18" i="5"/>
  <c r="G17" i="5"/>
  <c r="F17" i="5"/>
  <c r="D17" i="5" s="1"/>
  <c r="C17" i="5"/>
  <c r="G16" i="5"/>
  <c r="F16" i="5"/>
  <c r="D16" i="5" s="1"/>
  <c r="C16" i="5"/>
  <c r="G15" i="5"/>
  <c r="F15" i="5"/>
  <c r="D15" i="5" s="1"/>
  <c r="C15" i="5"/>
  <c r="G14" i="5"/>
  <c r="F14" i="5"/>
  <c r="D14" i="5" s="1"/>
  <c r="C14" i="5"/>
  <c r="G13" i="5"/>
  <c r="F13" i="5"/>
  <c r="D13" i="5" s="1"/>
  <c r="C13" i="5"/>
  <c r="C12" i="5"/>
  <c r="C11" i="5"/>
  <c r="C10" i="5"/>
  <c r="C9" i="5"/>
  <c r="C8" i="5"/>
  <c r="C7" i="5"/>
  <c r="C6" i="5"/>
  <c r="C5" i="5"/>
  <c r="C4" i="5"/>
  <c r="C3" i="5"/>
  <c r="C2" i="5"/>
  <c r="H57" i="4"/>
  <c r="H58" i="4"/>
  <c r="H59" i="4"/>
  <c r="H70" i="4"/>
  <c r="D4" i="5"/>
  <c r="B4" i="5" s="1"/>
  <c r="D5" i="5"/>
  <c r="D6" i="5"/>
  <c r="B6" i="5" s="1"/>
  <c r="D7" i="5"/>
  <c r="D8" i="5"/>
  <c r="B8" i="5" s="1"/>
  <c r="E39" i="4"/>
  <c r="D10" i="5"/>
  <c r="D11" i="5"/>
  <c r="D12" i="5"/>
  <c r="B12" i="5" s="1"/>
  <c r="F43" i="4"/>
  <c r="F44" i="4"/>
  <c r="F45" i="4"/>
  <c r="F46" i="4"/>
  <c r="F47" i="4"/>
  <c r="F48" i="4"/>
  <c r="F49" i="4"/>
  <c r="F50" i="4"/>
  <c r="F51" i="4"/>
  <c r="F52" i="4"/>
  <c r="F53" i="4"/>
  <c r="F54" i="4"/>
  <c r="F55" i="4"/>
  <c r="F56" i="4"/>
  <c r="F57" i="4"/>
  <c r="F58" i="4"/>
  <c r="F59" i="4"/>
  <c r="V20" i="5" l="1"/>
  <c r="W246" i="5"/>
  <c r="B5" i="5"/>
  <c r="B11" i="5"/>
  <c r="B10" i="5"/>
  <c r="W248" i="5"/>
  <c r="W250" i="5"/>
  <c r="J28" i="4"/>
  <c r="M29" i="4"/>
  <c r="C32" i="4"/>
  <c r="E32" i="4" s="1"/>
  <c r="B33" i="4"/>
  <c r="H41" i="4"/>
  <c r="I40" i="4"/>
  <c r="D3" i="5"/>
  <c r="B3" i="5" s="1"/>
  <c r="N25" i="4"/>
  <c r="H28" i="5"/>
  <c r="B7" i="5"/>
  <c r="D9" i="5"/>
  <c r="B9" i="5" s="1"/>
  <c r="V28" i="5"/>
  <c r="W249" i="5"/>
  <c r="Q25" i="5"/>
  <c r="Q21" i="5"/>
  <c r="Q17" i="5"/>
  <c r="Q13" i="5"/>
  <c r="Q9" i="5"/>
  <c r="Q5" i="5"/>
  <c r="V29" i="5"/>
  <c r="W245" i="5"/>
  <c r="H15" i="5"/>
  <c r="B15" i="5"/>
  <c r="H19" i="5"/>
  <c r="B19" i="5"/>
  <c r="H23" i="5"/>
  <c r="B23" i="5"/>
  <c r="B27" i="5"/>
  <c r="B29" i="5"/>
  <c r="B14" i="5"/>
  <c r="H14" i="5"/>
  <c r="B18" i="5"/>
  <c r="H18" i="5"/>
  <c r="B22" i="5"/>
  <c r="H22" i="5"/>
  <c r="B26" i="5"/>
  <c r="H26" i="5"/>
  <c r="H13" i="5"/>
  <c r="B13" i="5"/>
  <c r="H17" i="5"/>
  <c r="B17" i="5"/>
  <c r="H21" i="5"/>
  <c r="B21" i="5"/>
  <c r="H25" i="5"/>
  <c r="B25" i="5"/>
  <c r="B28" i="5"/>
  <c r="B16" i="5"/>
  <c r="H16" i="5"/>
  <c r="B20" i="5"/>
  <c r="H20" i="5"/>
  <c r="B24" i="5"/>
  <c r="H24" i="5"/>
  <c r="C28" i="5"/>
  <c r="H27" i="5"/>
  <c r="H29" i="5"/>
  <c r="E33" i="4"/>
  <c r="E35" i="4"/>
  <c r="E41" i="4"/>
  <c r="E37" i="4"/>
  <c r="F37" i="4" s="1"/>
  <c r="E42" i="4"/>
  <c r="E40" i="4"/>
  <c r="E38" i="4"/>
  <c r="E36" i="4"/>
  <c r="E34" i="4"/>
  <c r="F39" i="4"/>
  <c r="D70" i="3"/>
  <c r="L70" i="3" s="1"/>
  <c r="N70" i="3" l="1"/>
  <c r="M70" i="3"/>
  <c r="J27" i="4"/>
  <c r="M28" i="4"/>
  <c r="I39" i="4"/>
  <c r="H40" i="4"/>
  <c r="C31" i="4"/>
  <c r="B32" i="4"/>
  <c r="D2" i="5"/>
  <c r="B2" i="5" s="1"/>
  <c r="F33" i="4"/>
  <c r="N24" i="4"/>
  <c r="G37" i="4"/>
  <c r="F35" i="4"/>
  <c r="F41" i="4"/>
  <c r="F40" i="4"/>
  <c r="F34" i="4"/>
  <c r="F32" i="4"/>
  <c r="G32" i="4"/>
  <c r="F42" i="4"/>
  <c r="F36" i="4"/>
  <c r="G36" i="4"/>
  <c r="F38" i="4"/>
  <c r="G38" i="4"/>
  <c r="G33" i="3"/>
  <c r="G33" i="4" s="1"/>
  <c r="G34" i="3"/>
  <c r="G34" i="4" s="1"/>
  <c r="G35" i="3"/>
  <c r="G35" i="4" s="1"/>
  <c r="G36" i="3"/>
  <c r="G37" i="3"/>
  <c r="G38" i="3"/>
  <c r="G39" i="3"/>
  <c r="G39" i="4" s="1"/>
  <c r="G40" i="3"/>
  <c r="G40" i="4" s="1"/>
  <c r="G41" i="3"/>
  <c r="G41" i="4" s="1"/>
  <c r="G42" i="3"/>
  <c r="G42" i="4" s="1"/>
  <c r="G43" i="3"/>
  <c r="G43" i="4" s="1"/>
  <c r="G44" i="3"/>
  <c r="G44" i="4" s="1"/>
  <c r="G45" i="3"/>
  <c r="G45" i="4" s="1"/>
  <c r="G46" i="3"/>
  <c r="G46" i="4" s="1"/>
  <c r="G47" i="3"/>
  <c r="G47" i="4" s="1"/>
  <c r="G48" i="3"/>
  <c r="G48" i="4" s="1"/>
  <c r="G49" i="3"/>
  <c r="G49" i="4" s="1"/>
  <c r="G50" i="3"/>
  <c r="G50" i="4" s="1"/>
  <c r="G51" i="3"/>
  <c r="G51" i="4" s="1"/>
  <c r="G52" i="3"/>
  <c r="G52" i="4" s="1"/>
  <c r="G53" i="3"/>
  <c r="G53" i="4" s="1"/>
  <c r="G54" i="3"/>
  <c r="G54" i="4" s="1"/>
  <c r="G55" i="3"/>
  <c r="G55" i="4" s="1"/>
  <c r="G56" i="3"/>
  <c r="G56" i="4" s="1"/>
  <c r="G57" i="3"/>
  <c r="G57" i="4" s="1"/>
  <c r="G58" i="3"/>
  <c r="G58" i="4" s="1"/>
  <c r="G59" i="3"/>
  <c r="G59" i="4" s="1"/>
  <c r="G60" i="3"/>
  <c r="G61" i="3"/>
  <c r="G62" i="3"/>
  <c r="G63" i="3"/>
  <c r="G64" i="3"/>
  <c r="G65" i="3"/>
  <c r="G66" i="3"/>
  <c r="G67" i="3"/>
  <c r="G68" i="3"/>
  <c r="G69" i="3"/>
  <c r="G32" i="3"/>
  <c r="D24" i="3"/>
  <c r="L24" i="3" s="1"/>
  <c r="D25" i="3"/>
  <c r="L25" i="3" s="1"/>
  <c r="D26" i="3"/>
  <c r="L26" i="3" s="1"/>
  <c r="D27" i="3"/>
  <c r="L27" i="3" s="1"/>
  <c r="D28" i="3"/>
  <c r="L28" i="3" s="1"/>
  <c r="D29" i="3"/>
  <c r="L29" i="3" s="1"/>
  <c r="D30" i="3"/>
  <c r="L30" i="3" s="1"/>
  <c r="D31" i="3"/>
  <c r="L31" i="3" s="1"/>
  <c r="D32" i="3"/>
  <c r="L32" i="3" s="1"/>
  <c r="D33" i="3"/>
  <c r="L33" i="3" s="1"/>
  <c r="D34" i="3"/>
  <c r="L34" i="3" s="1"/>
  <c r="D35" i="3"/>
  <c r="L35" i="3" s="1"/>
  <c r="D36" i="3"/>
  <c r="L36" i="3" s="1"/>
  <c r="D37" i="3"/>
  <c r="L37" i="3" s="1"/>
  <c r="D38" i="3"/>
  <c r="L38" i="3" s="1"/>
  <c r="D39" i="3"/>
  <c r="L39" i="3" s="1"/>
  <c r="D40" i="3"/>
  <c r="L40" i="3" s="1"/>
  <c r="D41" i="3"/>
  <c r="L41" i="3" s="1"/>
  <c r="D42" i="3"/>
  <c r="L42" i="3" s="1"/>
  <c r="D43" i="3"/>
  <c r="L43" i="3" s="1"/>
  <c r="D44" i="3"/>
  <c r="L44" i="3" s="1"/>
  <c r="D45" i="3"/>
  <c r="L45" i="3" s="1"/>
  <c r="D46" i="3"/>
  <c r="L46" i="3" s="1"/>
  <c r="D47" i="3"/>
  <c r="L47" i="3" s="1"/>
  <c r="D48" i="3"/>
  <c r="L48" i="3" s="1"/>
  <c r="D49" i="3"/>
  <c r="L49" i="3" s="1"/>
  <c r="D50" i="3"/>
  <c r="L50" i="3" s="1"/>
  <c r="D51" i="3"/>
  <c r="L51" i="3" s="1"/>
  <c r="D52" i="3"/>
  <c r="L52" i="3" s="1"/>
  <c r="D53" i="3"/>
  <c r="L53" i="3" s="1"/>
  <c r="D54" i="3"/>
  <c r="L54" i="3" s="1"/>
  <c r="D55" i="3"/>
  <c r="L55" i="3" s="1"/>
  <c r="D56" i="3"/>
  <c r="L56" i="3" s="1"/>
  <c r="D57" i="3"/>
  <c r="L57" i="3" s="1"/>
  <c r="D58" i="3"/>
  <c r="L58" i="3" s="1"/>
  <c r="D59" i="3"/>
  <c r="L59" i="3" s="1"/>
  <c r="D60" i="3"/>
  <c r="L60" i="3" s="1"/>
  <c r="D61" i="3"/>
  <c r="L61" i="3" s="1"/>
  <c r="D62" i="3"/>
  <c r="L62" i="3" s="1"/>
  <c r="D63" i="3"/>
  <c r="L63" i="3" s="1"/>
  <c r="D64" i="3"/>
  <c r="L64" i="3" s="1"/>
  <c r="D65" i="3"/>
  <c r="L65" i="3" s="1"/>
  <c r="D66" i="3"/>
  <c r="L66" i="3" s="1"/>
  <c r="D67" i="3"/>
  <c r="L67" i="3" s="1"/>
  <c r="D68" i="3"/>
  <c r="L68" i="3" s="1"/>
  <c r="D69" i="3"/>
  <c r="L69" i="3" s="1"/>
  <c r="D3" i="3"/>
  <c r="D4" i="3"/>
  <c r="D5" i="3"/>
  <c r="D6" i="3"/>
  <c r="D7" i="3"/>
  <c r="D8" i="3"/>
  <c r="D9" i="3"/>
  <c r="D10" i="3"/>
  <c r="D11" i="3"/>
  <c r="D14" i="3"/>
  <c r="L14" i="3" s="1"/>
  <c r="D15" i="3"/>
  <c r="L15" i="3" s="1"/>
  <c r="D16" i="3"/>
  <c r="L16" i="3" s="1"/>
  <c r="D17" i="3"/>
  <c r="L17" i="3" s="1"/>
  <c r="D18" i="3"/>
  <c r="L18" i="3" s="1"/>
  <c r="D19" i="3"/>
  <c r="L19" i="3" s="1"/>
  <c r="D20" i="3"/>
  <c r="L20" i="3" s="1"/>
  <c r="D21" i="3"/>
  <c r="L21" i="3" s="1"/>
  <c r="D22" i="3"/>
  <c r="L22" i="3" s="1"/>
  <c r="D23" i="3"/>
  <c r="L23" i="3" s="1"/>
  <c r="D2" i="3"/>
  <c r="N60" i="3" l="1"/>
  <c r="M60" i="3"/>
  <c r="N52" i="3"/>
  <c r="M52" i="3"/>
  <c r="N28" i="3"/>
  <c r="M28" i="3"/>
  <c r="N18" i="3"/>
  <c r="M18" i="3"/>
  <c r="N51" i="3"/>
  <c r="M51" i="3"/>
  <c r="N27" i="3"/>
  <c r="M27" i="3"/>
  <c r="N66" i="3"/>
  <c r="M66" i="3"/>
  <c r="N34" i="3"/>
  <c r="M34" i="3"/>
  <c r="N41" i="3"/>
  <c r="M41" i="3"/>
  <c r="N40" i="3"/>
  <c r="M40" i="3"/>
  <c r="N14" i="3"/>
  <c r="M14" i="3"/>
  <c r="N55" i="3"/>
  <c r="M55" i="3"/>
  <c r="N47" i="3"/>
  <c r="M47" i="3"/>
  <c r="N39" i="3"/>
  <c r="M39" i="3"/>
  <c r="N31" i="3"/>
  <c r="M31" i="3"/>
  <c r="N19" i="3"/>
  <c r="M19" i="3"/>
  <c r="N44" i="3"/>
  <c r="M44" i="3"/>
  <c r="N59" i="3"/>
  <c r="M59" i="3"/>
  <c r="N35" i="3"/>
  <c r="M35" i="3"/>
  <c r="N50" i="3"/>
  <c r="M50" i="3"/>
  <c r="N26" i="3"/>
  <c r="M26" i="3"/>
  <c r="N65" i="3"/>
  <c r="M65" i="3"/>
  <c r="N49" i="3"/>
  <c r="M49" i="3"/>
  <c r="N25" i="3"/>
  <c r="M25" i="3"/>
  <c r="N23" i="3"/>
  <c r="M23" i="3"/>
  <c r="N56" i="3"/>
  <c r="M56" i="3"/>
  <c r="N32" i="3"/>
  <c r="M32" i="3"/>
  <c r="N63" i="3"/>
  <c r="M63" i="3"/>
  <c r="N54" i="3"/>
  <c r="M54" i="3"/>
  <c r="N46" i="3"/>
  <c r="M46" i="3"/>
  <c r="N38" i="3"/>
  <c r="M38" i="3"/>
  <c r="N30" i="3"/>
  <c r="M30" i="3"/>
  <c r="N68" i="3"/>
  <c r="M68" i="3"/>
  <c r="N36" i="3"/>
  <c r="M36" i="3"/>
  <c r="N67" i="3"/>
  <c r="M67" i="3"/>
  <c r="N43" i="3"/>
  <c r="M43" i="3"/>
  <c r="N17" i="3"/>
  <c r="M17" i="3"/>
  <c r="N58" i="3"/>
  <c r="M58" i="3"/>
  <c r="N42" i="3"/>
  <c r="M42" i="3"/>
  <c r="N16" i="3"/>
  <c r="M16" i="3"/>
  <c r="N57" i="3"/>
  <c r="M57" i="3"/>
  <c r="N33" i="3"/>
  <c r="M33" i="3"/>
  <c r="N15" i="3"/>
  <c r="M15" i="3"/>
  <c r="N64" i="3"/>
  <c r="M64" i="3"/>
  <c r="N48" i="3"/>
  <c r="M48" i="3"/>
  <c r="N24" i="3"/>
  <c r="M24" i="3"/>
  <c r="N22" i="3"/>
  <c r="M22" i="3"/>
  <c r="N21" i="3"/>
  <c r="M21" i="3"/>
  <c r="N62" i="3"/>
  <c r="M62" i="3"/>
  <c r="N20" i="3"/>
  <c r="M20" i="3"/>
  <c r="N69" i="3"/>
  <c r="M69" i="3"/>
  <c r="N61" i="3"/>
  <c r="M61" i="3"/>
  <c r="N53" i="3"/>
  <c r="M53" i="3"/>
  <c r="N45" i="3"/>
  <c r="M45" i="3"/>
  <c r="N37" i="3"/>
  <c r="M37" i="3"/>
  <c r="N29" i="3"/>
  <c r="M29" i="3"/>
  <c r="J26" i="4"/>
  <c r="M27" i="4"/>
  <c r="C30" i="4"/>
  <c r="B31" i="4"/>
  <c r="E31" i="4"/>
  <c r="H39" i="4"/>
  <c r="I38" i="4"/>
  <c r="N23" i="4"/>
  <c r="O13" i="3" l="1"/>
  <c r="O14" i="3"/>
  <c r="J25" i="4"/>
  <c r="M26" i="4"/>
  <c r="H38" i="4"/>
  <c r="I37" i="4"/>
  <c r="C29" i="4"/>
  <c r="B30" i="4"/>
  <c r="E30" i="4"/>
  <c r="N22" i="4"/>
  <c r="J24" i="4" l="1"/>
  <c r="M25" i="4"/>
  <c r="H37" i="4"/>
  <c r="I36" i="4"/>
  <c r="C28" i="4"/>
  <c r="B29" i="4"/>
  <c r="E29" i="4"/>
  <c r="N21" i="4"/>
  <c r="J23" i="4" l="1"/>
  <c r="M24" i="4"/>
  <c r="C27" i="4"/>
  <c r="B28" i="4"/>
  <c r="E28" i="4"/>
  <c r="H36" i="4"/>
  <c r="I35" i="4"/>
  <c r="N20" i="4"/>
  <c r="J22" i="4" l="1"/>
  <c r="M23" i="4"/>
  <c r="H35" i="4"/>
  <c r="I34" i="4"/>
  <c r="C26" i="4"/>
  <c r="B27" i="4"/>
  <c r="E27" i="4"/>
  <c r="N19" i="4"/>
  <c r="J21" i="4" l="1"/>
  <c r="M22" i="4"/>
  <c r="C25" i="4"/>
  <c r="B26" i="4"/>
  <c r="E26" i="4"/>
  <c r="H34" i="4"/>
  <c r="I33" i="4"/>
  <c r="N18" i="4"/>
  <c r="J20" i="4" l="1"/>
  <c r="M21" i="4"/>
  <c r="H33" i="4"/>
  <c r="I32" i="4"/>
  <c r="C24" i="4"/>
  <c r="B25" i="4"/>
  <c r="E25" i="4"/>
  <c r="N17" i="4"/>
  <c r="J19" i="4" l="1"/>
  <c r="M20" i="4"/>
  <c r="C23" i="4"/>
  <c r="B24" i="4"/>
  <c r="E24" i="4"/>
  <c r="H32" i="4"/>
  <c r="I31" i="4"/>
  <c r="N16" i="4"/>
  <c r="J18" i="4" l="1"/>
  <c r="M19" i="4"/>
  <c r="H31" i="4"/>
  <c r="I30" i="4"/>
  <c r="C22" i="4"/>
  <c r="B23" i="4"/>
  <c r="E23" i="4"/>
  <c r="N15" i="4"/>
  <c r="J17" i="4" l="1"/>
  <c r="M18" i="4"/>
  <c r="C21" i="4"/>
  <c r="B22" i="4"/>
  <c r="E22" i="4"/>
  <c r="H30" i="4"/>
  <c r="I29" i="4"/>
  <c r="N14" i="4"/>
  <c r="J16" i="4" l="1"/>
  <c r="M17" i="4"/>
  <c r="H29" i="4"/>
  <c r="I28" i="4"/>
  <c r="C20" i="4"/>
  <c r="B21" i="4"/>
  <c r="E21" i="4"/>
  <c r="N13" i="4"/>
  <c r="J15" i="4" l="1"/>
  <c r="M16" i="4"/>
  <c r="C19" i="4"/>
  <c r="B20" i="4"/>
  <c r="E20" i="4"/>
  <c r="H28" i="4"/>
  <c r="I27" i="4"/>
  <c r="N12" i="4"/>
  <c r="J14" i="4" l="1"/>
  <c r="M15" i="4"/>
  <c r="H27" i="4"/>
  <c r="I26" i="4"/>
  <c r="C18" i="4"/>
  <c r="B19" i="4"/>
  <c r="E19" i="4"/>
  <c r="J13" i="4" l="1"/>
  <c r="M14" i="4"/>
  <c r="C17" i="4"/>
  <c r="B18" i="4"/>
  <c r="E18" i="4"/>
  <c r="H26" i="4"/>
  <c r="I25" i="4"/>
  <c r="J12" i="4" l="1"/>
  <c r="M12" i="4" s="1"/>
  <c r="M13" i="4"/>
  <c r="H25" i="4"/>
  <c r="I24" i="4"/>
  <c r="C16" i="4"/>
  <c r="B17" i="4"/>
  <c r="E17" i="4"/>
  <c r="H24" i="4" l="1"/>
  <c r="I23" i="4"/>
  <c r="C15" i="4"/>
  <c r="B16" i="4"/>
  <c r="E16" i="4"/>
  <c r="C14" i="4" l="1"/>
  <c r="B15" i="4"/>
  <c r="E15" i="4"/>
  <c r="H23" i="4"/>
  <c r="I22" i="4"/>
  <c r="H22" i="4" l="1"/>
  <c r="I21" i="4"/>
  <c r="C13" i="4"/>
  <c r="B14" i="4"/>
  <c r="E14" i="4"/>
  <c r="H21" i="4" l="1"/>
  <c r="I20" i="4"/>
  <c r="C12" i="4"/>
  <c r="B13" i="4"/>
  <c r="E13" i="4"/>
  <c r="C11" i="4" l="1"/>
  <c r="B12" i="4"/>
  <c r="E12" i="4"/>
  <c r="H20" i="4"/>
  <c r="I19" i="4"/>
  <c r="H19" i="4" l="1"/>
  <c r="I18" i="4"/>
  <c r="C10" i="4"/>
  <c r="B11" i="4"/>
  <c r="E11" i="4"/>
  <c r="H18" i="4" l="1"/>
  <c r="I17" i="4"/>
  <c r="C9" i="4"/>
  <c r="B10" i="4"/>
  <c r="E10" i="4"/>
  <c r="C8" i="4" l="1"/>
  <c r="B9" i="4"/>
  <c r="E9" i="4"/>
  <c r="H17" i="4"/>
  <c r="I16" i="4"/>
  <c r="H16" i="4" l="1"/>
  <c r="I15" i="4"/>
  <c r="C7" i="4"/>
  <c r="B8" i="4"/>
  <c r="E8" i="4"/>
  <c r="C6" i="4" l="1"/>
  <c r="B7" i="4"/>
  <c r="E7" i="4"/>
  <c r="H15" i="4"/>
  <c r="I14" i="4"/>
  <c r="H14" i="4" l="1"/>
  <c r="I13" i="4"/>
  <c r="C5" i="4"/>
  <c r="B6" i="4"/>
  <c r="E6" i="4"/>
  <c r="C4" i="4" l="1"/>
  <c r="B5" i="4"/>
  <c r="E5" i="4"/>
  <c r="I12" i="4"/>
  <c r="H12" i="4" s="1"/>
  <c r="H13" i="4"/>
  <c r="C3" i="4" l="1"/>
  <c r="B4" i="4"/>
  <c r="E4" i="4"/>
  <c r="C2" i="4" l="1"/>
  <c r="B3" i="4"/>
  <c r="E3" i="4"/>
  <c r="B2" i="4" l="1"/>
  <c r="E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1" authorId="0" shapeId="0" xr:uid="{126E9F50-9B3B-4ABB-9339-EC4562982939}">
      <text>
        <r>
          <rPr>
            <b/>
            <sz val="9"/>
            <color indexed="81"/>
            <rFont val="Tahoma"/>
            <family val="2"/>
          </rPr>
          <t>Author:</t>
        </r>
        <r>
          <rPr>
            <sz val="9"/>
            <color indexed="81"/>
            <rFont val="Tahoma"/>
            <family val="2"/>
          </rPr>
          <t xml:space="preserve">
Refined Use, Woodmac</t>
        </r>
      </text>
    </comment>
    <comment ref="N1" authorId="0" shapeId="0" xr:uid="{5CB0BADD-9B08-41C3-A5C9-EB9EE51D500E}">
      <text>
        <r>
          <rPr>
            <b/>
            <sz val="9"/>
            <color indexed="81"/>
            <rFont val="Tahoma"/>
            <family val="2"/>
          </rPr>
          <t>Author:</t>
        </r>
        <r>
          <rPr>
            <sz val="9"/>
            <color indexed="81"/>
            <rFont val="Tahoma"/>
            <family val="2"/>
          </rPr>
          <t xml:space="preserve">
Direct Use of Scrap, Woodmac</t>
        </r>
      </text>
    </comment>
  </commentList>
</comments>
</file>

<file path=xl/sharedStrings.xml><?xml version="1.0" encoding="utf-8"?>
<sst xmlns="http://schemas.openxmlformats.org/spreadsheetml/2006/main" count="667" uniqueCount="593">
  <si>
    <t>Item</t>
  </si>
  <si>
    <t>Source</t>
  </si>
  <si>
    <t>From Thompson Reuters Datastream, monthly data added</t>
  </si>
  <si>
    <t>From ICSG Statistical Yearbook 2018</t>
  </si>
  <si>
    <t>Extracted from ICSG Factbook 2018 figures</t>
  </si>
  <si>
    <t>Concentrate production, CRU</t>
  </si>
  <si>
    <t>Total mining production</t>
  </si>
  <si>
    <t>B</t>
  </si>
  <si>
    <t>C</t>
  </si>
  <si>
    <t>D</t>
  </si>
  <si>
    <t>E</t>
  </si>
  <si>
    <t>F</t>
  </si>
  <si>
    <t>G</t>
  </si>
  <si>
    <t>H</t>
  </si>
  <si>
    <t>I</t>
  </si>
  <si>
    <t>Concentrate production</t>
  </si>
  <si>
    <t>J</t>
  </si>
  <si>
    <t>K</t>
  </si>
  <si>
    <t>SX-EW production</t>
  </si>
  <si>
    <t>Mining production, ICSG Stat</t>
  </si>
  <si>
    <t>Mining production, ICSG FB figure</t>
  </si>
  <si>
    <t>Mining production, ICSG TR</t>
  </si>
  <si>
    <t>Mining production, ICSG FB Table</t>
  </si>
  <si>
    <t>Concentrate production, ICSG FB figure</t>
  </si>
  <si>
    <t>Concentrate production, ICSG Stat</t>
  </si>
  <si>
    <t>From ICSG Factbook 2018, table in ANNEX</t>
  </si>
  <si>
    <t>SX-EW production, ICSG Stat</t>
  </si>
  <si>
    <t>Smelting primary, ICSG FB Figure</t>
  </si>
  <si>
    <t>Smelting total, ICSG FB Figure</t>
  </si>
  <si>
    <t>Smelting primary, ICSG Stat</t>
  </si>
  <si>
    <t>Smelting total, ICSG Stat</t>
  </si>
  <si>
    <t>Total smelting production</t>
  </si>
  <si>
    <t>Smelting primary, CRU</t>
  </si>
  <si>
    <t>From CRU 'primary feed availability'</t>
  </si>
  <si>
    <t>From CRU 'primary smelter demand'</t>
  </si>
  <si>
    <t>L</t>
  </si>
  <si>
    <t>M</t>
  </si>
  <si>
    <t>N</t>
  </si>
  <si>
    <t>O</t>
  </si>
  <si>
    <t>Primary smelting production</t>
  </si>
  <si>
    <t>P</t>
  </si>
  <si>
    <t>Q</t>
  </si>
  <si>
    <t>R</t>
  </si>
  <si>
    <t>S</t>
  </si>
  <si>
    <t>T</t>
  </si>
  <si>
    <t>U</t>
  </si>
  <si>
    <t>V</t>
  </si>
  <si>
    <t>W</t>
  </si>
  <si>
    <t>Secondary smelting production</t>
  </si>
  <si>
    <t>Refining primary, ICSG FB Figure</t>
  </si>
  <si>
    <t>Refining secondary, ICSG FB Figure</t>
  </si>
  <si>
    <t>Refining primary+SX-EW, ICSG TR</t>
  </si>
  <si>
    <t>Refining secondary, ICSG TR</t>
  </si>
  <si>
    <t>Refining primary, ICSG Stat</t>
  </si>
  <si>
    <t>Refining secondary, ICSG Stat</t>
  </si>
  <si>
    <t>Primary refining production</t>
  </si>
  <si>
    <t>Secondary refining production</t>
  </si>
  <si>
    <t>Refined usage</t>
  </si>
  <si>
    <t>Refined usage, ICSG FB table</t>
  </si>
  <si>
    <t>Refined usage, ICSG TR</t>
  </si>
  <si>
    <t>Refined usage, ICSG Stat</t>
  </si>
  <si>
    <t>Column</t>
  </si>
  <si>
    <t>If use 2018</t>
  </si>
  <si>
    <t>C, prod from ICSG TR</t>
  </si>
  <si>
    <t>H, prod from CRU, but this is forecast</t>
  </si>
  <si>
    <t>Take the difference</t>
  </si>
  <si>
    <t>N, prod from CRU, but this is forecast</t>
  </si>
  <si>
    <t>R, prod from ICSG TR</t>
  </si>
  <si>
    <t>W, prod from ICSG TR</t>
  </si>
  <si>
    <t>Q-(C-H), prod from ICSG TR</t>
  </si>
  <si>
    <t>Another option: 16412.22, from simulation</t>
  </si>
  <si>
    <t>Another option: 4139.21, from simulation</t>
  </si>
  <si>
    <t>Another option: 20551.42, from simulation</t>
  </si>
  <si>
    <t>Another option: Q-SXEW from simulation=19520-4139.21=15380.79</t>
  </si>
  <si>
    <t>Direct melt</t>
  </si>
  <si>
    <t>Direct melt, ICSG presentation</t>
  </si>
  <si>
    <t>Direct melt, ICSG FB 2007</t>
  </si>
  <si>
    <t>X</t>
  </si>
  <si>
    <t>Global Copper Market Drivers 2010-2015, Carlos R. Risopatron, ICSG</t>
  </si>
  <si>
    <t>Y-AC</t>
  </si>
  <si>
    <t>Direct melt, ICSG FB</t>
  </si>
  <si>
    <t>From ICSG Factbook 2007, 2010, 2013, 2016, 2018 (2018 from figure extraction</t>
  </si>
  <si>
    <t>Combined</t>
  </si>
  <si>
    <t>Column1</t>
  </si>
  <si>
    <t>Year</t>
  </si>
  <si>
    <t>1950-1959 based on B, 1960 to 2007 based on E, 2008 to 2017 based on D, China fraction assumed to increase linearly from 1960 to 2008 value at 2017 fraction of Asian production (China 1727 kt in 2017, 1092.7 in 2008 (7.03% of global), Asia 6% in 1960 and 17% (3406 kt) in 2017, so China as 50.7% of Asian production)</t>
  </si>
  <si>
    <t>1950-2007 based on F, 2008 to 2017 based on G, China based on G using total mining production minus SX-EW</t>
  </si>
  <si>
    <t>Secondary</t>
  </si>
  <si>
    <t>Total</t>
  </si>
  <si>
    <t>Primary</t>
  </si>
  <si>
    <t>Total for Asia</t>
  </si>
  <si>
    <t>Primary Fraction</t>
  </si>
  <si>
    <t>Primary Smelting</t>
  </si>
  <si>
    <t>Secondary Smelting</t>
  </si>
  <si>
    <t>Total China Smelting</t>
  </si>
  <si>
    <t>China Fraction of Asia</t>
  </si>
  <si>
    <t>total smelting:concentrate production</t>
  </si>
  <si>
    <t>Equals to E-F (selected), China used exponential fit in JMP</t>
  </si>
  <si>
    <t>1980-2007 based on J, 2008 to 2017 based on L, China used total minus secondary</t>
  </si>
  <si>
    <t>1980-2007 based on K, 2008 to 2017 based on M, China fraction of Asia estimated from 5p logistical fit on 2008-2017, used regional plot for 1991-2017, then 1991-1995 showed a value 1.5x concentrate production so used that to project into the past</t>
  </si>
  <si>
    <t xml:space="preserve"> </t>
  </si>
  <si>
    <t>Global Total</t>
  </si>
  <si>
    <t>Global Primary</t>
  </si>
  <si>
    <t>Global Secondary</t>
  </si>
  <si>
    <t>Year2</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</si>
  <si>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</si>
  <si>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</si>
  <si>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</si>
  <si>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</si>
  <si>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</si>
  <si>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</si>
  <si>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</si>
  <si>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</si>
  <si>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</si>
  <si>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</si>
  <si>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</si>
  <si>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</si>
  <si>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</si>
  <si>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</si>
  <si>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</si>
  <si>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</si>
  <si>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</si>
  <si>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</si>
  <si>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</si>
  <si>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</si>
  <si>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</si>
  <si>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</si>
  <si>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</si>
  <si>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</si>
  <si>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</si>
  <si>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</si>
  <si>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</si>
  <si>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</si>
  <si>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</si>
  <si>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</si>
  <si>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</si>
  <si>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</si>
  <si>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</si>
  <si>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</si>
  <si>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</si>
  <si>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</si>
  <si>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</si>
  <si>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</si>
  <si>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</si>
  <si>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</si>
  <si>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</si>
  <si>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</si>
  <si>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</si>
  <si>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</si>
  <si>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</si>
  <si>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</si>
  <si>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</si>
  <si>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</si>
  <si>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</si>
  <si>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</si>
  <si>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</si>
  <si>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</si>
  <si>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</si>
  <si>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</si>
  <si>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</si>
  <si>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</si>
  <si>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</si>
  <si>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</si>
  <si>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</si>
  <si>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</si>
  <si>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</si>
  <si>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</si>
  <si>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</si>
  <si>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</si>
  <si>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</si>
  <si>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</si>
  <si>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</si>
  <si>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</si>
  <si>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</si>
  <si>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</si>
  <si>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</si>
  <si>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</si>
  <si>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</si>
  <si>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</si>
  <si>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</si>
  <si>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</si>
  <si>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</si>
  <si>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</si>
  <si>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</si>
  <si>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</si>
  <si>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</si>
  <si>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</si>
  <si>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</si>
  <si>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</si>
  <si>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</si>
  <si>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</si>
  <si>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</si>
  <si>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</si>
  <si>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</si>
  <si>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</si>
  <si>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</si>
  <si>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</si>
  <si>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</si>
  <si>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</si>
  <si>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</si>
  <si>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</si>
  <si>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</si>
  <si>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</si>
  <si>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</si>
  <si>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</si>
  <si>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</si>
  <si>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</si>
  <si>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</si>
  <si>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</si>
  <si>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</si>
  <si>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</si>
  <si>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</si>
  <si>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</si>
  <si>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</si>
  <si>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</si>
  <si>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</si>
  <si>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</si>
  <si>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</si>
  <si>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</si>
  <si>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</si>
  <si>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</si>
  <si>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</si>
  <si>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</si>
  <si>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</si>
  <si>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</si>
  <si>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</si>
  <si>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</si>
  <si>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</si>
  <si>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</si>
  <si>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</si>
  <si>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</si>
  <si>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</si>
  <si>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</si>
  <si>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</si>
  <si>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</si>
  <si>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</si>
  <si>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</si>
  <si>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</si>
  <si>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</si>
  <si>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</si>
  <si>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</si>
  <si>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</si>
  <si>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</si>
  <si>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</si>
  <si>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</si>
  <si>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</si>
  <si>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</si>
  <si>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</si>
  <si>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</si>
  <si>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</si>
  <si>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</si>
  <si>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</si>
  <si>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</si>
  <si>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</si>
  <si>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</si>
  <si>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</si>
  <si>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</si>
  <si>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</si>
  <si>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</si>
  <si>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</si>
  <si>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</si>
  <si>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</si>
  <si>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</si>
  <si>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</si>
  <si>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</si>
  <si>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</si>
  <si>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</si>
  <si>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</si>
  <si>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</si>
  <si>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</si>
  <si>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</si>
  <si>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</si>
  <si>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</si>
  <si>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</si>
  <si>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</si>
  <si>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</si>
  <si>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</si>
  <si>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</si>
  <si>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</si>
  <si>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</si>
  <si>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</si>
  <si>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</si>
  <si>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</si>
  <si>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</si>
  <si>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</si>
  <si>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</si>
  <si>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</si>
  <si>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</si>
  <si>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</si>
  <si>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</si>
  <si>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</si>
  <si>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</si>
  <si>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</si>
  <si>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</si>
  <si>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</si>
  <si>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</si>
  <si>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</si>
  <si>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</si>
  <si>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</si>
  <si>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</si>
  <si>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</si>
  <si>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</si>
  <si>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</si>
  <si>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</si>
  <si>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</si>
  <si>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</si>
  <si>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</si>
  <si>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</si>
  <si>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</si>
  <si>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</si>
  <si>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</si>
  <si>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</si>
  <si>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</si>
  <si>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</si>
  <si>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</si>
  <si>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</si>
  <si>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</si>
  <si>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</si>
  <si>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</si>
  <si>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</si>
  <si>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</si>
  <si>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</si>
  <si>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</si>
  <si>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</si>
  <si>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</si>
  <si>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</si>
  <si>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</si>
  <si>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</si>
  <si>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</si>
  <si>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</si>
  <si>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</si>
  <si>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</si>
  <si>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</si>
  <si>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</si>
  <si>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</si>
  <si>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</si>
  <si>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</si>
  <si>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</si>
  <si>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</si>
  <si>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</si>
  <si>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</si>
  <si>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</si>
  <si>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</si>
  <si>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</si>
  <si>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</si>
  <si>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</si>
  <si>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</si>
  <si>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</si>
  <si>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</si>
  <si>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</si>
  <si>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</si>
  <si>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</si>
  <si>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</si>
  <si>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</si>
  <si>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</si>
  <si>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</si>
  <si>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</si>
  <si>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</si>
  <si>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</si>
  <si>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</si>
  <si>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</si>
  <si>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</si>
  <si>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</si>
  <si>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</si>
  <si>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</si>
  <si>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</si>
  <si>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</si>
  <si>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</si>
  <si>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</si>
  <si>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</si>
  <si>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</si>
  <si>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</si>
  <si>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</si>
  <si>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</si>
  <si>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</si>
  <si>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</si>
  <si>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</si>
  <si>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</si>
  <si>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</si>
  <si>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</si>
  <si>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</si>
  <si>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</si>
  <si>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</si>
  <si>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</si>
  <si>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</si>
  <si>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</si>
  <si>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</si>
  <si>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</si>
  <si>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</si>
  <si>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</si>
  <si>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</si>
  <si>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</si>
  <si>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</si>
  <si>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</si>
  <si>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</si>
  <si>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</si>
  <si>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</si>
  <si>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</si>
  <si>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</si>
  <si>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</si>
  <si>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</si>
  <si>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</si>
  <si>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</si>
  <si>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</si>
  <si>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</si>
  <si>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</si>
  <si>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</si>
  <si>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</si>
  <si>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</si>
  <si>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</si>
  <si>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</si>
  <si>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</si>
  <si>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</si>
  <si>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</si>
  <si>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</si>
  <si>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</si>
  <si>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</si>
  <si>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</si>
  <si>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</si>
  <si>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</si>
  <si>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</si>
  <si>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</si>
  <si>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</si>
  <si>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</si>
  <si>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</si>
  <si>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</si>
  <si>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</si>
  <si>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</si>
  <si>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</si>
  <si>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</si>
  <si>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</si>
  <si>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</si>
  <si>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</si>
  <si>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</si>
  <si>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</si>
  <si>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</si>
  <si>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</si>
  <si>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</si>
  <si>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</si>
  <si>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</si>
  <si>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</si>
  <si>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</si>
  <si>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</si>
  <si>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</si>
  <si>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</si>
  <si>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</si>
  <si>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</si>
  <si>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</si>
  <si>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</si>
  <si>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</si>
  <si>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</si>
  <si>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</si>
  <si>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</si>
  <si>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</si>
  <si>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</si>
  <si>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</si>
  <si>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</si>
  <si>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</si>
  <si>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</si>
  <si>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</si>
  <si>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</si>
  <si>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</si>
  <si>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</si>
  <si>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</si>
  <si>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</si>
  <si>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</si>
  <si>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</si>
  <si>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</si>
  <si>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</si>
  <si>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</si>
  <si>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</si>
  <si>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</si>
  <si>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</si>
  <si>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</si>
  <si>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</si>
  <si>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</si>
  <si>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</si>
  <si>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</si>
  <si>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</si>
  <si>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</si>
  <si>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</si>
  <si>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</si>
  <si>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</si>
  <si>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</si>
  <si>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</si>
  <si>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</si>
  <si>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</si>
  <si>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</si>
  <si>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</si>
  <si>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</si>
  <si>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</si>
  <si>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</si>
  <si>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</si>
  <si>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</si>
  <si>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</si>
  <si>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</si>
  <si>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</si>
  <si>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</si>
  <si>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</si>
  <si>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</si>
  <si>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</si>
  <si>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</si>
  <si>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</si>
  <si>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</si>
  <si>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</si>
  <si>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</si>
  <si>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</si>
  <si>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</si>
  <si>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</si>
  <si>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</si>
  <si>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</si>
  <si>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</si>
  <si>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</si>
  <si>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</si>
  <si>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</si>
  <si>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</si>
  <si>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</si>
  <si>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</si>
  <si>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Ch:G Sec</t>
  </si>
  <si>
    <t>Ch:G Pri</t>
  </si>
  <si>
    <t>Ch:G Total</t>
  </si>
  <si>
    <t>Asia Refined</t>
  </si>
  <si>
    <t>Asia Fraction</t>
  </si>
  <si>
    <t>Ch:Asia Fraction</t>
  </si>
  <si>
    <t>Ch Pri Fraction</t>
  </si>
  <si>
    <t>China Pri</t>
  </si>
  <si>
    <t>China Sec</t>
  </si>
  <si>
    <t>China Pri Frac</t>
  </si>
  <si>
    <t>Refinery →</t>
  </si>
  <si>
    <t>Column2</t>
  </si>
  <si>
    <t>1960-2007 based on U, 2008 to 2017 based on V, China used Woodmac refined usage from 1960-2018</t>
  </si>
  <si>
    <t>China used Woodmac data from 2000-2018, then direct melt:refined usage ratio from 2000 into the past</t>
  </si>
  <si>
    <t>Refined production, WoodMac</t>
  </si>
  <si>
    <t>From Woodmac for 1980-2018, 1960-1980 used 5% growth rate, average growth rate from 1980-1994</t>
  </si>
  <si>
    <t>Direct melt (direct use of scrap, Woodmac)</t>
  </si>
  <si>
    <t>Refined production, Woodmac</t>
  </si>
  <si>
    <t>1960-2007 based on O, 2008 to 2017 based on S, China given for 1992-2018 by Refined Prod-SX-EW-Secondary</t>
  </si>
  <si>
    <t>1960-2007 based on P, 2008 to 2017 based on T, China given by WoodMac for 1992-2018 with 1.1195 growth rate assumed into history, performed t-test on 1992-2018 data</t>
  </si>
  <si>
    <t>Equals to B-C (selected), adjust 1961 and 1962 to 0, China used Woodmac, which is zero before 1995</t>
  </si>
  <si>
    <t>Net Refined Imports</t>
  </si>
  <si>
    <t>Refined Imports, WoodMac</t>
  </si>
  <si>
    <t>Refined Exports, WoodMac</t>
  </si>
  <si>
    <t>Unalloyed Semis Production</t>
  </si>
  <si>
    <t>Total Semis Production</t>
  </si>
  <si>
    <t>Ore and Concentrate Imports (Cu weight)</t>
  </si>
  <si>
    <t>Scrap Imports, ICSG (gross weight)</t>
  </si>
  <si>
    <t>Alloyed Semis Production (gross weight)</t>
  </si>
  <si>
    <t>Scrap Imports, SMM</t>
  </si>
  <si>
    <t>Copper Scrap Imports, COMTRADE (kt)</t>
  </si>
  <si>
    <t>Refined demand minus supply</t>
  </si>
  <si>
    <t>Scrap Grade</t>
  </si>
  <si>
    <t>Concentrate Imports gross weight</t>
  </si>
  <si>
    <t>Concentrate imports (kt)</t>
  </si>
  <si>
    <t>Primary refinery production, SMM</t>
  </si>
  <si>
    <t>Secondary refinery production, SMM</t>
  </si>
  <si>
    <t>Refinery production, SMM</t>
  </si>
  <si>
    <t>允䅁䑁䅣䅁䍁䅁䅁䅁䅁䅁䅁䅄䅁䑁䅅兏㑁䑁䅁兗䅁䑁䅑䅁䵁䅁䅁免㕁䑁䅧免婂䅁䅁睍䅁䅁䅷䅁硁䑁䅫䅏祁䙁䅫䅁煁䅁䅁䅄䅁䑁䅅兏㑁䑁䅍兗䅁䍁䅳䅁䵁䅁䅁免㕁䑁䅧䅎婂䅁䅁杍䅁䅁䅷䅁硁䑁䅫䅏ㅁ䙁䅫䅁硁䅁䅁䅄䅁䑁䅅兏㑁䑁䅙兗䅁䑁䅁䅁䵁䅁䅁免㕁䑁䅧睎婂䅁䅁杌䅁䅁䅷䅁硁䑁䅫䅏㑁䙁䅫䅁癁䅁䅁䅄䅁䑁䅅兏㑁䑁䅫兗䅁䍁䄰䅁䵁䅁䅁免㕁䑁䅫䅍婂䅁䅁䅌䅁䅁䅷䅁硁䑁䅫兏硁䙁䅫䅁乁䅁䅁䅄䅁䑁䅅兏㕁䑁䅉兗䅁䅁䅙䅁䵁䅁䅁免㕁䑁䅫睍婂䅁䅁䅃䅁䅁䅷䅁硁䑁䅫兏ぁ䙁䅫䅁杁䅁䅁䅄䅁䑁䅅兏㕁䑁䅕兗䅁䍁䅉䅁䵁䅁䅁免㕁䑁䅫李婂䅁䅁睆䅁䅁䅷䅁硁䑁䅫兏㍁䙁䅫䅁扁䅁䅁䅄䅁䑁䅅兏㕁䑁䅧兗䅁䍁䅅䅁䵁䅁䅁免㕁䑁䅫兏婂䅁䅁权䅁䅁䅷䅁祁䑁䅁䅍睁䙁䅫䅁晁䅁䅁䅄䅁䑁䅉䅍睁䑁䅅兗䅁䉁䄰䅁䵁䅁䅁杍睁䑁䅁杍婂䅁䅁䅅䅁䅁䅷䅁祁䑁䅁䅍穁䙁䅫䅁啁䅁䅁䅄䅁䑁䅉䅍睁䑁䅑兗䅁䉁䅕䅁䵁䅁䅁杍睁䑁䅁兎婂䅁䅁杈䅁䅁䅷䅁祁䑁䅁䅍㉁䙁䅫䅁捁䅁䅁䅄䅁䑁䅉䅍睁䑁䅣兗䅁䉁䅯䅁䵁䅁䅁杍睁䑁䅁䅏婂䅁䅁兇䅁䅁䅷䅁祁䑁䅁䅍㕁䙁䅫䅁奁䅁䅁䅄䅁䑁䅉䅍硁䑁䅁兗䅁䅁䄸䅁䵁䅁䅁杍睁䑁䅅免婂䅁䅁睂䅁䅁䅷䅁祁䑁䅁免祁䙁䅫䅁坁䅁䅁䅄䅁䑁䅉䅍硁䑁䅍兗䅁䉁䅍䅁䵁䅁䅁杍睁䑁䅅䅎婂䅁䅁杄䅁䅁䅷䅁祁䑁䅁免ㅁ䙁䅫䅁䩁䅁䅁䅄䅁䑁䅉䅍硁䑁䅙兗䅁䉁䅅䅁䵁䅁䅁杍睁䑁䅅睎婂䅁䅁䅄䅁䅁䅷䅁祁䑁䅁免㑁䙁䅫䅁䑁䅁䅁杇䅁䑁䅷材䍂䝁䅕督あ䍁䅁睔浂䡁䅷睑ㅂ䅁䅁兎䅁䅁䅯䅁㡁䑁䄴睑ㅂ䅁䅁䅊䅁䉁䄴䅁䍂䝁䅕督あ䍁䅁睔浂䡁䅷睑療䡁䅁䅣求䡁䅉䅁㉁䅁䅁杆䅁䕁䅉党穂䡁䅑䅉偂䝁䅙䅦䑂䡁䅕䅁潁䅁䅁䅔䅁䕁䅍睢瑂䝁䄰睢歂䝁䅫䅤㕂䍁䅁䅕祂䝁䄸䅚ㅂ䝁䅍䅤灂䝁䄸杢杁䍁䄰䅉あ䝁䄸杢畂䝁䅕䅉潁䡁䅑睢畂䝁䄴党穂䍁䅫䅁灁䅁䅁杄䅁䕁䅍睢睂䡁䅁党祂䅁䅁兊䅁䍁䄴䅁䑂䝁䄸兤畂䡁䅑杣㕂䍁䅁睌杁䙁䅉党湂䝁䅫睢畂䍁䅁杔桂䝁䄰党杁䅁䅁睉䅁䅁䅙䅁䑂䡁䅕䅁䕁䅁䅁䅎䅁䕁䄰党あ䝁䅅䅢杁䙁䅁兙㕂䝁䅅杙獂䝁䅕䅉兂䝁䅕杣橂䝁䅕杢あ䍁䅁䅋汁䍁䅫䅁䙁䅁䅁杪䅁䕁䄸䅣あ䝁䅫睢畂䡁䅍杏䑂䡁䅕杣祂䑁䄰杕求䡁䅁睢祂䡁䅑党歂䍁䅁睙ㅂ䡁䅉杣求䝁䄴睙㕂䍁䅷兔桂䝁䅣児乂䕁䅫督あ䝁䅅杢歂䝁䅅杣歂䍁䅷睑療䝁䄴杤乂䝁䅕䅤潂䝁䄸䅚㥁䕁䄰兓祂䝁䅕睙療䝁䄰兢求䝁䄴䅚求䝁䅑䅁䉁䅁䅁村䅁䙁䅁兙灂䝁䅑䅉乂䝁䅕䅤桂䝁䅷䅉兂䡁䅉睢歂䡁䅕睙求䝁䅑䅉潁䝁䅳兡獂䝁䄸䅤療䝁䄴杢求䡁䅍克䅁䅁䅳䅁流䅁䅁䅕祂䝁䅫兢桂䡁䅉入杁䕁䅍睢瑂䝁䄰睢歂䝁䅫䅤㕂䍁䅁䅁䍁䅁䅁杇䅁䙁䅁杣療䡁䅁党祂䡁䅑入杁䕁䅫䅒杁䅁䅁睊䅁䉁䄴䅁兂䡁䅉睢睂䝁䅕杣あ䡁䅫䅉佂䝁䅅兢求䍁䅁䅁流䅁䅁杏䅁䙁䅉党橂䝁䄸杤求䡁䅉党歂䍁䅁兔求䡁䅑兙獂䍁䅁䅋牂䝁䅫䅢療䡁䅑睢畂䝁䄴党穂䍁䅫䅁十䅁䅁䅁䅁䅁㴽</t>
  </si>
  <si>
    <t>Semis Imports (COMTRADE, kt)</t>
  </si>
  <si>
    <t>Total Ref Cu Production</t>
  </si>
  <si>
    <t>Inventory increase</t>
  </si>
  <si>
    <t>Upper bound gross</t>
  </si>
  <si>
    <t>Upper bound (kt)</t>
  </si>
  <si>
    <t>Mean gross</t>
  </si>
  <si>
    <t>Mean (kt)</t>
  </si>
  <si>
    <t>Lower bound gross</t>
  </si>
  <si>
    <t>Lower bound (kt)</t>
  </si>
  <si>
    <t>150 kt increase</t>
  </si>
  <si>
    <t>100 kt increase</t>
  </si>
  <si>
    <t>100 kt decrease</t>
  </si>
  <si>
    <t>200 kt decrease</t>
  </si>
  <si>
    <t>Refined imports</t>
  </si>
  <si>
    <t>Constant</t>
  </si>
  <si>
    <t>No.2 50% YOY</t>
  </si>
  <si>
    <t>Ban alloyed &amp; No.2 50% YOY</t>
  </si>
  <si>
    <t>Scrap imports, total</t>
  </si>
  <si>
    <t>No.2 constant</t>
  </si>
  <si>
    <t>No.2 25% YOY</t>
  </si>
  <si>
    <t>Alloyed constant</t>
  </si>
  <si>
    <t>Alloyed 50% YOY</t>
  </si>
  <si>
    <t>Alloyed 25% YOY</t>
  </si>
  <si>
    <t>Ban alloyed &amp; No.2 25% YOY</t>
  </si>
  <si>
    <t>Ban alloyed 50% YOY</t>
  </si>
  <si>
    <t>Ban alloyed 25% YOY</t>
  </si>
  <si>
    <t>Ban No.2 25% YOY</t>
  </si>
  <si>
    <t>Ban No.2 50% YOY</t>
  </si>
  <si>
    <t>Ban alloyed &amp; No.2 75% YOY</t>
  </si>
  <si>
    <t>Ban No.2 75% YOY</t>
  </si>
  <si>
    <t>Ban alloyed 75% YOY</t>
  </si>
  <si>
    <t>Zeng Lower bound (kt)</t>
  </si>
  <si>
    <t>Zeng Mean (kt)</t>
  </si>
  <si>
    <t>Zeng Upper bound (kt)</t>
  </si>
  <si>
    <t>Nonscrap nonrefined imports (COMTRADE, kt)</t>
  </si>
  <si>
    <t>AF: From COMTRADE in http://localhost:8888/notebooks/Dropbox%20(MIT)/Group%20Research%20Folder_Olivetti/Displacement/08%20Generalization/_Python/Nonscrap%20imports.ipynb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</si>
</sst>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5" x14ac:knownFonts="1">
    <font>
      <sz val="11"/>
      <color theme="1"/>
      <name val="Calibri"/>
      <family val="2"/>
      <scheme val="minor"/>
    </font>
    <font>
      <b/>
      <sz val="10"/>
      <name val="Arial"/>
      <family val="2"/>
    </font>
    <font>
      <sz val="10"/>
      <name val="Arial"/>
      <family val="2"/>
    </font>
    <font>
      <sz val="11"/>
      <color rgb="FFFF0000"/>
      <name val="Calibri"/>
      <family val="2"/>
      <scheme val="minor"/>
    </font>
    <font>
      <b/>
      <sz val="10"/>
      <name val="Arial"/>
      <family val="2"/>
    </font>
    <font>
      <sz val="8"/>
      <name val="Arial"/>
      <family val="2"/>
    </font>
    <font>
      <sz val="11"/>
      <color rgb="FF00B050"/>
      <name val="Calibri"/>
      <family val="2"/>
      <scheme val="minor"/>
    </font>
    <font>
      <b/>
      <sz val="8"/>
      <name val="Arial"/>
      <family val="2"/>
    </font>
    <font>
      <b/>
      <sz val="11"/>
      <name val="Calibri"/>
      <family val="2"/>
      <scheme val="minor"/>
    </font>
    <font>
      <b/>
      <sz val="11"/>
      <color theme="1"/>
      <name val="Calibri"/>
      <family val="2"/>
      <scheme val="minor"/>
    </font>
    <font>
      <sz val="11"/>
      <color rgb="FFFFC000"/>
      <name val="Calibri"/>
      <family val="2"/>
      <scheme val="minor"/>
    </font>
    <font>
      <sz val="8"/>
      <color theme="1"/>
      <name val="Arial"/>
      <family val="2"/>
    </font>
    <font>
      <sz val="9"/>
      <color indexed="81"/>
      <name val="Tahoma"/>
      <family val="2"/>
    </font>
    <font>
      <b/>
      <sz val="9"/>
      <color indexed="81"/>
      <name val="Tahoma"/>
      <family val="2"/>
    </font>
    <font>
      <sz val="11"/>
      <color rgb="FF9C5700"/>
      <name val="Calibri"/>
      <family val="2"/>
      <scheme val="minor"/>
    </font>
  </fonts>
  <fills count="8">
    <fill>
      <patternFill patternType="none"/>
    </fill>
    <fill>
      <patternFill patternType="gray125"/>
    </fill>
    <fill>
      <patternFill patternType="solid">
        <fgColor rgb="FFE2F0FA"/>
        <bgColor indexed="64"/>
      </patternFill>
    </fill>
    <fill>
      <patternFill patternType="solid">
        <fgColor indexed="41"/>
        <bgColor indexed="64"/>
      </patternFill>
    </fill>
    <fill>
      <patternFill patternType="solid">
        <fgColor rgb="FFE2F0FA"/>
        <bgColor rgb="FF000000"/>
      </patternFill>
    </fill>
    <fill>
      <patternFill patternType="solid">
        <fgColor theme="0" tint="-0.14999847407452621"/>
        <bgColor theme="0" tint="-0.14999847407452621"/>
      </patternFill>
    </fill>
    <fill>
      <patternFill patternType="solid">
        <fgColor theme="5" tint="0.59999389629810485"/>
        <bgColor indexed="64"/>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n">
        <color theme="1"/>
      </bottom>
      <diagonal/>
    </border>
  </borders>
  <cellStyleXfs count="4">
    <xf numFmtId="0" fontId="0" fillId="0" borderId="0"/>
    <xf numFmtId="0" fontId="11" fillId="0" borderId="0"/>
    <xf numFmtId="0" fontId="5" fillId="0" borderId="0"/>
    <xf numFmtId="0" fontId="14" fillId="7" borderId="0" applyNumberFormat="0" applyBorder="0" applyAlignment="0" applyProtection="0"/>
  </cellStyleXfs>
  <cellXfs count="43">
    <xf numFmtId="0" fontId="0" fillId="0" borderId="0" xfId="0"/>
    <xf numFmtId="0" fontId="2" fillId="0" borderId="0" xfId="0" applyFont="1"/>
    <xf numFmtId="3" fontId="0" fillId="0" borderId="0" xfId="0" applyNumberFormat="1"/>
    <xf numFmtId="0" fontId="1" fillId="0" borderId="1" xfId="0" applyFont="1" applyBorder="1" applyAlignment="1">
      <alignment horizontal="center" vertical="top"/>
    </xf>
    <xf numFmtId="0" fontId="4" fillId="0" borderId="1" xfId="0" applyFont="1" applyBorder="1" applyAlignment="1">
      <alignment horizontal="center" vertical="top"/>
    </xf>
    <xf numFmtId="1" fontId="0" fillId="0" borderId="0" xfId="0" applyNumberFormat="1"/>
    <xf numFmtId="0" fontId="4" fillId="0" borderId="2" xfId="0" applyFont="1" applyBorder="1" applyAlignment="1">
      <alignment horizontal="center" vertical="top"/>
    </xf>
    <xf numFmtId="4" fontId="0" fillId="0" borderId="0" xfId="0" applyNumberFormat="1"/>
    <xf numFmtId="1" fontId="5" fillId="0" borderId="0" xfId="0" applyNumberFormat="1" applyFont="1"/>
    <xf numFmtId="1" fontId="7" fillId="0" borderId="0" xfId="0" applyNumberFormat="1" applyFont="1"/>
    <xf numFmtId="0" fontId="0" fillId="0" borderId="0" xfId="0" applyAlignment="1">
      <alignment horizontal="left"/>
    </xf>
    <xf numFmtId="0" fontId="6" fillId="0" borderId="0" xfId="0" applyFont="1" applyAlignment="1">
      <alignment horizontal="left"/>
    </xf>
    <xf numFmtId="0" fontId="6" fillId="0" borderId="0" xfId="0" applyFont="1" applyAlignment="1">
      <alignment horizontal="left" vertical="center" wrapText="1"/>
    </xf>
    <xf numFmtId="0" fontId="0" fillId="0" borderId="0" xfId="0" applyAlignment="1">
      <alignment horizontal="left" vertical="center"/>
    </xf>
    <xf numFmtId="0" fontId="6" fillId="0" borderId="0" xfId="0" applyFont="1" applyAlignment="1">
      <alignment horizontal="left" vertical="center"/>
    </xf>
    <xf numFmtId="0" fontId="6" fillId="0" borderId="0" xfId="0" applyFont="1" applyAlignment="1">
      <alignment horizontal="left" wrapText="1"/>
    </xf>
    <xf numFmtId="0" fontId="0" fillId="0" borderId="0" xfId="0" applyAlignment="1">
      <alignment horizontal="left" vertical="center" wrapText="1"/>
    </xf>
    <xf numFmtId="0" fontId="8" fillId="0" borderId="0" xfId="0" applyFont="1" applyAlignment="1">
      <alignment horizontal="left" vertical="center"/>
    </xf>
    <xf numFmtId="0" fontId="4" fillId="0" borderId="0" xfId="0" applyFont="1" applyAlignment="1">
      <alignment horizontal="left" vertical="center"/>
    </xf>
    <xf numFmtId="0" fontId="3" fillId="0" borderId="0" xfId="0" applyFont="1" applyAlignment="1">
      <alignment horizontal="left"/>
    </xf>
    <xf numFmtId="0" fontId="6" fillId="0" borderId="0" xfId="0" applyFont="1" applyAlignment="1">
      <alignment vertical="center"/>
    </xf>
    <xf numFmtId="0" fontId="3" fillId="0" borderId="0" xfId="0" applyFont="1" applyAlignment="1">
      <alignment vertical="center"/>
    </xf>
    <xf numFmtId="1" fontId="3" fillId="0" borderId="0" xfId="0" applyNumberFormat="1" applyFont="1"/>
    <xf numFmtId="1" fontId="6" fillId="0" borderId="0" xfId="0" applyNumberFormat="1" applyFont="1"/>
    <xf numFmtId="0" fontId="1" fillId="0" borderId="2" xfId="0" applyFont="1" applyBorder="1" applyAlignment="1">
      <alignment horizontal="center" vertical="top"/>
    </xf>
    <xf numFmtId="0" fontId="1" fillId="0" borderId="0" xfId="0" applyFont="1" applyAlignment="1">
      <alignment horizontal="center" vertical="top"/>
    </xf>
    <xf numFmtId="0" fontId="9" fillId="0" borderId="0" xfId="0" applyFont="1"/>
    <xf numFmtId="0" fontId="0" fillId="0" borderId="0" xfId="0" applyAlignment="1">
      <alignment wrapText="1"/>
    </xf>
    <xf numFmtId="0" fontId="1" fillId="0" borderId="2" xfId="0" applyFont="1" applyBorder="1" applyAlignment="1">
      <alignment horizontal="left" vertical="center"/>
    </xf>
    <xf numFmtId="3" fontId="3" fillId="0" borderId="0" xfId="0" applyNumberFormat="1" applyFont="1"/>
    <xf numFmtId="0" fontId="3" fillId="0" borderId="0" xfId="0" applyFont="1"/>
    <xf numFmtId="0" fontId="6" fillId="0" borderId="0" xfId="0" applyFont="1"/>
    <xf numFmtId="0" fontId="10" fillId="0" borderId="0" xfId="0" applyFont="1"/>
    <xf numFmtId="164" fontId="0" fillId="0" borderId="0" xfId="0" applyNumberFormat="1"/>
    <xf numFmtId="1" fontId="11" fillId="2" borderId="0" xfId="1" applyNumberFormat="1" applyFill="1"/>
    <xf numFmtId="1" fontId="7" fillId="3" borderId="0" xfId="0" applyNumberFormat="1" applyFont="1" applyFill="1"/>
    <xf numFmtId="1" fontId="7" fillId="4" borderId="0" xfId="0" applyNumberFormat="1" applyFont="1" applyFill="1"/>
    <xf numFmtId="1" fontId="5" fillId="2" borderId="0" xfId="2" applyNumberFormat="1" applyFill="1" applyProtection="1">
      <protection locked="0"/>
    </xf>
    <xf numFmtId="0" fontId="0" fillId="5" borderId="0" xfId="0" applyFill="1"/>
    <xf numFmtId="0" fontId="0" fillId="5" borderId="3" xfId="0" applyFill="1" applyBorder="1"/>
    <xf numFmtId="4" fontId="0" fillId="5" borderId="0" xfId="0" applyNumberFormat="1" applyFill="1"/>
    <xf numFmtId="0" fontId="0" fillId="6" borderId="0" xfId="0" applyFill="1"/>
    <xf numFmtId="0" fontId="14" fillId="7" borderId="0" xfId="3" applyAlignment="1">
      <alignment vertical="center"/>
    </xf>
  </cellXfs>
  <cellStyles count="4">
    <cellStyle name="Neutral" xfId="3" builtinId="28"/>
    <cellStyle name="Normal" xfId="0" builtinId="0"/>
    <cellStyle name="Normal 3" xfId="1" xr:uid="{EA50BCE2-C628-474A-A736-BE81C64427F3}"/>
    <cellStyle name="Normal_CuEbloc" xfId="2" xr:uid="{C9E93162-9C0E-46FA-BBB4-33B9896D0468}"/>
  </cellStyles>
  <dxfs count="17">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numFmt numFmtId="4" formatCode="#,##0.00"/>
    </dxf>
    <dxf>
      <numFmt numFmtId="4" formatCode="#,##0.00"/>
    </dxf>
    <dxf>
      <numFmt numFmtId="0" formatCode="General"/>
    </dxf>
    <dxf>
      <numFmt numFmtId="0" formatCode="General"/>
    </dxf>
    <dxf>
      <font>
        <b val="0"/>
        <i val="0"/>
        <strike val="0"/>
        <condense val="0"/>
        <extend val="0"/>
        <outline val="0"/>
        <shadow val="0"/>
        <u val="none"/>
        <vertAlign val="baseline"/>
        <sz val="8"/>
        <color theme="1"/>
        <name val="Arial"/>
        <family val="2"/>
        <scheme val="none"/>
      </font>
      <numFmt numFmtId="1" formatCode="0"/>
      <fill>
        <patternFill patternType="solid">
          <fgColor indexed="64"/>
          <bgColor rgb="FFE2F0FA"/>
        </patternFill>
      </fill>
    </dxf>
    <dxf>
      <font>
        <b val="0"/>
        <i val="0"/>
        <strike val="0"/>
        <condense val="0"/>
        <extend val="0"/>
        <outline val="0"/>
        <shadow val="0"/>
        <u val="none"/>
        <vertAlign val="baseline"/>
        <sz val="8"/>
        <color theme="1"/>
        <name val="Arial"/>
        <family val="2"/>
        <scheme val="none"/>
      </font>
      <numFmt numFmtId="1" formatCode="0"/>
      <fill>
        <patternFill patternType="solid">
          <fgColor indexed="64"/>
          <bgColor rgb="FFE2F0FA"/>
        </patternFill>
      </fill>
    </dxf>
    <dxf>
      <numFmt numFmtId="1" formatCode="0"/>
    </dxf>
    <dxf>
      <numFmt numFmtId="0" formatCode="General"/>
    </dxf>
    <dxf>
      <numFmt numFmtId="0" formatCode="General"/>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Notes!$F$41:$F$51</c:f>
              <c:numCache>
                <c:formatCode>General</c:formatCode>
                <c:ptCount val="11"/>
                <c:pt idx="0">
                  <c:v>3.36</c:v>
                </c:pt>
                <c:pt idx="1">
                  <c:v>3.29</c:v>
                </c:pt>
                <c:pt idx="2">
                  <c:v>3.16</c:v>
                </c:pt>
                <c:pt idx="3">
                  <c:v>2.98</c:v>
                </c:pt>
                <c:pt idx="4">
                  <c:v>2.73</c:v>
                </c:pt>
                <c:pt idx="5">
                  <c:v>2.42</c:v>
                </c:pt>
                <c:pt idx="6">
                  <c:v>2.04</c:v>
                </c:pt>
                <c:pt idx="7">
                  <c:v>1.6</c:v>
                </c:pt>
                <c:pt idx="8">
                  <c:v>1.1000000000000001</c:v>
                </c:pt>
                <c:pt idx="9">
                  <c:v>0.54</c:v>
                </c:pt>
                <c:pt idx="10">
                  <c:v>0.27</c:v>
                </c:pt>
              </c:numCache>
            </c:numRef>
          </c:yVal>
          <c:smooth val="0"/>
          <c:extLst>
            <c:ext xmlns:c16="http://schemas.microsoft.com/office/drawing/2014/chart" uri="{C3380CC4-5D6E-409C-BE32-E72D297353CC}">
              <c16:uniqueId val="{00000000-7A04-40B7-A66C-B64E39847D2F}"/>
            </c:ext>
          </c:extLst>
        </c:ser>
        <c:dLbls>
          <c:showLegendKey val="0"/>
          <c:showVal val="0"/>
          <c:showCatName val="0"/>
          <c:showSerName val="0"/>
          <c:showPercent val="0"/>
          <c:showBubbleSize val="0"/>
        </c:dLbls>
        <c:axId val="871746680"/>
        <c:axId val="871748320"/>
      </c:scatterChart>
      <c:valAx>
        <c:axId val="87174668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48320"/>
        <c:crosses val="autoZero"/>
        <c:crossBetween val="midCat"/>
      </c:valAx>
      <c:valAx>
        <c:axId val="87174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1746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Unalloyed Semis Production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China!$A$60:$A$69</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China!$Q$60:$Q$69</c:f>
              <c:numCache>
                <c:formatCode>#,##0.00</c:formatCode>
                <c:ptCount val="10"/>
                <c:pt idx="0">
                  <c:v>5537.2</c:v>
                </c:pt>
                <c:pt idx="1">
                  <c:v>3912.2</c:v>
                </c:pt>
                <c:pt idx="2">
                  <c:v>4188.7</c:v>
                </c:pt>
                <c:pt idx="3">
                  <c:v>4371.1000000000004</c:v>
                </c:pt>
                <c:pt idx="4">
                  <c:v>4847</c:v>
                </c:pt>
                <c:pt idx="5">
                  <c:v>5962.6</c:v>
                </c:pt>
                <c:pt idx="6">
                  <c:v>6798</c:v>
                </c:pt>
                <c:pt idx="7">
                  <c:v>7502.5</c:v>
                </c:pt>
              </c:numCache>
            </c:numRef>
          </c:yVal>
          <c:smooth val="0"/>
          <c:extLst>
            <c:ext xmlns:c16="http://schemas.microsoft.com/office/drawing/2014/chart" uri="{C3380CC4-5D6E-409C-BE32-E72D297353CC}">
              <c16:uniqueId val="{00000000-39B9-438A-AF1B-A524D4012F9B}"/>
            </c:ext>
          </c:extLst>
        </c:ser>
        <c:ser>
          <c:idx val="1"/>
          <c:order val="1"/>
          <c:tx>
            <c:v>Alloyed Semis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China!$A$60:$A$69</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China!$R$60:$R$69</c:f>
              <c:numCache>
                <c:formatCode>General</c:formatCode>
                <c:ptCount val="10"/>
                <c:pt idx="0">
                  <c:v>2829.8</c:v>
                </c:pt>
                <c:pt idx="1">
                  <c:v>4824.2</c:v>
                </c:pt>
                <c:pt idx="2">
                  <c:v>5662.5999999999995</c:v>
                </c:pt>
                <c:pt idx="3">
                  <c:v>6001.9</c:v>
                </c:pt>
                <c:pt idx="4">
                  <c:v>6166.7000000000007</c:v>
                </c:pt>
                <c:pt idx="5">
                  <c:v>7687.4</c:v>
                </c:pt>
                <c:pt idx="6">
                  <c:v>8172.4</c:v>
                </c:pt>
                <c:pt idx="7">
                  <c:v>8685.7999999999993</c:v>
                </c:pt>
              </c:numCache>
            </c:numRef>
          </c:yVal>
          <c:smooth val="0"/>
          <c:extLst>
            <c:ext xmlns:c16="http://schemas.microsoft.com/office/drawing/2014/chart" uri="{C3380CC4-5D6E-409C-BE32-E72D297353CC}">
              <c16:uniqueId val="{00000001-39B9-438A-AF1B-A524D4012F9B}"/>
            </c:ext>
          </c:extLst>
        </c:ser>
        <c:ser>
          <c:idx val="2"/>
          <c:order val="2"/>
          <c:tx>
            <c:v>Total Semis </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China!$A$60:$A$69</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China!$S$60:$S$69</c:f>
              <c:numCache>
                <c:formatCode>#,##0.00</c:formatCode>
                <c:ptCount val="10"/>
                <c:pt idx="0">
                  <c:v>8367</c:v>
                </c:pt>
                <c:pt idx="1">
                  <c:v>8736.4</c:v>
                </c:pt>
                <c:pt idx="2">
                  <c:v>9851.2999999999993</c:v>
                </c:pt>
                <c:pt idx="3">
                  <c:v>10373</c:v>
                </c:pt>
                <c:pt idx="4">
                  <c:v>11013.7</c:v>
                </c:pt>
                <c:pt idx="5">
                  <c:v>13650</c:v>
                </c:pt>
                <c:pt idx="6">
                  <c:v>14970.4</c:v>
                </c:pt>
                <c:pt idx="7">
                  <c:v>16188.3</c:v>
                </c:pt>
                <c:pt idx="8">
                  <c:v>17723.900000000001</c:v>
                </c:pt>
                <c:pt idx="9">
                  <c:v>16808.099999999999</c:v>
                </c:pt>
              </c:numCache>
            </c:numRef>
          </c:yVal>
          <c:smooth val="0"/>
          <c:extLst>
            <c:ext xmlns:c16="http://schemas.microsoft.com/office/drawing/2014/chart" uri="{C3380CC4-5D6E-409C-BE32-E72D297353CC}">
              <c16:uniqueId val="{00000002-39B9-438A-AF1B-A524D4012F9B}"/>
            </c:ext>
          </c:extLst>
        </c:ser>
        <c:ser>
          <c:idx val="3"/>
          <c:order val="3"/>
          <c:tx>
            <c:v>Scrap Imports</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China!$A$60:$A$69</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China!$U$60:$U$69</c:f>
              <c:numCache>
                <c:formatCode>#,##0.00</c:formatCode>
                <c:ptCount val="10"/>
                <c:pt idx="0">
                  <c:v>5577</c:v>
                </c:pt>
                <c:pt idx="1">
                  <c:v>3998</c:v>
                </c:pt>
                <c:pt idx="2">
                  <c:v>4364.3999999999996</c:v>
                </c:pt>
                <c:pt idx="3">
                  <c:v>4687.3</c:v>
                </c:pt>
                <c:pt idx="4">
                  <c:v>4859.3999999999996</c:v>
                </c:pt>
                <c:pt idx="5">
                  <c:v>4372.7</c:v>
                </c:pt>
                <c:pt idx="6">
                  <c:v>3874.9</c:v>
                </c:pt>
                <c:pt idx="7">
                  <c:v>3658.5</c:v>
                </c:pt>
                <c:pt idx="8">
                  <c:v>3348.1</c:v>
                </c:pt>
                <c:pt idx="9">
                  <c:v>3557.1</c:v>
                </c:pt>
              </c:numCache>
            </c:numRef>
          </c:yVal>
          <c:smooth val="0"/>
          <c:extLst>
            <c:ext xmlns:c16="http://schemas.microsoft.com/office/drawing/2014/chart" uri="{C3380CC4-5D6E-409C-BE32-E72D297353CC}">
              <c16:uniqueId val="{00000003-39B9-438A-AF1B-A524D4012F9B}"/>
            </c:ext>
          </c:extLst>
        </c:ser>
        <c:ser>
          <c:idx val="4"/>
          <c:order val="4"/>
          <c:tx>
            <c:v>Concentrate Imports</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China!$A$60:$A$69</c:f>
              <c:numCache>
                <c:formatCode>General</c:formatCode>
                <c:ptCount val="10"/>
                <c:pt idx="0">
                  <c:v>2008</c:v>
                </c:pt>
                <c:pt idx="1">
                  <c:v>2009</c:v>
                </c:pt>
                <c:pt idx="2">
                  <c:v>2010</c:v>
                </c:pt>
                <c:pt idx="3">
                  <c:v>2011</c:v>
                </c:pt>
                <c:pt idx="4">
                  <c:v>2012</c:v>
                </c:pt>
                <c:pt idx="5">
                  <c:v>2013</c:v>
                </c:pt>
                <c:pt idx="6">
                  <c:v>2014</c:v>
                </c:pt>
                <c:pt idx="7">
                  <c:v>2015</c:v>
                </c:pt>
                <c:pt idx="8">
                  <c:v>2016</c:v>
                </c:pt>
                <c:pt idx="9">
                  <c:v>2017</c:v>
                </c:pt>
              </c:numCache>
            </c:numRef>
          </c:xVal>
          <c:yVal>
            <c:numRef>
              <c:f>China!$W$60:$W$69</c:f>
              <c:numCache>
                <c:formatCode>#,##0.00</c:formatCode>
                <c:ptCount val="10"/>
                <c:pt idx="0">
                  <c:v>1452.4</c:v>
                </c:pt>
                <c:pt idx="1">
                  <c:v>1655.7</c:v>
                </c:pt>
                <c:pt idx="2">
                  <c:v>1811.1</c:v>
                </c:pt>
                <c:pt idx="3">
                  <c:v>1795</c:v>
                </c:pt>
                <c:pt idx="4">
                  <c:v>2191.6999999999998</c:v>
                </c:pt>
                <c:pt idx="5">
                  <c:v>2821</c:v>
                </c:pt>
                <c:pt idx="6">
                  <c:v>3309.6</c:v>
                </c:pt>
                <c:pt idx="7">
                  <c:v>3722.3</c:v>
                </c:pt>
                <c:pt idx="8">
                  <c:v>5087.7</c:v>
                </c:pt>
                <c:pt idx="9">
                  <c:v>4866.6000000000004</c:v>
                </c:pt>
              </c:numCache>
            </c:numRef>
          </c:yVal>
          <c:smooth val="0"/>
          <c:extLst>
            <c:ext xmlns:c16="http://schemas.microsoft.com/office/drawing/2014/chart" uri="{C3380CC4-5D6E-409C-BE32-E72D297353CC}">
              <c16:uniqueId val="{00000005-39B9-438A-AF1B-A524D4012F9B}"/>
            </c:ext>
          </c:extLst>
        </c:ser>
        <c:dLbls>
          <c:showLegendKey val="0"/>
          <c:showVal val="0"/>
          <c:showCatName val="0"/>
          <c:showSerName val="0"/>
          <c:showPercent val="0"/>
          <c:showBubbleSize val="0"/>
        </c:dLbls>
        <c:axId val="423212824"/>
        <c:axId val="423214792"/>
      </c:scatterChart>
      <c:valAx>
        <c:axId val="423212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14792"/>
        <c:crosses val="autoZero"/>
        <c:crossBetween val="midCat"/>
      </c:valAx>
      <c:valAx>
        <c:axId val="423214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2128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Scrap Imports (Cu Content, kt)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China!$A$45:$A$70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xVal>
          <c:yVal>
            <c:numRef>
              <c:f>China!$X$45:$X$70</c:f>
              <c:numCache>
                <c:formatCode>General</c:formatCode>
                <c:ptCount val="26"/>
                <c:pt idx="0">
                  <c:v>171.01589254940308</c:v>
                </c:pt>
                <c:pt idx="1">
                  <c:v>128.46395861766169</c:v>
                </c:pt>
                <c:pt idx="2">
                  <c:v>276.5433820214754</c:v>
                </c:pt>
                <c:pt idx="3">
                  <c:v>304.53841297276108</c:v>
                </c:pt>
                <c:pt idx="4" formatCode="#,##0.00">
                  <c:v>297.74853525998378</c:v>
                </c:pt>
                <c:pt idx="5">
                  <c:v>256.81896493826218</c:v>
                </c:pt>
                <c:pt idx="6">
                  <c:v>344.18355394917796</c:v>
                </c:pt>
                <c:pt idx="7">
                  <c:v>542.67912938563393</c:v>
                </c:pt>
                <c:pt idx="8">
                  <c:v>708.07196472048645</c:v>
                </c:pt>
                <c:pt idx="9">
                  <c:v>651.68734405847033</c:v>
                </c:pt>
                <c:pt idx="10">
                  <c:v>709.23009569756118</c:v>
                </c:pt>
                <c:pt idx="11">
                  <c:v>852.79713848603046</c:v>
                </c:pt>
                <c:pt idx="12">
                  <c:v>819.46396453838997</c:v>
                </c:pt>
                <c:pt idx="13">
                  <c:v>660.33839374975764</c:v>
                </c:pt>
                <c:pt idx="14">
                  <c:v>938.01644435521087</c:v>
                </c:pt>
                <c:pt idx="15">
                  <c:v>911.91017589025296</c:v>
                </c:pt>
                <c:pt idx="16">
                  <c:v>1262.4483596965433</c:v>
                </c:pt>
                <c:pt idx="17">
                  <c:v>1668.8053979222591</c:v>
                </c:pt>
                <c:pt idx="18">
                  <c:v>1805.0071568254964</c:v>
                </c:pt>
                <c:pt idx="19">
                  <c:v>1577.883494621879</c:v>
                </c:pt>
                <c:pt idx="20">
                  <c:v>1692.2537349765773</c:v>
                </c:pt>
                <c:pt idx="21">
                  <c:v>1409.6087384335376</c:v>
                </c:pt>
                <c:pt idx="22">
                  <c:v>1375.5391367786488</c:v>
                </c:pt>
                <c:pt idx="23">
                  <c:v>1109.871427236726</c:v>
                </c:pt>
                <c:pt idx="24">
                  <c:v>1279.8451969318712</c:v>
                </c:pt>
                <c:pt idx="25">
                  <c:v>1276.2066835871699</c:v>
                </c:pt>
              </c:numCache>
            </c:numRef>
          </c:yVal>
          <c:smooth val="0"/>
          <c:extLst>
            <c:ext xmlns:c16="http://schemas.microsoft.com/office/drawing/2014/chart" uri="{C3380CC4-5D6E-409C-BE32-E72D297353CC}">
              <c16:uniqueId val="{00000000-84D0-4763-A87F-47B858AFCCB7}"/>
            </c:ext>
          </c:extLst>
        </c:ser>
        <c:ser>
          <c:idx val="1"/>
          <c:order val="1"/>
          <c:tx>
            <c:v>Modeled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China!$A$12:$A$44</c:f>
              <c:numCache>
                <c:formatCode>General</c:formatCode>
                <c:ptCount val="3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numCache>
            </c:numRef>
          </c:xVal>
          <c:yVal>
            <c:numRef>
              <c:f>China!$X$12:$X$44</c:f>
              <c:numCache>
                <c:formatCode>General</c:formatCode>
                <c:ptCount val="33"/>
                <c:pt idx="0">
                  <c:v>0.22585194454156216</c:v>
                </c:pt>
                <c:pt idx="1">
                  <c:v>0.27610400220205972</c:v>
                </c:pt>
                <c:pt idx="2">
                  <c:v>0.33753714269201801</c:v>
                </c:pt>
                <c:pt idx="3">
                  <c:v>0.41263915694099201</c:v>
                </c:pt>
                <c:pt idx="4">
                  <c:v>0.50445136936036272</c:v>
                </c:pt>
                <c:pt idx="5">
                  <c:v>0.61669179904304339</c:v>
                </c:pt>
                <c:pt idx="6">
                  <c:v>0.75390572433012049</c:v>
                </c:pt>
                <c:pt idx="7">
                  <c:v>0.92164974799357224</c:v>
                </c:pt>
                <c:pt idx="8">
                  <c:v>1.126716816922142</c:v>
                </c:pt>
                <c:pt idx="9">
                  <c:v>1.3774113086873185</c:v>
                </c:pt>
                <c:pt idx="10">
                  <c:v>1.6838853248702468</c:v>
                </c:pt>
                <c:pt idx="11">
                  <c:v>2.0585498096538766</c:v>
                </c:pt>
                <c:pt idx="12">
                  <c:v>2.5165771423018639</c:v>
                </c:pt>
                <c:pt idx="13">
                  <c:v>3.0765155564640283</c:v>
                </c:pt>
                <c:pt idx="14">
                  <c:v>3.7610402677772745</c:v>
                </c:pt>
                <c:pt idx="15">
                  <c:v>4.5978717273577177</c:v>
                </c:pt>
                <c:pt idx="16">
                  <c:v>5.6208981866948093</c:v>
                </c:pt>
                <c:pt idx="17">
                  <c:v>6.8715480332344043</c:v>
                </c:pt>
                <c:pt idx="18">
                  <c:v>8.4004674706290583</c:v>
                </c:pt>
                <c:pt idx="19">
                  <c:v>10.269571482844023</c:v>
                </c:pt>
                <c:pt idx="20">
                  <c:v>12.554551137776818</c:v>
                </c:pt>
                <c:pt idx="21">
                  <c:v>15.347938765932158</c:v>
                </c:pt>
                <c:pt idx="22">
                  <c:v>18.762855141352063</c:v>
                </c:pt>
                <c:pt idx="23">
                  <c:v>22.937590410302896</c:v>
                </c:pt>
                <c:pt idx="24">
                  <c:v>28.041204276595288</c:v>
                </c:pt>
                <c:pt idx="25">
                  <c:v>34.280372228137736</c:v>
                </c:pt>
                <c:pt idx="26">
                  <c:v>41.90775504889838</c:v>
                </c:pt>
                <c:pt idx="27">
                  <c:v>51.23223054727827</c:v>
                </c:pt>
                <c:pt idx="28">
                  <c:v>62.63140184404768</c:v>
                </c:pt>
                <c:pt idx="29">
                  <c:v>76.566888754348284</c:v>
                </c:pt>
                <c:pt idx="30">
                  <c:v>93.603021502190771</c:v>
                </c:pt>
                <c:pt idx="31">
                  <c:v>114.4296937864282</c:v>
                </c:pt>
                <c:pt idx="32">
                  <c:v>139.89030065390847</c:v>
                </c:pt>
              </c:numCache>
            </c:numRef>
          </c:yVal>
          <c:smooth val="0"/>
          <c:extLst>
            <c:ext xmlns:c16="http://schemas.microsoft.com/office/drawing/2014/chart" uri="{C3380CC4-5D6E-409C-BE32-E72D297353CC}">
              <c16:uniqueId val="{00000001-84D0-4763-A87F-47B858AFCCB7}"/>
            </c:ext>
          </c:extLst>
        </c:ser>
        <c:dLbls>
          <c:showLegendKey val="0"/>
          <c:showVal val="0"/>
          <c:showCatName val="0"/>
          <c:showSerName val="0"/>
          <c:showPercent val="0"/>
          <c:showBubbleSize val="0"/>
        </c:dLbls>
        <c:axId val="977211864"/>
        <c:axId val="977217440"/>
      </c:scatterChart>
      <c:valAx>
        <c:axId val="977211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17440"/>
        <c:crosses val="autoZero"/>
        <c:crossBetween val="midCat"/>
      </c:valAx>
      <c:valAx>
        <c:axId val="97721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118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Scrap Imports (Cu Content, kt)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914260717410323E-2"/>
          <c:y val="0.17171296296296296"/>
          <c:w val="0.85652515310586175"/>
          <c:h val="0.72088764946048411"/>
        </c:manualLayout>
      </c:layout>
      <c:scatterChart>
        <c:scatterStyle val="lineMarker"/>
        <c:varyColors val="0"/>
        <c:ser>
          <c:idx val="0"/>
          <c:order val="0"/>
          <c:tx>
            <c:v>COMTRADE</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China!$A$45:$A$70</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xVal>
          <c:yVal>
            <c:numRef>
              <c:f>China!$X$45:$X$70</c:f>
              <c:numCache>
                <c:formatCode>General</c:formatCode>
                <c:ptCount val="26"/>
                <c:pt idx="0">
                  <c:v>171.01589254940308</c:v>
                </c:pt>
                <c:pt idx="1">
                  <c:v>128.46395861766169</c:v>
                </c:pt>
                <c:pt idx="2">
                  <c:v>276.5433820214754</c:v>
                </c:pt>
                <c:pt idx="3">
                  <c:v>304.53841297276108</c:v>
                </c:pt>
                <c:pt idx="4" formatCode="#,##0.00">
                  <c:v>297.74853525998378</c:v>
                </c:pt>
                <c:pt idx="5">
                  <c:v>256.81896493826218</c:v>
                </c:pt>
                <c:pt idx="6">
                  <c:v>344.18355394917796</c:v>
                </c:pt>
                <c:pt idx="7">
                  <c:v>542.67912938563393</c:v>
                </c:pt>
                <c:pt idx="8">
                  <c:v>708.07196472048645</c:v>
                </c:pt>
                <c:pt idx="9">
                  <c:v>651.68734405847033</c:v>
                </c:pt>
                <c:pt idx="10">
                  <c:v>709.23009569756118</c:v>
                </c:pt>
                <c:pt idx="11">
                  <c:v>852.79713848603046</c:v>
                </c:pt>
                <c:pt idx="12">
                  <c:v>819.46396453838997</c:v>
                </c:pt>
                <c:pt idx="13">
                  <c:v>660.33839374975764</c:v>
                </c:pt>
                <c:pt idx="14">
                  <c:v>938.01644435521087</c:v>
                </c:pt>
                <c:pt idx="15">
                  <c:v>911.91017589025296</c:v>
                </c:pt>
                <c:pt idx="16">
                  <c:v>1262.4483596965433</c:v>
                </c:pt>
                <c:pt idx="17">
                  <c:v>1668.8053979222591</c:v>
                </c:pt>
                <c:pt idx="18">
                  <c:v>1805.0071568254964</c:v>
                </c:pt>
                <c:pt idx="19">
                  <c:v>1577.883494621879</c:v>
                </c:pt>
                <c:pt idx="20">
                  <c:v>1692.2537349765773</c:v>
                </c:pt>
                <c:pt idx="21">
                  <c:v>1409.6087384335376</c:v>
                </c:pt>
                <c:pt idx="22">
                  <c:v>1375.5391367786488</c:v>
                </c:pt>
                <c:pt idx="23">
                  <c:v>1109.871427236726</c:v>
                </c:pt>
                <c:pt idx="24">
                  <c:v>1279.8451969318712</c:v>
                </c:pt>
                <c:pt idx="25">
                  <c:v>1276.2066835871699</c:v>
                </c:pt>
              </c:numCache>
            </c:numRef>
          </c:yVal>
          <c:smooth val="0"/>
          <c:extLst>
            <c:ext xmlns:c16="http://schemas.microsoft.com/office/drawing/2014/chart" uri="{C3380CC4-5D6E-409C-BE32-E72D297353CC}">
              <c16:uniqueId val="{00000000-1E74-4118-8BE5-F3A317F50A0C}"/>
            </c:ext>
          </c:extLst>
        </c:ser>
        <c:ser>
          <c:idx val="1"/>
          <c:order val="1"/>
          <c:tx>
            <c:v>Modeled</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China!$A$12:$A$44</c:f>
              <c:numCache>
                <c:formatCode>General</c:formatCode>
                <c:ptCount val="3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numCache>
            </c:numRef>
          </c:xVal>
          <c:yVal>
            <c:numRef>
              <c:f>China!$X$12:$X$44</c:f>
              <c:numCache>
                <c:formatCode>General</c:formatCode>
                <c:ptCount val="33"/>
                <c:pt idx="0">
                  <c:v>0.22585194454156216</c:v>
                </c:pt>
                <c:pt idx="1">
                  <c:v>0.27610400220205972</c:v>
                </c:pt>
                <c:pt idx="2">
                  <c:v>0.33753714269201801</c:v>
                </c:pt>
                <c:pt idx="3">
                  <c:v>0.41263915694099201</c:v>
                </c:pt>
                <c:pt idx="4">
                  <c:v>0.50445136936036272</c:v>
                </c:pt>
                <c:pt idx="5">
                  <c:v>0.61669179904304339</c:v>
                </c:pt>
                <c:pt idx="6">
                  <c:v>0.75390572433012049</c:v>
                </c:pt>
                <c:pt idx="7">
                  <c:v>0.92164974799357224</c:v>
                </c:pt>
                <c:pt idx="8">
                  <c:v>1.126716816922142</c:v>
                </c:pt>
                <c:pt idx="9">
                  <c:v>1.3774113086873185</c:v>
                </c:pt>
                <c:pt idx="10">
                  <c:v>1.6838853248702468</c:v>
                </c:pt>
                <c:pt idx="11">
                  <c:v>2.0585498096538766</c:v>
                </c:pt>
                <c:pt idx="12">
                  <c:v>2.5165771423018639</c:v>
                </c:pt>
                <c:pt idx="13">
                  <c:v>3.0765155564640283</c:v>
                </c:pt>
                <c:pt idx="14">
                  <c:v>3.7610402677772745</c:v>
                </c:pt>
                <c:pt idx="15">
                  <c:v>4.5978717273577177</c:v>
                </c:pt>
                <c:pt idx="16">
                  <c:v>5.6208981866948093</c:v>
                </c:pt>
                <c:pt idx="17">
                  <c:v>6.8715480332344043</c:v>
                </c:pt>
                <c:pt idx="18">
                  <c:v>8.4004674706290583</c:v>
                </c:pt>
                <c:pt idx="19">
                  <c:v>10.269571482844023</c:v>
                </c:pt>
                <c:pt idx="20">
                  <c:v>12.554551137776818</c:v>
                </c:pt>
                <c:pt idx="21">
                  <c:v>15.347938765932158</c:v>
                </c:pt>
                <c:pt idx="22">
                  <c:v>18.762855141352063</c:v>
                </c:pt>
                <c:pt idx="23">
                  <c:v>22.937590410302896</c:v>
                </c:pt>
                <c:pt idx="24">
                  <c:v>28.041204276595288</c:v>
                </c:pt>
                <c:pt idx="25">
                  <c:v>34.280372228137736</c:v>
                </c:pt>
                <c:pt idx="26">
                  <c:v>41.90775504889838</c:v>
                </c:pt>
                <c:pt idx="27">
                  <c:v>51.23223054727827</c:v>
                </c:pt>
                <c:pt idx="28">
                  <c:v>62.63140184404768</c:v>
                </c:pt>
                <c:pt idx="29">
                  <c:v>76.566888754348284</c:v>
                </c:pt>
                <c:pt idx="30">
                  <c:v>93.603021502190771</c:v>
                </c:pt>
                <c:pt idx="31">
                  <c:v>114.4296937864282</c:v>
                </c:pt>
                <c:pt idx="32">
                  <c:v>139.89030065390847</c:v>
                </c:pt>
              </c:numCache>
            </c:numRef>
          </c:yVal>
          <c:smooth val="0"/>
          <c:extLst>
            <c:ext xmlns:c16="http://schemas.microsoft.com/office/drawing/2014/chart" uri="{C3380CC4-5D6E-409C-BE32-E72D297353CC}">
              <c16:uniqueId val="{00000001-1E74-4118-8BE5-F3A317F50A0C}"/>
            </c:ext>
          </c:extLst>
        </c:ser>
        <c:ser>
          <c:idx val="2"/>
          <c:order val="2"/>
          <c:tx>
            <c:v>Refined imports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China!$A$36:$A$70</c:f>
              <c:numCache>
                <c:formatCode>General</c:formatCode>
                <c:ptCount val="35"/>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numCache>
            </c:numRef>
          </c:xVal>
          <c:yVal>
            <c:numRef>
              <c:f>China!$O$36:$O$70</c:f>
              <c:numCache>
                <c:formatCode>0</c:formatCode>
                <c:ptCount val="35"/>
                <c:pt idx="0">
                  <c:v>250</c:v>
                </c:pt>
                <c:pt idx="1">
                  <c:v>356</c:v>
                </c:pt>
                <c:pt idx="2">
                  <c:v>170.8</c:v>
                </c:pt>
                <c:pt idx="3">
                  <c:v>76</c:v>
                </c:pt>
                <c:pt idx="4">
                  <c:v>84.75</c:v>
                </c:pt>
                <c:pt idx="5">
                  <c:v>73.099999999999994</c:v>
                </c:pt>
                <c:pt idx="6">
                  <c:v>36.9</c:v>
                </c:pt>
                <c:pt idx="7">
                  <c:v>101.6</c:v>
                </c:pt>
                <c:pt idx="8">
                  <c:v>264.8</c:v>
                </c:pt>
                <c:pt idx="9">
                  <c:v>370</c:v>
                </c:pt>
                <c:pt idx="10">
                  <c:v>123</c:v>
                </c:pt>
                <c:pt idx="11">
                  <c:v>112</c:v>
                </c:pt>
                <c:pt idx="12">
                  <c:v>297.60000000000002</c:v>
                </c:pt>
                <c:pt idx="13">
                  <c:v>238</c:v>
                </c:pt>
                <c:pt idx="14">
                  <c:v>380</c:v>
                </c:pt>
                <c:pt idx="15">
                  <c:v>443</c:v>
                </c:pt>
                <c:pt idx="16">
                  <c:v>666.21799999999996</c:v>
                </c:pt>
                <c:pt idx="17">
                  <c:v>833.93899999999996</c:v>
                </c:pt>
                <c:pt idx="18">
                  <c:v>1180.2819999999999</c:v>
                </c:pt>
                <c:pt idx="19">
                  <c:v>1353.6880000000001</c:v>
                </c:pt>
                <c:pt idx="20">
                  <c:v>1198.2570000000001</c:v>
                </c:pt>
                <c:pt idx="21">
                  <c:v>1220.0809999999999</c:v>
                </c:pt>
                <c:pt idx="22">
                  <c:v>821.61199999999997</c:v>
                </c:pt>
                <c:pt idx="23">
                  <c:v>1488.7370000000001</c:v>
                </c:pt>
                <c:pt idx="24">
                  <c:v>1447.4169999999999</c:v>
                </c:pt>
                <c:pt idx="25">
                  <c:v>3168.25</c:v>
                </c:pt>
                <c:pt idx="26">
                  <c:v>2910.4</c:v>
                </c:pt>
                <c:pt idx="27">
                  <c:v>2832.7</c:v>
                </c:pt>
                <c:pt idx="28">
                  <c:v>3398.4</c:v>
                </c:pt>
                <c:pt idx="29">
                  <c:v>3203.7530000000002</c:v>
                </c:pt>
                <c:pt idx="30">
                  <c:v>3585.8159999999998</c:v>
                </c:pt>
                <c:pt idx="31">
                  <c:v>3668.4989999999998</c:v>
                </c:pt>
                <c:pt idx="32">
                  <c:v>2873.5778126688874</c:v>
                </c:pt>
                <c:pt idx="33">
                  <c:v>2026.6318730303483</c:v>
                </c:pt>
                <c:pt idx="34">
                  <c:v>1523.208584481692</c:v>
                </c:pt>
              </c:numCache>
            </c:numRef>
          </c:yVal>
          <c:smooth val="0"/>
          <c:extLst>
            <c:ext xmlns:c16="http://schemas.microsoft.com/office/drawing/2014/chart" uri="{C3380CC4-5D6E-409C-BE32-E72D297353CC}">
              <c16:uniqueId val="{00000002-1E74-4118-8BE5-F3A317F50A0C}"/>
            </c:ext>
          </c:extLst>
        </c:ser>
        <c:dLbls>
          <c:showLegendKey val="0"/>
          <c:showVal val="0"/>
          <c:showCatName val="0"/>
          <c:showSerName val="0"/>
          <c:showPercent val="0"/>
          <c:showBubbleSize val="0"/>
        </c:dLbls>
        <c:axId val="977211864"/>
        <c:axId val="977217440"/>
      </c:scatterChart>
      <c:valAx>
        <c:axId val="977211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17440"/>
        <c:crosses val="autoZero"/>
        <c:crossBetween val="midCat"/>
      </c:valAx>
      <c:valAx>
        <c:axId val="97721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11864"/>
        <c:crosses val="autoZero"/>
        <c:crossBetween val="midCat"/>
      </c:valAx>
      <c:spPr>
        <a:noFill/>
        <a:ln>
          <a:noFill/>
        </a:ln>
        <a:effectLst/>
      </c:spPr>
    </c:plotArea>
    <c:legend>
      <c:legendPos val="r"/>
      <c:layout>
        <c:manualLayout>
          <c:xMode val="edge"/>
          <c:yMode val="edge"/>
          <c:x val="0.23766163604549431"/>
          <c:y val="0.37839020122484696"/>
          <c:w val="0.20678276317087418"/>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China!$M$12:$M$70</c:f>
              <c:numCache>
                <c:formatCode>0</c:formatCode>
                <c:ptCount val="59"/>
                <c:pt idx="0">
                  <c:v>-32.841114008867152</c:v>
                </c:pt>
                <c:pt idx="1">
                  <c:v>-29.983169709310516</c:v>
                </c:pt>
                <c:pt idx="2">
                  <c:v>-37.482328194776045</c:v>
                </c:pt>
                <c:pt idx="3">
                  <c:v>-45.356444604514849</c:v>
                </c:pt>
                <c:pt idx="4">
                  <c:v>-53.62426683474061</c:v>
                </c:pt>
                <c:pt idx="5">
                  <c:v>-62.305480176477658</c:v>
                </c:pt>
                <c:pt idx="6">
                  <c:v>-61.420754185301547</c:v>
                </c:pt>
                <c:pt idx="7">
                  <c:v>-60.991791894566632</c:v>
                </c:pt>
                <c:pt idx="8">
                  <c:v>-61.041381489294963</c:v>
                </c:pt>
                <c:pt idx="9">
                  <c:v>-41.593450563759717</c:v>
                </c:pt>
                <c:pt idx="10">
                  <c:v>-52.673123091947701</c:v>
                </c:pt>
                <c:pt idx="11">
                  <c:v>-34.306779246545091</c:v>
                </c:pt>
                <c:pt idx="12">
                  <c:v>-16.522118208872371</c:v>
                </c:pt>
                <c:pt idx="13">
                  <c:v>0.65177588068399928</c:v>
                </c:pt>
                <c:pt idx="14">
                  <c:v>-2.8156353252817894</c:v>
                </c:pt>
                <c:pt idx="15">
                  <c:v>3.0435829084540842</c:v>
                </c:pt>
                <c:pt idx="16">
                  <c:v>8.1957620538767628</c:v>
                </c:pt>
                <c:pt idx="17">
                  <c:v>2.6055501565705868</c:v>
                </c:pt>
                <c:pt idx="18">
                  <c:v>6.2358276643990962</c:v>
                </c:pt>
                <c:pt idx="19">
                  <c:v>-0.95238095238096321</c:v>
                </c:pt>
                <c:pt idx="20">
                  <c:v>-9</c:v>
                </c:pt>
                <c:pt idx="21">
                  <c:v>-6</c:v>
                </c:pt>
                <c:pt idx="22">
                  <c:v>54</c:v>
                </c:pt>
                <c:pt idx="23">
                  <c:v>70</c:v>
                </c:pt>
                <c:pt idx="24">
                  <c:v>-142</c:v>
                </c:pt>
                <c:pt idx="25">
                  <c:v>-75</c:v>
                </c:pt>
                <c:pt idx="26">
                  <c:v>0</c:v>
                </c:pt>
                <c:pt idx="27">
                  <c:v>0</c:v>
                </c:pt>
                <c:pt idx="28">
                  <c:v>0</c:v>
                </c:pt>
                <c:pt idx="29">
                  <c:v>-2.9999999999999716</c:v>
                </c:pt>
                <c:pt idx="30">
                  <c:v>64.40000000000002</c:v>
                </c:pt>
                <c:pt idx="31">
                  <c:v>18.89578000000013</c:v>
                </c:pt>
                <c:pt idx="32">
                  <c:v>-43.200000000000045</c:v>
                </c:pt>
                <c:pt idx="33">
                  <c:v>-116.39999999999986</c:v>
                </c:pt>
                <c:pt idx="34">
                  <c:v>170.9670000000001</c:v>
                </c:pt>
                <c:pt idx="35">
                  <c:v>94.057999999999765</c:v>
                </c:pt>
                <c:pt idx="36">
                  <c:v>-116.88799999999998</c:v>
                </c:pt>
                <c:pt idx="37">
                  <c:v>-47.417999999999893</c:v>
                </c:pt>
                <c:pt idx="38">
                  <c:v>-92.39799999999974</c:v>
                </c:pt>
                <c:pt idx="39">
                  <c:v>-22.705999999999676</c:v>
                </c:pt>
                <c:pt idx="40">
                  <c:v>-72.998999999999569</c:v>
                </c:pt>
                <c:pt idx="41">
                  <c:v>-75.805000000000177</c:v>
                </c:pt>
                <c:pt idx="42">
                  <c:v>-311.16599999999971</c:v>
                </c:pt>
                <c:pt idx="43">
                  <c:v>-133.08700000000022</c:v>
                </c:pt>
                <c:pt idx="44">
                  <c:v>291.85599999999954</c:v>
                </c:pt>
                <c:pt idx="45">
                  <c:v>64.640000000000327</c:v>
                </c:pt>
                <c:pt idx="46">
                  <c:v>272.4730000000003</c:v>
                </c:pt>
                <c:pt idx="47">
                  <c:v>-261.54100000000085</c:v>
                </c:pt>
                <c:pt idx="48">
                  <c:v>84.160999999999831</c:v>
                </c:pt>
                <c:pt idx="49">
                  <c:v>-702.66600000000017</c:v>
                </c:pt>
                <c:pt idx="50">
                  <c:v>-202.76499999999942</c:v>
                </c:pt>
                <c:pt idx="51">
                  <c:v>-68.754999999998745</c:v>
                </c:pt>
                <c:pt idx="52">
                  <c:v>-748.26099999999906</c:v>
                </c:pt>
                <c:pt idx="53">
                  <c:v>-75.561000000000604</c:v>
                </c:pt>
                <c:pt idx="54">
                  <c:v>-364.0329999999999</c:v>
                </c:pt>
                <c:pt idx="55">
                  <c:v>-292.25009886477392</c:v>
                </c:pt>
                <c:pt idx="56">
                  <c:v>-260</c:v>
                </c:pt>
                <c:pt idx="57">
                  <c:v>-150</c:v>
                </c:pt>
                <c:pt idx="58">
                  <c:v>0</c:v>
                </c:pt>
              </c:numCache>
            </c:numRef>
          </c:xVal>
          <c:yVal>
            <c:numRef>
              <c:f>China!$K$12:$K$70</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250</c:v>
                </c:pt>
                <c:pt idx="25">
                  <c:v>355</c:v>
                </c:pt>
                <c:pt idx="26">
                  <c:v>161.80000000000001</c:v>
                </c:pt>
                <c:pt idx="27">
                  <c:v>70</c:v>
                </c:pt>
                <c:pt idx="28">
                  <c:v>35.75</c:v>
                </c:pt>
                <c:pt idx="29">
                  <c:v>61.099999999999994</c:v>
                </c:pt>
                <c:pt idx="30">
                  <c:v>20.7</c:v>
                </c:pt>
                <c:pt idx="31">
                  <c:v>95.3</c:v>
                </c:pt>
                <c:pt idx="32">
                  <c:v>255</c:v>
                </c:pt>
                <c:pt idx="33">
                  <c:v>359</c:v>
                </c:pt>
                <c:pt idx="34">
                  <c:v>89</c:v>
                </c:pt>
                <c:pt idx="35">
                  <c:v>-7</c:v>
                </c:pt>
                <c:pt idx="36">
                  <c:v>257.8</c:v>
                </c:pt>
                <c:pt idx="37">
                  <c:v>138</c:v>
                </c:pt>
                <c:pt idx="38">
                  <c:v>276.05099999999999</c:v>
                </c:pt>
                <c:pt idx="39">
                  <c:v>348.452</c:v>
                </c:pt>
                <c:pt idx="40">
                  <c:v>551.69299999999998</c:v>
                </c:pt>
                <c:pt idx="41">
                  <c:v>782.98799999999994</c:v>
                </c:pt>
                <c:pt idx="42">
                  <c:v>1103.6949999999999</c:v>
                </c:pt>
                <c:pt idx="43">
                  <c:v>1289.3620000000001</c:v>
                </c:pt>
                <c:pt idx="44">
                  <c:v>1074.4570000000001</c:v>
                </c:pt>
                <c:pt idx="45">
                  <c:v>1079.9319999999998</c:v>
                </c:pt>
                <c:pt idx="46">
                  <c:v>578.58399999999995</c:v>
                </c:pt>
                <c:pt idx="47">
                  <c:v>1362.8230000000001</c:v>
                </c:pt>
                <c:pt idx="48">
                  <c:v>1351.3019999999999</c:v>
                </c:pt>
                <c:pt idx="49">
                  <c:v>3095.3130000000001</c:v>
                </c:pt>
                <c:pt idx="50">
                  <c:v>2871.67</c:v>
                </c:pt>
                <c:pt idx="51">
                  <c:v>2676.2069999999999</c:v>
                </c:pt>
                <c:pt idx="52">
                  <c:v>3124.386</c:v>
                </c:pt>
                <c:pt idx="53">
                  <c:v>2910.366</c:v>
                </c:pt>
                <c:pt idx="54">
                  <c:v>3319.9559999999997</c:v>
                </c:pt>
                <c:pt idx="55">
                  <c:v>3456.9289999999996</c:v>
                </c:pt>
                <c:pt idx="56">
                  <c:v>2623.5778126688874</c:v>
                </c:pt>
                <c:pt idx="57">
                  <c:v>1726.6318730303483</c:v>
                </c:pt>
                <c:pt idx="58">
                  <c:v>1223.208584481692</c:v>
                </c:pt>
              </c:numCache>
            </c:numRef>
          </c:yVal>
          <c:smooth val="0"/>
          <c:extLst>
            <c:ext xmlns:c16="http://schemas.microsoft.com/office/drawing/2014/chart" uri="{C3380CC4-5D6E-409C-BE32-E72D297353CC}">
              <c16:uniqueId val="{00000000-98BB-494D-8956-EFED8EF855E6}"/>
            </c:ext>
          </c:extLst>
        </c:ser>
        <c:dLbls>
          <c:showLegendKey val="0"/>
          <c:showVal val="0"/>
          <c:showCatName val="0"/>
          <c:showSerName val="0"/>
          <c:showPercent val="0"/>
          <c:showBubbleSize val="0"/>
        </c:dLbls>
        <c:axId val="1307284448"/>
        <c:axId val="1307283792"/>
      </c:scatterChart>
      <c:valAx>
        <c:axId val="13072844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283792"/>
        <c:crosses val="autoZero"/>
        <c:crossBetween val="midCat"/>
      </c:valAx>
      <c:valAx>
        <c:axId val="13072837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7284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Chinese concentrate imports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China!$A$44:$A$70</c:f>
              <c:numCache>
                <c:formatCode>General</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xVal>
          <c:yVal>
            <c:numRef>
              <c:f>China!$AA$44:$AA$70</c:f>
              <c:numCache>
                <c:formatCode>General</c:formatCode>
                <c:ptCount val="27"/>
                <c:pt idx="0">
                  <c:v>95.699945451600001</c:v>
                </c:pt>
                <c:pt idx="1">
                  <c:v>67.855107599999997</c:v>
                </c:pt>
                <c:pt idx="2">
                  <c:v>69.984909388799991</c:v>
                </c:pt>
                <c:pt idx="3">
                  <c:v>136.27488313319998</c:v>
                </c:pt>
                <c:pt idx="4">
                  <c:v>232.1014628058</c:v>
                </c:pt>
                <c:pt idx="5">
                  <c:v>263.89019510280002</c:v>
                </c:pt>
                <c:pt idx="6">
                  <c:v>332.85879406079999</c:v>
                </c:pt>
                <c:pt idx="7">
                  <c:v>351.79061502479993</c:v>
                </c:pt>
                <c:pt idx="8">
                  <c:v>510.25930764059996</c:v>
                </c:pt>
                <c:pt idx="9">
                  <c:v>634.62497048159992</c:v>
                </c:pt>
                <c:pt idx="10">
                  <c:v>581.20167096179989</c:v>
                </c:pt>
                <c:pt idx="11">
                  <c:v>750.98945289480002</c:v>
                </c:pt>
                <c:pt idx="12">
                  <c:v>807.47694459179991</c:v>
                </c:pt>
                <c:pt idx="13">
                  <c:v>1142.4837309816</c:v>
                </c:pt>
                <c:pt idx="14">
                  <c:v>1016.3258909159999</c:v>
                </c:pt>
                <c:pt idx="15">
                  <c:v>1273.2493722311999</c:v>
                </c:pt>
                <c:pt idx="16" formatCode="#,##0.00">
                  <c:v>1452.4</c:v>
                </c:pt>
                <c:pt idx="17" formatCode="#,##0.00">
                  <c:v>1655.7</c:v>
                </c:pt>
                <c:pt idx="18" formatCode="#,##0.00">
                  <c:v>1811.1</c:v>
                </c:pt>
                <c:pt idx="19" formatCode="#,##0.00">
                  <c:v>1795</c:v>
                </c:pt>
                <c:pt idx="20" formatCode="#,##0.00">
                  <c:v>2191.6999999999998</c:v>
                </c:pt>
                <c:pt idx="21" formatCode="#,##0.00">
                  <c:v>2821</c:v>
                </c:pt>
                <c:pt idx="22" formatCode="#,##0.00">
                  <c:v>3309.6</c:v>
                </c:pt>
                <c:pt idx="23" formatCode="#,##0.00">
                  <c:v>3722.3</c:v>
                </c:pt>
                <c:pt idx="24" formatCode="#,##0.00">
                  <c:v>5087.7</c:v>
                </c:pt>
                <c:pt idx="25" formatCode="#,##0.00">
                  <c:v>4866.6000000000004</c:v>
                </c:pt>
                <c:pt idx="26">
                  <c:v>5554.2059532792</c:v>
                </c:pt>
              </c:numCache>
            </c:numRef>
          </c:yVal>
          <c:smooth val="0"/>
          <c:extLst>
            <c:ext xmlns:c16="http://schemas.microsoft.com/office/drawing/2014/chart" uri="{C3380CC4-5D6E-409C-BE32-E72D297353CC}">
              <c16:uniqueId val="{00000000-7CE2-4257-8E3F-285069A750B3}"/>
            </c:ext>
          </c:extLst>
        </c:ser>
        <c:ser>
          <c:idx val="1"/>
          <c:order val="1"/>
          <c:tx>
            <c:v>Modeled</c:v>
          </c:tx>
          <c:spPr>
            <a:ln w="25400" cap="rnd">
              <a:noFill/>
              <a:round/>
            </a:ln>
            <a:effectLst/>
          </c:spPr>
          <c:marker>
            <c:symbol val="circle"/>
            <c:size val="5"/>
            <c:spPr>
              <a:solidFill>
                <a:schemeClr val="accent2"/>
              </a:solidFill>
              <a:ln w="9525">
                <a:solidFill>
                  <a:schemeClr val="accent2"/>
                </a:solidFill>
              </a:ln>
              <a:effectLst/>
            </c:spPr>
          </c:marker>
          <c:xVal>
            <c:numRef>
              <c:f>China!$A$12:$A$43</c:f>
              <c:numCache>
                <c:formatCode>General</c:formatCode>
                <c:ptCount val="3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numCache>
            </c:numRef>
          </c:xVal>
          <c:yVal>
            <c:numRef>
              <c:f>China!$AA$12:$AA$43</c:f>
              <c:numCache>
                <c:formatCode>General</c:formatCode>
                <c:ptCount val="32"/>
                <c:pt idx="0">
                  <c:v>0.33761170311373678</c:v>
                </c:pt>
                <c:pt idx="1">
                  <c:v>0.40277076181468802</c:v>
                </c:pt>
                <c:pt idx="2">
                  <c:v>0.48050551884492282</c:v>
                </c:pt>
                <c:pt idx="3">
                  <c:v>0.57324308398199297</c:v>
                </c:pt>
                <c:pt idx="4">
                  <c:v>0.68387899919051764</c:v>
                </c:pt>
                <c:pt idx="5">
                  <c:v>0.81586764603428763</c:v>
                </c:pt>
                <c:pt idx="6">
                  <c:v>0.97333010171890522</c:v>
                </c:pt>
                <c:pt idx="7">
                  <c:v>1.1611828113506539</c:v>
                </c:pt>
                <c:pt idx="8">
                  <c:v>1.3852910939413301</c:v>
                </c:pt>
                <c:pt idx="9">
                  <c:v>1.652652275072007</c:v>
                </c:pt>
                <c:pt idx="10">
                  <c:v>1.9716141641609044</c:v>
                </c:pt>
                <c:pt idx="11">
                  <c:v>2.3521356978439592</c:v>
                </c:pt>
                <c:pt idx="12">
                  <c:v>2.8060978875278435</c:v>
                </c:pt>
                <c:pt idx="13">
                  <c:v>3.3476747798207174</c:v>
                </c:pt>
                <c:pt idx="14">
                  <c:v>3.9937760123261161</c:v>
                </c:pt>
                <c:pt idx="15">
                  <c:v>4.7645747827050569</c:v>
                </c:pt>
                <c:pt idx="16">
                  <c:v>5.6841377157671333</c:v>
                </c:pt>
                <c:pt idx="17">
                  <c:v>6.7811762949101899</c:v>
                </c:pt>
                <c:pt idx="18">
                  <c:v>8.0899433198278565</c:v>
                </c:pt>
                <c:pt idx="19">
                  <c:v>9.6513023805546343</c:v>
                </c:pt>
                <c:pt idx="20">
                  <c:v>11.514003740001678</c:v>
                </c:pt>
                <c:pt idx="21">
                  <c:v>13.736206461822002</c:v>
                </c:pt>
                <c:pt idx="22">
                  <c:v>16.387294308953649</c:v>
                </c:pt>
                <c:pt idx="23">
                  <c:v>19.550042110581703</c:v>
                </c:pt>
                <c:pt idx="24">
                  <c:v>23.323200237923974</c:v>
                </c:pt>
                <c:pt idx="25">
                  <c:v>27.8245778838433</c:v>
                </c:pt>
                <c:pt idx="26">
                  <c:v>33.194721415425057</c:v>
                </c:pt>
                <c:pt idx="27">
                  <c:v>39.601302648602093</c:v>
                </c:pt>
                <c:pt idx="28">
                  <c:v>47.244354059782296</c:v>
                </c:pt>
                <c:pt idx="29">
                  <c:v>56.362514393320282</c:v>
                </c:pt>
                <c:pt idx="30">
                  <c:v>67.2404796712311</c:v>
                </c:pt>
                <c:pt idx="31">
                  <c:v>80.217892247778707</c:v>
                </c:pt>
              </c:numCache>
            </c:numRef>
          </c:yVal>
          <c:smooth val="0"/>
          <c:extLst>
            <c:ext xmlns:c16="http://schemas.microsoft.com/office/drawing/2014/chart" uri="{C3380CC4-5D6E-409C-BE32-E72D297353CC}">
              <c16:uniqueId val="{00000001-7CE2-4257-8E3F-285069A750B3}"/>
            </c:ext>
          </c:extLst>
        </c:ser>
        <c:dLbls>
          <c:showLegendKey val="0"/>
          <c:showVal val="0"/>
          <c:showCatName val="0"/>
          <c:showSerName val="0"/>
          <c:showPercent val="0"/>
          <c:showBubbleSize val="0"/>
        </c:dLbls>
        <c:axId val="911185456"/>
        <c:axId val="911183816"/>
      </c:scatterChart>
      <c:valAx>
        <c:axId val="911185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83816"/>
        <c:crosses val="autoZero"/>
        <c:crossBetween val="midCat"/>
      </c:valAx>
      <c:valAx>
        <c:axId val="91118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1854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Double checking supplementary table 11 from Nat Comm paper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7.1646544181977259E-2"/>
                  <c:y val="4.310695538057742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China!$A$63:$A$68</c:f>
              <c:numCache>
                <c:formatCode>General</c:formatCode>
                <c:ptCount val="6"/>
                <c:pt idx="0">
                  <c:v>2011</c:v>
                </c:pt>
                <c:pt idx="1">
                  <c:v>2012</c:v>
                </c:pt>
                <c:pt idx="2">
                  <c:v>2013</c:v>
                </c:pt>
                <c:pt idx="3">
                  <c:v>2014</c:v>
                </c:pt>
                <c:pt idx="4">
                  <c:v>2015</c:v>
                </c:pt>
                <c:pt idx="5">
                  <c:v>2016</c:v>
                </c:pt>
              </c:numCache>
            </c:numRef>
          </c:xVal>
          <c:yVal>
            <c:numRef>
              <c:f>China!$X$63:$X$68</c:f>
              <c:numCache>
                <c:formatCode>General</c:formatCode>
                <c:ptCount val="6"/>
                <c:pt idx="0">
                  <c:v>1805.0071568254964</c:v>
                </c:pt>
                <c:pt idx="1">
                  <c:v>1577.883494621879</c:v>
                </c:pt>
                <c:pt idx="2">
                  <c:v>1692.2537349765773</c:v>
                </c:pt>
                <c:pt idx="3">
                  <c:v>1409.6087384335376</c:v>
                </c:pt>
                <c:pt idx="4">
                  <c:v>1375.5391367786488</c:v>
                </c:pt>
                <c:pt idx="5">
                  <c:v>1109.871427236726</c:v>
                </c:pt>
              </c:numCache>
            </c:numRef>
          </c:yVal>
          <c:smooth val="0"/>
          <c:extLst>
            <c:ext xmlns:c16="http://schemas.microsoft.com/office/drawing/2014/chart" uri="{C3380CC4-5D6E-409C-BE32-E72D297353CC}">
              <c16:uniqueId val="{00000000-A1BE-4131-B184-A2394ACE65C1}"/>
            </c:ext>
          </c:extLst>
        </c:ser>
        <c:ser>
          <c:idx val="1"/>
          <c:order val="1"/>
          <c:tx>
            <c:strRef>
              <c:f>China!$U$63:$U$68</c:f>
              <c:strCache>
                <c:ptCount val="6"/>
                <c:pt idx="0">
                  <c:v>4,687.30</c:v>
                </c:pt>
                <c:pt idx="1">
                  <c:v>4,859.40</c:v>
                </c:pt>
                <c:pt idx="2">
                  <c:v>4,372.70</c:v>
                </c:pt>
                <c:pt idx="3">
                  <c:v>3,874.90</c:v>
                </c:pt>
                <c:pt idx="4">
                  <c:v>3,658.50</c:v>
                </c:pt>
                <c:pt idx="5">
                  <c:v>3,348.10</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China!$A$63:$A$68</c:f>
              <c:numCache>
                <c:formatCode>General</c:formatCode>
                <c:ptCount val="6"/>
                <c:pt idx="0">
                  <c:v>2011</c:v>
                </c:pt>
                <c:pt idx="1">
                  <c:v>2012</c:v>
                </c:pt>
                <c:pt idx="2">
                  <c:v>2013</c:v>
                </c:pt>
                <c:pt idx="3">
                  <c:v>2014</c:v>
                </c:pt>
                <c:pt idx="4">
                  <c:v>2015</c:v>
                </c:pt>
                <c:pt idx="5">
                  <c:v>2016</c:v>
                </c:pt>
              </c:numCache>
            </c:numRef>
          </c:xVal>
          <c:yVal>
            <c:numRef>
              <c:f>China!$U$63:$U$68</c:f>
              <c:numCache>
                <c:formatCode>#,##0.00</c:formatCode>
                <c:ptCount val="6"/>
                <c:pt idx="0">
                  <c:v>4687.3</c:v>
                </c:pt>
                <c:pt idx="1">
                  <c:v>4859.3999999999996</c:v>
                </c:pt>
                <c:pt idx="2">
                  <c:v>4372.7</c:v>
                </c:pt>
                <c:pt idx="3">
                  <c:v>3874.9</c:v>
                </c:pt>
                <c:pt idx="4">
                  <c:v>3658.5</c:v>
                </c:pt>
                <c:pt idx="5">
                  <c:v>3348.1</c:v>
                </c:pt>
              </c:numCache>
            </c:numRef>
          </c:yVal>
          <c:smooth val="0"/>
          <c:extLst>
            <c:ext xmlns:c16="http://schemas.microsoft.com/office/drawing/2014/chart" uri="{C3380CC4-5D6E-409C-BE32-E72D297353CC}">
              <c16:uniqueId val="{00000002-A1BE-4131-B184-A2394ACE65C1}"/>
            </c:ext>
          </c:extLst>
        </c:ser>
        <c:dLbls>
          <c:showLegendKey val="0"/>
          <c:showVal val="0"/>
          <c:showCatName val="0"/>
          <c:showSerName val="0"/>
          <c:showPercent val="0"/>
          <c:showBubbleSize val="0"/>
        </c:dLbls>
        <c:axId val="1055323368"/>
        <c:axId val="1055317136"/>
      </c:scatterChart>
      <c:valAx>
        <c:axId val="1055323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17136"/>
        <c:crosses val="autoZero"/>
        <c:crossBetween val="midCat"/>
      </c:valAx>
      <c:valAx>
        <c:axId val="105531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23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scrap imports, various scenarios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China!$R$106</c:f>
              <c:strCache>
                <c:ptCount val="1"/>
                <c:pt idx="0">
                  <c:v>Constant</c:v>
                </c:pt>
              </c:strCache>
            </c:strRef>
          </c:tx>
          <c:spPr>
            <a:ln w="19050" cap="rnd">
              <a:solidFill>
                <a:schemeClr val="accent1"/>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China!$R$107:$R$129</c:f>
              <c:numCache>
                <c:formatCode>General</c:formatCode>
                <c:ptCount val="23"/>
                <c:pt idx="0">
                  <c:v>1276.2066835871699</c:v>
                </c:pt>
                <c:pt idx="1">
                  <c:v>1276.2066835871699</c:v>
                </c:pt>
                <c:pt idx="2">
                  <c:v>1276.2066835871699</c:v>
                </c:pt>
                <c:pt idx="3">
                  <c:v>1276.2066835871699</c:v>
                </c:pt>
                <c:pt idx="4">
                  <c:v>1276.2066835871699</c:v>
                </c:pt>
                <c:pt idx="5">
                  <c:v>1276.2066835871699</c:v>
                </c:pt>
                <c:pt idx="6">
                  <c:v>1276.2066835871699</c:v>
                </c:pt>
                <c:pt idx="7">
                  <c:v>1276.2066835871699</c:v>
                </c:pt>
                <c:pt idx="8">
                  <c:v>1276.2066835871699</c:v>
                </c:pt>
                <c:pt idx="9">
                  <c:v>1276.2066835871699</c:v>
                </c:pt>
                <c:pt idx="10">
                  <c:v>1276.2066835871699</c:v>
                </c:pt>
                <c:pt idx="11">
                  <c:v>1276.2066835871699</c:v>
                </c:pt>
                <c:pt idx="12">
                  <c:v>1276.2066835871699</c:v>
                </c:pt>
                <c:pt idx="13">
                  <c:v>1276.2066835871699</c:v>
                </c:pt>
                <c:pt idx="14">
                  <c:v>1276.2066835871699</c:v>
                </c:pt>
                <c:pt idx="15">
                  <c:v>1276.2066835871699</c:v>
                </c:pt>
                <c:pt idx="16">
                  <c:v>1276.2066835871699</c:v>
                </c:pt>
                <c:pt idx="17">
                  <c:v>1276.2066835871699</c:v>
                </c:pt>
                <c:pt idx="18">
                  <c:v>1276.2066835871699</c:v>
                </c:pt>
                <c:pt idx="19">
                  <c:v>1276.2066835871699</c:v>
                </c:pt>
                <c:pt idx="20">
                  <c:v>1276.2066835871699</c:v>
                </c:pt>
                <c:pt idx="21">
                  <c:v>1276.2066835871699</c:v>
                </c:pt>
                <c:pt idx="22">
                  <c:v>1276.2066835871699</c:v>
                </c:pt>
              </c:numCache>
            </c:numRef>
          </c:yVal>
          <c:smooth val="0"/>
          <c:extLst>
            <c:ext xmlns:c16="http://schemas.microsoft.com/office/drawing/2014/chart" uri="{C3380CC4-5D6E-409C-BE32-E72D297353CC}">
              <c16:uniqueId val="{00000000-68E6-450F-B5E1-FE323E937122}"/>
            </c:ext>
          </c:extLst>
        </c:ser>
        <c:ser>
          <c:idx val="1"/>
          <c:order val="1"/>
          <c:tx>
            <c:strRef>
              <c:f>China!$S$106</c:f>
              <c:strCache>
                <c:ptCount val="1"/>
                <c:pt idx="0">
                  <c:v>Ban alloyed &amp; No.2 50% YOY</c:v>
                </c:pt>
              </c:strCache>
            </c:strRef>
          </c:tx>
          <c:spPr>
            <a:ln w="19050" cap="rnd">
              <a:solidFill>
                <a:schemeClr val="accent2"/>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China!$S$107:$S$129</c:f>
              <c:numCache>
                <c:formatCode>General</c:formatCode>
                <c:ptCount val="23"/>
                <c:pt idx="0">
                  <c:v>1276.2066835871699</c:v>
                </c:pt>
                <c:pt idx="1">
                  <c:v>864.98334179358494</c:v>
                </c:pt>
                <c:pt idx="2">
                  <c:v>659.37167089679247</c:v>
                </c:pt>
                <c:pt idx="3">
                  <c:v>556.56583544839623</c:v>
                </c:pt>
                <c:pt idx="4">
                  <c:v>505.16291772419811</c:v>
                </c:pt>
                <c:pt idx="5">
                  <c:v>479.46145886209905</c:v>
                </c:pt>
                <c:pt idx="6">
                  <c:v>466.61072943104955</c:v>
                </c:pt>
                <c:pt idx="7">
                  <c:v>460.18536471552477</c:v>
                </c:pt>
                <c:pt idx="8">
                  <c:v>456.97268235776238</c:v>
                </c:pt>
                <c:pt idx="9">
                  <c:v>455.36634117888116</c:v>
                </c:pt>
                <c:pt idx="10">
                  <c:v>454.56317058944057</c:v>
                </c:pt>
                <c:pt idx="11">
                  <c:v>454.16158529472028</c:v>
                </c:pt>
                <c:pt idx="12">
                  <c:v>453.96079264736011</c:v>
                </c:pt>
                <c:pt idx="13">
                  <c:v>453.86039632368005</c:v>
                </c:pt>
                <c:pt idx="14">
                  <c:v>453.81019816184005</c:v>
                </c:pt>
                <c:pt idx="15">
                  <c:v>453.78509908092002</c:v>
                </c:pt>
                <c:pt idx="16">
                  <c:v>453.77254954045998</c:v>
                </c:pt>
                <c:pt idx="17">
                  <c:v>453.76627477022998</c:v>
                </c:pt>
                <c:pt idx="18">
                  <c:v>453.76313738511499</c:v>
                </c:pt>
                <c:pt idx="19">
                  <c:v>453.76156869255749</c:v>
                </c:pt>
                <c:pt idx="20">
                  <c:v>453.76078434627874</c:v>
                </c:pt>
                <c:pt idx="21">
                  <c:v>453.76039217313939</c:v>
                </c:pt>
                <c:pt idx="22">
                  <c:v>453.76019608656969</c:v>
                </c:pt>
              </c:numCache>
            </c:numRef>
          </c:yVal>
          <c:smooth val="0"/>
          <c:extLst>
            <c:ext xmlns:c16="http://schemas.microsoft.com/office/drawing/2014/chart" uri="{C3380CC4-5D6E-409C-BE32-E72D297353CC}">
              <c16:uniqueId val="{00000001-68E6-450F-B5E1-FE323E937122}"/>
            </c:ext>
          </c:extLst>
        </c:ser>
        <c:ser>
          <c:idx val="2"/>
          <c:order val="2"/>
          <c:tx>
            <c:strRef>
              <c:f>China!$T$106</c:f>
              <c:strCache>
                <c:ptCount val="1"/>
                <c:pt idx="0">
                  <c:v>Ban alloyed &amp; No.2 25% YOY</c:v>
                </c:pt>
              </c:strCache>
            </c:strRef>
          </c:tx>
          <c:spPr>
            <a:ln w="19050" cap="rnd">
              <a:solidFill>
                <a:schemeClr val="accent3"/>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China!$T$107:$T$129</c:f>
              <c:numCache>
                <c:formatCode>General</c:formatCode>
                <c:ptCount val="23"/>
                <c:pt idx="0">
                  <c:v>1276.2066835871699</c:v>
                </c:pt>
                <c:pt idx="1">
                  <c:v>659.37167089679247</c:v>
                </c:pt>
                <c:pt idx="2">
                  <c:v>505.16291772419811</c:v>
                </c:pt>
                <c:pt idx="3">
                  <c:v>466.61072943104955</c:v>
                </c:pt>
                <c:pt idx="4">
                  <c:v>456.97268235776238</c:v>
                </c:pt>
                <c:pt idx="5">
                  <c:v>454.56317058944057</c:v>
                </c:pt>
                <c:pt idx="6">
                  <c:v>453.96079264736011</c:v>
                </c:pt>
                <c:pt idx="7">
                  <c:v>453.81019816184005</c:v>
                </c:pt>
                <c:pt idx="8">
                  <c:v>453.77254954045998</c:v>
                </c:pt>
                <c:pt idx="9">
                  <c:v>453.76313738511499</c:v>
                </c:pt>
                <c:pt idx="10">
                  <c:v>453.76078434627874</c:v>
                </c:pt>
                <c:pt idx="11">
                  <c:v>453.76019608656969</c:v>
                </c:pt>
                <c:pt idx="12">
                  <c:v>453.76004902164243</c:v>
                </c:pt>
                <c:pt idx="13">
                  <c:v>453.76001225541063</c:v>
                </c:pt>
                <c:pt idx="14">
                  <c:v>453.76000306385265</c:v>
                </c:pt>
                <c:pt idx="15">
                  <c:v>453.76000076596313</c:v>
                </c:pt>
                <c:pt idx="16">
                  <c:v>453.7600001914908</c:v>
                </c:pt>
                <c:pt idx="17">
                  <c:v>453.76000004787272</c:v>
                </c:pt>
                <c:pt idx="18">
                  <c:v>453.76000001196815</c:v>
                </c:pt>
                <c:pt idx="19">
                  <c:v>453.760000002992</c:v>
                </c:pt>
                <c:pt idx="20">
                  <c:v>453.76000000074799</c:v>
                </c:pt>
                <c:pt idx="21">
                  <c:v>453.76000000018701</c:v>
                </c:pt>
                <c:pt idx="22">
                  <c:v>453.76000000004672</c:v>
                </c:pt>
              </c:numCache>
            </c:numRef>
          </c:yVal>
          <c:smooth val="0"/>
          <c:extLst>
            <c:ext xmlns:c16="http://schemas.microsoft.com/office/drawing/2014/chart" uri="{C3380CC4-5D6E-409C-BE32-E72D297353CC}">
              <c16:uniqueId val="{00000002-68E6-450F-B5E1-FE323E937122}"/>
            </c:ext>
          </c:extLst>
        </c:ser>
        <c:ser>
          <c:idx val="3"/>
          <c:order val="3"/>
          <c:tx>
            <c:strRef>
              <c:f>China!$V$106</c:f>
              <c:strCache>
                <c:ptCount val="1"/>
                <c:pt idx="0">
                  <c:v>Ban No.2 50% YOY</c:v>
                </c:pt>
              </c:strCache>
            </c:strRef>
          </c:tx>
          <c:spPr>
            <a:ln w="19050" cap="rnd">
              <a:solidFill>
                <a:schemeClr val="accent4"/>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China!$V$107:$V$129</c:f>
              <c:numCache>
                <c:formatCode>General</c:formatCode>
                <c:ptCount val="23"/>
                <c:pt idx="0">
                  <c:v>1276.2066835871699</c:v>
                </c:pt>
                <c:pt idx="1">
                  <c:v>986.41334179356159</c:v>
                </c:pt>
                <c:pt idx="2">
                  <c:v>841.51667089675743</c:v>
                </c:pt>
                <c:pt idx="3">
                  <c:v>769.06833544835536</c:v>
                </c:pt>
                <c:pt idx="4">
                  <c:v>732.84416772415432</c:v>
                </c:pt>
                <c:pt idx="5">
                  <c:v>714.73208386205374</c:v>
                </c:pt>
                <c:pt idx="6">
                  <c:v>705.67604193100351</c:v>
                </c:pt>
                <c:pt idx="7">
                  <c:v>701.14802096547839</c:v>
                </c:pt>
                <c:pt idx="8">
                  <c:v>698.88401048271589</c:v>
                </c:pt>
                <c:pt idx="9">
                  <c:v>697.75200524133459</c:v>
                </c:pt>
                <c:pt idx="10">
                  <c:v>697.18600262064388</c:v>
                </c:pt>
                <c:pt idx="11">
                  <c:v>696.90300131029858</c:v>
                </c:pt>
                <c:pt idx="12">
                  <c:v>696.76150065512593</c:v>
                </c:pt>
                <c:pt idx="13">
                  <c:v>696.6907503275396</c:v>
                </c:pt>
                <c:pt idx="14">
                  <c:v>696.65537516374638</c:v>
                </c:pt>
                <c:pt idx="15">
                  <c:v>696.63768758184983</c:v>
                </c:pt>
                <c:pt idx="16">
                  <c:v>696.62884379090156</c:v>
                </c:pt>
                <c:pt idx="17">
                  <c:v>696.62442189542742</c:v>
                </c:pt>
                <c:pt idx="18">
                  <c:v>696.62221094769029</c:v>
                </c:pt>
                <c:pt idx="19">
                  <c:v>696.62110547382179</c:v>
                </c:pt>
                <c:pt idx="20">
                  <c:v>696.62055273688748</c:v>
                </c:pt>
                <c:pt idx="21">
                  <c:v>696.62027636842038</c:v>
                </c:pt>
                <c:pt idx="22">
                  <c:v>696.62013818418677</c:v>
                </c:pt>
              </c:numCache>
            </c:numRef>
          </c:yVal>
          <c:smooth val="0"/>
          <c:extLst>
            <c:ext xmlns:c16="http://schemas.microsoft.com/office/drawing/2014/chart" uri="{C3380CC4-5D6E-409C-BE32-E72D297353CC}">
              <c16:uniqueId val="{00000003-68E6-450F-B5E1-FE323E937122}"/>
            </c:ext>
          </c:extLst>
        </c:ser>
        <c:ser>
          <c:idx val="4"/>
          <c:order val="4"/>
          <c:tx>
            <c:strRef>
              <c:f>China!$W$106</c:f>
              <c:strCache>
                <c:ptCount val="1"/>
                <c:pt idx="0">
                  <c:v>Ban No.2 25% YOY</c:v>
                </c:pt>
              </c:strCache>
            </c:strRef>
          </c:tx>
          <c:spPr>
            <a:ln w="19050" cap="rnd">
              <a:solidFill>
                <a:schemeClr val="accent5"/>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China!$W$107:$W$129</c:f>
              <c:numCache>
                <c:formatCode>General</c:formatCode>
                <c:ptCount val="23"/>
                <c:pt idx="0">
                  <c:v>1276.2066835871699</c:v>
                </c:pt>
                <c:pt idx="1">
                  <c:v>841.51667089678085</c:v>
                </c:pt>
                <c:pt idx="2">
                  <c:v>732.84416772418354</c:v>
                </c:pt>
                <c:pt idx="3">
                  <c:v>705.67604193103421</c:v>
                </c:pt>
                <c:pt idx="4">
                  <c:v>698.88401048274682</c:v>
                </c:pt>
                <c:pt idx="5">
                  <c:v>697.18600262067503</c:v>
                </c:pt>
                <c:pt idx="6">
                  <c:v>696.76150065515708</c:v>
                </c:pt>
                <c:pt idx="7">
                  <c:v>696.65537516377753</c:v>
                </c:pt>
                <c:pt idx="8">
                  <c:v>696.62884379093271</c:v>
                </c:pt>
                <c:pt idx="9">
                  <c:v>696.62221094772144</c:v>
                </c:pt>
                <c:pt idx="10">
                  <c:v>696.62055273691863</c:v>
                </c:pt>
                <c:pt idx="11">
                  <c:v>696.62013818421792</c:v>
                </c:pt>
                <c:pt idx="12">
                  <c:v>696.6200345460428</c:v>
                </c:pt>
                <c:pt idx="13">
                  <c:v>696.62000863649905</c:v>
                </c:pt>
                <c:pt idx="14">
                  <c:v>696.62000215911303</c:v>
                </c:pt>
                <c:pt idx="15">
                  <c:v>696.62000053976658</c:v>
                </c:pt>
                <c:pt idx="16">
                  <c:v>696.62000013493002</c:v>
                </c:pt>
                <c:pt idx="17">
                  <c:v>696.62000003372077</c:v>
                </c:pt>
                <c:pt idx="18">
                  <c:v>696.62000000841851</c:v>
                </c:pt>
                <c:pt idx="19">
                  <c:v>696.62000000209298</c:v>
                </c:pt>
                <c:pt idx="20">
                  <c:v>696.6200000005116</c:v>
                </c:pt>
                <c:pt idx="21">
                  <c:v>696.62000000011619</c:v>
                </c:pt>
                <c:pt idx="22">
                  <c:v>696.6200000000174</c:v>
                </c:pt>
              </c:numCache>
            </c:numRef>
          </c:yVal>
          <c:smooth val="0"/>
          <c:extLst>
            <c:ext xmlns:c16="http://schemas.microsoft.com/office/drawing/2014/chart" uri="{C3380CC4-5D6E-409C-BE32-E72D297353CC}">
              <c16:uniqueId val="{00000004-68E6-450F-B5E1-FE323E937122}"/>
            </c:ext>
          </c:extLst>
        </c:ser>
        <c:ser>
          <c:idx val="5"/>
          <c:order val="5"/>
          <c:tx>
            <c:strRef>
              <c:f>China!$Y$106</c:f>
              <c:strCache>
                <c:ptCount val="1"/>
                <c:pt idx="0">
                  <c:v>Ban alloyed 50% YOY</c:v>
                </c:pt>
              </c:strCache>
            </c:strRef>
          </c:tx>
          <c:spPr>
            <a:ln w="19050" cap="rnd">
              <a:solidFill>
                <a:schemeClr val="accent6"/>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China!$Y$107:$Y$129</c:f>
              <c:numCache>
                <c:formatCode>General</c:formatCode>
                <c:ptCount val="23"/>
                <c:pt idx="0">
                  <c:v>1276.2066835871699</c:v>
                </c:pt>
                <c:pt idx="1">
                  <c:v>1154.7763417935616</c:v>
                </c:pt>
                <c:pt idx="2">
                  <c:v>1094.0611708967574</c:v>
                </c:pt>
                <c:pt idx="3">
                  <c:v>1063.7035854483554</c:v>
                </c:pt>
                <c:pt idx="4">
                  <c:v>1048.5247927241544</c:v>
                </c:pt>
                <c:pt idx="5">
                  <c:v>1040.9353963620538</c:v>
                </c:pt>
                <c:pt idx="6">
                  <c:v>1037.1406981810035</c:v>
                </c:pt>
                <c:pt idx="7">
                  <c:v>1035.2433490904784</c:v>
                </c:pt>
                <c:pt idx="8">
                  <c:v>1034.2946745452159</c:v>
                </c:pt>
                <c:pt idx="9">
                  <c:v>1033.8203372725845</c:v>
                </c:pt>
                <c:pt idx="10">
                  <c:v>1033.583168636269</c:v>
                </c:pt>
                <c:pt idx="11">
                  <c:v>1033.4645843181111</c:v>
                </c:pt>
                <c:pt idx="12">
                  <c:v>1033.4052921590321</c:v>
                </c:pt>
                <c:pt idx="13">
                  <c:v>1033.3756460794928</c:v>
                </c:pt>
                <c:pt idx="14">
                  <c:v>1033.3608230397231</c:v>
                </c:pt>
                <c:pt idx="15">
                  <c:v>1033.3534115198381</c:v>
                </c:pt>
                <c:pt idx="16">
                  <c:v>1033.3497057598956</c:v>
                </c:pt>
                <c:pt idx="17">
                  <c:v>1033.3478528799244</c:v>
                </c:pt>
                <c:pt idx="18">
                  <c:v>1033.3469264399389</c:v>
                </c:pt>
                <c:pt idx="19">
                  <c:v>1033.3464632199461</c:v>
                </c:pt>
                <c:pt idx="20">
                  <c:v>1033.3462316099497</c:v>
                </c:pt>
                <c:pt idx="21">
                  <c:v>1033.3461158049515</c:v>
                </c:pt>
                <c:pt idx="22">
                  <c:v>1033.3460579024525</c:v>
                </c:pt>
              </c:numCache>
            </c:numRef>
          </c:yVal>
          <c:smooth val="0"/>
          <c:extLst>
            <c:ext xmlns:c16="http://schemas.microsoft.com/office/drawing/2014/chart" uri="{C3380CC4-5D6E-409C-BE32-E72D297353CC}">
              <c16:uniqueId val="{00000005-68E6-450F-B5E1-FE323E937122}"/>
            </c:ext>
          </c:extLst>
        </c:ser>
        <c:ser>
          <c:idx val="6"/>
          <c:order val="6"/>
          <c:tx>
            <c:strRef>
              <c:f>China!$Z$106</c:f>
              <c:strCache>
                <c:ptCount val="1"/>
                <c:pt idx="0">
                  <c:v>Ban alloyed 25% YOY</c:v>
                </c:pt>
              </c:strCache>
            </c:strRef>
          </c:tx>
          <c:spPr>
            <a:ln w="19050" cap="rnd">
              <a:solidFill>
                <a:schemeClr val="accent1">
                  <a:lumMod val="60000"/>
                </a:schemeClr>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China!$Z$107:$Z$129</c:f>
              <c:numCache>
                <c:formatCode>General</c:formatCode>
                <c:ptCount val="23"/>
                <c:pt idx="0">
                  <c:v>1276.2066835871699</c:v>
                </c:pt>
                <c:pt idx="1">
                  <c:v>1094.0611708967808</c:v>
                </c:pt>
                <c:pt idx="2">
                  <c:v>1048.5247927241835</c:v>
                </c:pt>
                <c:pt idx="3">
                  <c:v>1037.1406981810342</c:v>
                </c:pt>
                <c:pt idx="4">
                  <c:v>1034.2946745452468</c:v>
                </c:pt>
                <c:pt idx="5">
                  <c:v>1033.5831686363001</c:v>
                </c:pt>
                <c:pt idx="6">
                  <c:v>1033.4052921590633</c:v>
                </c:pt>
                <c:pt idx="7">
                  <c:v>1033.3608230397542</c:v>
                </c:pt>
                <c:pt idx="8">
                  <c:v>1033.3497057599268</c:v>
                </c:pt>
                <c:pt idx="9">
                  <c:v>1033.34692643997</c:v>
                </c:pt>
                <c:pt idx="10">
                  <c:v>1033.3462316099808</c:v>
                </c:pt>
                <c:pt idx="11">
                  <c:v>1033.3460579024836</c:v>
                </c:pt>
                <c:pt idx="12">
                  <c:v>1033.3460144756093</c:v>
                </c:pt>
                <c:pt idx="13">
                  <c:v>1033.3460036188906</c:v>
                </c:pt>
                <c:pt idx="14">
                  <c:v>1033.346000904711</c:v>
                </c:pt>
                <c:pt idx="15">
                  <c:v>1033.3460002261661</c:v>
                </c:pt>
                <c:pt idx="16">
                  <c:v>1033.3460000565299</c:v>
                </c:pt>
                <c:pt idx="17">
                  <c:v>1033.3460000141208</c:v>
                </c:pt>
                <c:pt idx="18">
                  <c:v>1033.3460000035186</c:v>
                </c:pt>
                <c:pt idx="19">
                  <c:v>1033.3460000008679</c:v>
                </c:pt>
                <c:pt idx="20">
                  <c:v>1033.3460000002053</c:v>
                </c:pt>
                <c:pt idx="21">
                  <c:v>1033.3460000000396</c:v>
                </c:pt>
                <c:pt idx="22">
                  <c:v>1033.3459999999982</c:v>
                </c:pt>
              </c:numCache>
            </c:numRef>
          </c:yVal>
          <c:smooth val="0"/>
          <c:extLst>
            <c:ext xmlns:c16="http://schemas.microsoft.com/office/drawing/2014/chart" uri="{C3380CC4-5D6E-409C-BE32-E72D297353CC}">
              <c16:uniqueId val="{00000006-68E6-450F-B5E1-FE323E937122}"/>
            </c:ext>
          </c:extLst>
        </c:ser>
        <c:ser>
          <c:idx val="7"/>
          <c:order val="7"/>
          <c:tx>
            <c:strRef>
              <c:f>China!$U$106</c:f>
              <c:strCache>
                <c:ptCount val="1"/>
                <c:pt idx="0">
                  <c:v>Ban alloyed &amp; No.2 75% YOY</c:v>
                </c:pt>
              </c:strCache>
            </c:strRef>
          </c:tx>
          <c:spPr>
            <a:ln w="19050" cap="rnd">
              <a:solidFill>
                <a:schemeClr val="accent2">
                  <a:lumMod val="60000"/>
                </a:schemeClr>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China!$U$107:$U$129</c:f>
              <c:numCache>
                <c:formatCode>General</c:formatCode>
                <c:ptCount val="23"/>
                <c:pt idx="0">
                  <c:v>1276.2066835871699</c:v>
                </c:pt>
                <c:pt idx="1">
                  <c:v>1070.5950126903774</c:v>
                </c:pt>
                <c:pt idx="2">
                  <c:v>916.38625951778306</c:v>
                </c:pt>
                <c:pt idx="3">
                  <c:v>800.72969463833726</c:v>
                </c:pt>
                <c:pt idx="4">
                  <c:v>713.98727097875292</c:v>
                </c:pt>
                <c:pt idx="5">
                  <c:v>648.93045323406466</c:v>
                </c:pt>
                <c:pt idx="6">
                  <c:v>600.13783992554852</c:v>
                </c:pt>
                <c:pt idx="7">
                  <c:v>563.54337994416142</c:v>
                </c:pt>
                <c:pt idx="8">
                  <c:v>536.09753495812106</c:v>
                </c:pt>
                <c:pt idx="9">
                  <c:v>515.51315121859079</c:v>
                </c:pt>
                <c:pt idx="10">
                  <c:v>500.07486341394309</c:v>
                </c:pt>
                <c:pt idx="11">
                  <c:v>488.4961475604573</c:v>
                </c:pt>
                <c:pt idx="12">
                  <c:v>479.81211067034297</c:v>
                </c:pt>
                <c:pt idx="13">
                  <c:v>473.29908300275724</c:v>
                </c:pt>
                <c:pt idx="14">
                  <c:v>468.41431225206793</c:v>
                </c:pt>
                <c:pt idx="15">
                  <c:v>464.75073418905095</c:v>
                </c:pt>
                <c:pt idx="16">
                  <c:v>462.00305064178821</c:v>
                </c:pt>
                <c:pt idx="17">
                  <c:v>459.94228798134117</c:v>
                </c:pt>
                <c:pt idx="18">
                  <c:v>458.39671598600586</c:v>
                </c:pt>
                <c:pt idx="19">
                  <c:v>457.23753698950441</c:v>
                </c:pt>
                <c:pt idx="20">
                  <c:v>456.3681527421283</c:v>
                </c:pt>
                <c:pt idx="21">
                  <c:v>455.71611455659621</c:v>
                </c:pt>
                <c:pt idx="22">
                  <c:v>455.22708591744714</c:v>
                </c:pt>
              </c:numCache>
            </c:numRef>
          </c:yVal>
          <c:smooth val="0"/>
          <c:extLst>
            <c:ext xmlns:c16="http://schemas.microsoft.com/office/drawing/2014/chart" uri="{C3380CC4-5D6E-409C-BE32-E72D297353CC}">
              <c16:uniqueId val="{00000000-22EA-49CE-ABB8-5A07F9119956}"/>
            </c:ext>
          </c:extLst>
        </c:ser>
        <c:ser>
          <c:idx val="8"/>
          <c:order val="8"/>
          <c:tx>
            <c:strRef>
              <c:f>China!$X$106</c:f>
              <c:strCache>
                <c:ptCount val="1"/>
                <c:pt idx="0">
                  <c:v>Ban No.2 75% YOY</c:v>
                </c:pt>
              </c:strCache>
            </c:strRef>
          </c:tx>
          <c:spPr>
            <a:ln w="19050" cap="rnd">
              <a:solidFill>
                <a:schemeClr val="accent3">
                  <a:lumMod val="60000"/>
                </a:schemeClr>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China!$X$107:$X$129</c:f>
              <c:numCache>
                <c:formatCode>General</c:formatCode>
                <c:ptCount val="23"/>
                <c:pt idx="0">
                  <c:v>1276.2066835871699</c:v>
                </c:pt>
                <c:pt idx="1">
                  <c:v>1131.3100126903423</c:v>
                </c:pt>
                <c:pt idx="2">
                  <c:v>1022.6375095177217</c:v>
                </c:pt>
                <c:pt idx="3">
                  <c:v>941.1331321382562</c:v>
                </c:pt>
                <c:pt idx="4">
                  <c:v>880.00484910365708</c:v>
                </c:pt>
                <c:pt idx="5">
                  <c:v>834.15863682770782</c:v>
                </c:pt>
                <c:pt idx="6">
                  <c:v>799.77397762074588</c:v>
                </c:pt>
                <c:pt idx="7">
                  <c:v>773.98548321552437</c:v>
                </c:pt>
                <c:pt idx="8">
                  <c:v>754.64411241160826</c:v>
                </c:pt>
                <c:pt idx="9">
                  <c:v>740.13808430867118</c:v>
                </c:pt>
                <c:pt idx="10">
                  <c:v>729.25856323146832</c:v>
                </c:pt>
                <c:pt idx="11">
                  <c:v>721.09892242356614</c:v>
                </c:pt>
                <c:pt idx="12">
                  <c:v>714.9791918176395</c:v>
                </c:pt>
                <c:pt idx="13">
                  <c:v>710.38939386319453</c:v>
                </c:pt>
                <c:pt idx="14">
                  <c:v>706.94704539736085</c:v>
                </c:pt>
                <c:pt idx="15">
                  <c:v>704.3652840479856</c:v>
                </c:pt>
                <c:pt idx="16">
                  <c:v>702.42896303595421</c:v>
                </c:pt>
                <c:pt idx="17">
                  <c:v>700.97672227693056</c:v>
                </c:pt>
                <c:pt idx="18">
                  <c:v>699.88754170766288</c:v>
                </c:pt>
                <c:pt idx="19">
                  <c:v>699.07065628071211</c:v>
                </c:pt>
                <c:pt idx="20">
                  <c:v>698.45799221049901</c:v>
                </c:pt>
                <c:pt idx="21">
                  <c:v>697.99849415783922</c:v>
                </c:pt>
                <c:pt idx="22">
                  <c:v>697.6538706183444</c:v>
                </c:pt>
              </c:numCache>
            </c:numRef>
          </c:yVal>
          <c:smooth val="0"/>
          <c:extLst>
            <c:ext xmlns:c16="http://schemas.microsoft.com/office/drawing/2014/chart" uri="{C3380CC4-5D6E-409C-BE32-E72D297353CC}">
              <c16:uniqueId val="{00000001-22EA-49CE-ABB8-5A07F9119956}"/>
            </c:ext>
          </c:extLst>
        </c:ser>
        <c:ser>
          <c:idx val="9"/>
          <c:order val="9"/>
          <c:tx>
            <c:strRef>
              <c:f>China!$AA$106</c:f>
              <c:strCache>
                <c:ptCount val="1"/>
                <c:pt idx="0">
                  <c:v>Ban alloyed 75% YOY</c:v>
                </c:pt>
              </c:strCache>
            </c:strRef>
          </c:tx>
          <c:spPr>
            <a:ln w="19050" cap="rnd">
              <a:solidFill>
                <a:schemeClr val="accent4">
                  <a:lumMod val="60000"/>
                </a:schemeClr>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China!$AA$107:$AA$129</c:f>
              <c:numCache>
                <c:formatCode>General</c:formatCode>
                <c:ptCount val="23"/>
                <c:pt idx="0">
                  <c:v>1276.2066835871699</c:v>
                </c:pt>
                <c:pt idx="1">
                  <c:v>1215.4915126903425</c:v>
                </c:pt>
                <c:pt idx="2">
                  <c:v>1169.9551345177217</c:v>
                </c:pt>
                <c:pt idx="3">
                  <c:v>1135.8028508882562</c:v>
                </c:pt>
                <c:pt idx="4">
                  <c:v>1110.188638166157</c:v>
                </c:pt>
                <c:pt idx="5">
                  <c:v>1090.9779786245826</c:v>
                </c:pt>
                <c:pt idx="6">
                  <c:v>1076.5699839684019</c:v>
                </c:pt>
                <c:pt idx="7">
                  <c:v>1065.7639879762664</c:v>
                </c:pt>
                <c:pt idx="8">
                  <c:v>1057.6594909821647</c:v>
                </c:pt>
                <c:pt idx="9">
                  <c:v>1051.5811182365885</c:v>
                </c:pt>
                <c:pt idx="10">
                  <c:v>1047.0223386774064</c:v>
                </c:pt>
                <c:pt idx="11">
                  <c:v>1043.6032540080198</c:v>
                </c:pt>
                <c:pt idx="12">
                  <c:v>1041.0389405059798</c:v>
                </c:pt>
                <c:pt idx="13">
                  <c:v>1039.1157053794498</c:v>
                </c:pt>
                <c:pt idx="14">
                  <c:v>1037.6732790345523</c:v>
                </c:pt>
                <c:pt idx="15">
                  <c:v>1036.5914592758791</c:v>
                </c:pt>
                <c:pt idx="16">
                  <c:v>1035.7800944568742</c:v>
                </c:pt>
                <c:pt idx="17">
                  <c:v>1035.1715708426207</c:v>
                </c:pt>
                <c:pt idx="18">
                  <c:v>1034.7151781319305</c:v>
                </c:pt>
                <c:pt idx="19">
                  <c:v>1034.3728835989129</c:v>
                </c:pt>
                <c:pt idx="20">
                  <c:v>1034.1161626991498</c:v>
                </c:pt>
                <c:pt idx="21">
                  <c:v>1033.9236220243272</c:v>
                </c:pt>
                <c:pt idx="22">
                  <c:v>1033.7792165182104</c:v>
                </c:pt>
              </c:numCache>
            </c:numRef>
          </c:yVal>
          <c:smooth val="0"/>
          <c:extLst>
            <c:ext xmlns:c16="http://schemas.microsoft.com/office/drawing/2014/chart" uri="{C3380CC4-5D6E-409C-BE32-E72D297353CC}">
              <c16:uniqueId val="{00000002-22EA-49CE-ABB8-5A07F9119956}"/>
            </c:ext>
          </c:extLst>
        </c:ser>
        <c:ser>
          <c:idx val="10"/>
          <c:order val="10"/>
          <c:tx>
            <c:strRef>
              <c:f>China!$AB$106</c:f>
              <c:strCache>
                <c:ptCount val="1"/>
                <c:pt idx="0">
                  <c:v>Zeng Upper bound (kt)</c:v>
                </c:pt>
              </c:strCache>
            </c:strRef>
          </c:tx>
          <c:spPr>
            <a:ln w="19050" cap="rnd">
              <a:solidFill>
                <a:schemeClr val="accent5">
                  <a:lumMod val="60000"/>
                </a:schemeClr>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China!$AB$107:$AB$129</c:f>
              <c:numCache>
                <c:formatCode>General</c:formatCode>
                <c:ptCount val="23"/>
                <c:pt idx="0">
                  <c:v>1243.6199999999999</c:v>
                </c:pt>
                <c:pt idx="1">
                  <c:v>1194.48</c:v>
                </c:pt>
                <c:pt idx="2">
                  <c:v>1126.44</c:v>
                </c:pt>
                <c:pt idx="3">
                  <c:v>1031.94</c:v>
                </c:pt>
                <c:pt idx="4">
                  <c:v>914.76</c:v>
                </c:pt>
                <c:pt idx="5">
                  <c:v>771.12</c:v>
                </c:pt>
                <c:pt idx="6">
                  <c:v>604.79999999999995</c:v>
                </c:pt>
                <c:pt idx="7">
                  <c:v>415.80000000000007</c:v>
                </c:pt>
                <c:pt idx="8">
                  <c:v>204.12000000000003</c:v>
                </c:pt>
                <c:pt idx="9">
                  <c:v>102.06000000000002</c:v>
                </c:pt>
                <c:pt idx="10">
                  <c:v>102.06000000000002</c:v>
                </c:pt>
                <c:pt idx="11">
                  <c:v>102.06000000000002</c:v>
                </c:pt>
                <c:pt idx="12">
                  <c:v>102.06000000000002</c:v>
                </c:pt>
                <c:pt idx="13">
                  <c:v>102.06000000000002</c:v>
                </c:pt>
                <c:pt idx="14">
                  <c:v>102.06000000000002</c:v>
                </c:pt>
                <c:pt idx="15">
                  <c:v>102.06000000000002</c:v>
                </c:pt>
                <c:pt idx="16">
                  <c:v>102.06000000000002</c:v>
                </c:pt>
                <c:pt idx="17">
                  <c:v>102.06000000000002</c:v>
                </c:pt>
                <c:pt idx="18">
                  <c:v>102.06000000000002</c:v>
                </c:pt>
                <c:pt idx="19">
                  <c:v>102.06000000000002</c:v>
                </c:pt>
                <c:pt idx="20">
                  <c:v>102.06000000000002</c:v>
                </c:pt>
                <c:pt idx="21">
                  <c:v>102.06000000000002</c:v>
                </c:pt>
                <c:pt idx="22">
                  <c:v>102.06000000000002</c:v>
                </c:pt>
              </c:numCache>
            </c:numRef>
          </c:yVal>
          <c:smooth val="0"/>
          <c:extLst>
            <c:ext xmlns:c16="http://schemas.microsoft.com/office/drawing/2014/chart" uri="{C3380CC4-5D6E-409C-BE32-E72D297353CC}">
              <c16:uniqueId val="{00000000-0D95-4A87-A2B3-DC0A95AC6405}"/>
            </c:ext>
          </c:extLst>
        </c:ser>
        <c:ser>
          <c:idx val="11"/>
          <c:order val="11"/>
          <c:tx>
            <c:strRef>
              <c:f>China!$AC$106</c:f>
              <c:strCache>
                <c:ptCount val="1"/>
                <c:pt idx="0">
                  <c:v>Zeng Mean (kt)</c:v>
                </c:pt>
              </c:strCache>
            </c:strRef>
          </c:tx>
          <c:spPr>
            <a:ln w="19050" cap="rnd">
              <a:solidFill>
                <a:schemeClr val="accent6">
                  <a:lumMod val="60000"/>
                </a:schemeClr>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China!$AC$107:$AC$129</c:f>
              <c:numCache>
                <c:formatCode>General</c:formatCode>
                <c:ptCount val="23"/>
                <c:pt idx="0">
                  <c:v>1035.7200000000003</c:v>
                </c:pt>
                <c:pt idx="1">
                  <c:v>918.54000000000008</c:v>
                </c:pt>
                <c:pt idx="2">
                  <c:v>805.14</c:v>
                </c:pt>
                <c:pt idx="3">
                  <c:v>687.96</c:v>
                </c:pt>
                <c:pt idx="4">
                  <c:v>570.78</c:v>
                </c:pt>
                <c:pt idx="5">
                  <c:v>453.6</c:v>
                </c:pt>
                <c:pt idx="6">
                  <c:v>336.42</c:v>
                </c:pt>
                <c:pt idx="7">
                  <c:v>219.23999999999998</c:v>
                </c:pt>
                <c:pt idx="8">
                  <c:v>102.06000000000002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1-0D95-4A87-A2B3-DC0A95AC6405}"/>
            </c:ext>
          </c:extLst>
        </c:ser>
        <c:ser>
          <c:idx val="12"/>
          <c:order val="12"/>
          <c:tx>
            <c:strRef>
              <c:f>China!$AD$106</c:f>
              <c:strCache>
                <c:ptCount val="1"/>
                <c:pt idx="0">
                  <c:v>Zeng Lower bound (kt)</c:v>
                </c:pt>
              </c:strCache>
            </c:strRef>
          </c:tx>
          <c:spPr>
            <a:ln w="19050" cap="rnd">
              <a:solidFill>
                <a:schemeClr val="accent1">
                  <a:lumMod val="80000"/>
                  <a:lumOff val="20000"/>
                </a:schemeClr>
              </a:solidFill>
              <a:round/>
            </a:ln>
            <a:effectLst/>
          </c:spPr>
          <c:marker>
            <c:symbol val="none"/>
          </c:marker>
          <c:xVal>
            <c:numRef>
              <c:f>China!$Q$107:$Q$129</c:f>
              <c:numCache>
                <c:formatCode>General</c:formatCode>
                <c:ptCount val="23"/>
                <c:pt idx="0">
                  <c:v>2018</c:v>
                </c:pt>
                <c:pt idx="1">
                  <c:v>2019</c:v>
                </c:pt>
                <c:pt idx="2">
                  <c:v>2020</c:v>
                </c:pt>
                <c:pt idx="3">
                  <c:v>2021</c:v>
                </c:pt>
                <c:pt idx="4">
                  <c:v>2022</c:v>
                </c:pt>
                <c:pt idx="5">
                  <c:v>2023</c:v>
                </c:pt>
                <c:pt idx="6">
                  <c:v>2024</c:v>
                </c:pt>
                <c:pt idx="7">
                  <c:v>2025</c:v>
                </c:pt>
                <c:pt idx="8">
                  <c:v>2026</c:v>
                </c:pt>
                <c:pt idx="9">
                  <c:v>2027</c:v>
                </c:pt>
                <c:pt idx="10">
                  <c:v>2028</c:v>
                </c:pt>
                <c:pt idx="11">
                  <c:v>2029</c:v>
                </c:pt>
                <c:pt idx="12">
                  <c:v>2030</c:v>
                </c:pt>
                <c:pt idx="13">
                  <c:v>2031</c:v>
                </c:pt>
                <c:pt idx="14">
                  <c:v>2032</c:v>
                </c:pt>
                <c:pt idx="15">
                  <c:v>2033</c:v>
                </c:pt>
                <c:pt idx="16">
                  <c:v>2034</c:v>
                </c:pt>
                <c:pt idx="17">
                  <c:v>2035</c:v>
                </c:pt>
                <c:pt idx="18">
                  <c:v>2036</c:v>
                </c:pt>
                <c:pt idx="19">
                  <c:v>2037</c:v>
                </c:pt>
                <c:pt idx="20">
                  <c:v>2038</c:v>
                </c:pt>
                <c:pt idx="21">
                  <c:v>2039</c:v>
                </c:pt>
                <c:pt idx="22">
                  <c:v>2040</c:v>
                </c:pt>
              </c:numCache>
            </c:numRef>
          </c:xVal>
          <c:yVal>
            <c:numRef>
              <c:f>China!$AD$107:$AD$129</c:f>
              <c:numCache>
                <c:formatCode>General</c:formatCode>
                <c:ptCount val="23"/>
                <c:pt idx="0">
                  <c:v>827.82</c:v>
                </c:pt>
                <c:pt idx="1">
                  <c:v>642.59999999999991</c:v>
                </c:pt>
                <c:pt idx="2">
                  <c:v>483.84</c:v>
                </c:pt>
                <c:pt idx="3">
                  <c:v>343.98</c:v>
                </c:pt>
                <c:pt idx="4">
                  <c:v>226.8</c:v>
                </c:pt>
                <c:pt idx="5">
                  <c:v>136.08000000000001</c:v>
                </c:pt>
                <c:pt idx="6">
                  <c:v>68.040000000000006</c:v>
                </c:pt>
                <c:pt idx="7">
                  <c:v>22.68</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numCache>
            </c:numRef>
          </c:yVal>
          <c:smooth val="0"/>
          <c:extLst>
            <c:ext xmlns:c16="http://schemas.microsoft.com/office/drawing/2014/chart" uri="{C3380CC4-5D6E-409C-BE32-E72D297353CC}">
              <c16:uniqueId val="{00000002-0D95-4A87-A2B3-DC0A95AC6405}"/>
            </c:ext>
          </c:extLst>
        </c:ser>
        <c:dLbls>
          <c:showLegendKey val="0"/>
          <c:showVal val="0"/>
          <c:showCatName val="0"/>
          <c:showSerName val="0"/>
          <c:showPercent val="0"/>
          <c:showBubbleSize val="0"/>
        </c:dLbls>
        <c:axId val="1058703776"/>
        <c:axId val="1058707056"/>
      </c:scatterChart>
      <c:valAx>
        <c:axId val="1058703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07056"/>
        <c:crosses val="autoZero"/>
        <c:crossBetween val="midCat"/>
      </c:valAx>
      <c:valAx>
        <c:axId val="105870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037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Mining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WoodMac</c:v>
          </c:tx>
          <c:spPr>
            <a:ln w="25400" cap="rnd">
              <a:noFill/>
              <a:round/>
            </a:ln>
            <a:effectLst/>
          </c:spPr>
          <c:marker>
            <c:symbol val="circle"/>
            <c:size val="5"/>
            <c:spPr>
              <a:solidFill>
                <a:schemeClr val="accent1"/>
              </a:solidFill>
              <a:ln w="9525">
                <a:solidFill>
                  <a:schemeClr val="accent1"/>
                </a:solidFill>
              </a:ln>
              <a:effectLst/>
            </c:spPr>
          </c:marker>
          <c:dPt>
            <c:idx val="3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2CB-40A7-AEB5-F6743C5666FE}"/>
              </c:ext>
            </c:extLst>
          </c:dPt>
          <c:xVal>
            <c:numRef>
              <c:f>China!$A$36:$A$70</c:f>
              <c:numCache>
                <c:formatCode>General</c:formatCode>
                <c:ptCount val="35"/>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numCache>
            </c:numRef>
          </c:xVal>
          <c:yVal>
            <c:numRef>
              <c:f>China!$B$36:$B$70</c:f>
              <c:numCache>
                <c:formatCode>General</c:formatCode>
                <c:ptCount val="35"/>
                <c:pt idx="0">
                  <c:v>239.8</c:v>
                </c:pt>
                <c:pt idx="1">
                  <c:v>239.8</c:v>
                </c:pt>
                <c:pt idx="2">
                  <c:v>253.5</c:v>
                </c:pt>
                <c:pt idx="3">
                  <c:v>278.2</c:v>
                </c:pt>
                <c:pt idx="4">
                  <c:v>281.89999999999998</c:v>
                </c:pt>
                <c:pt idx="5">
                  <c:v>299.10000000000002</c:v>
                </c:pt>
                <c:pt idx="6">
                  <c:v>295.89999999999998</c:v>
                </c:pt>
                <c:pt idx="7">
                  <c:v>304</c:v>
                </c:pt>
                <c:pt idx="8">
                  <c:v>334.02900000000005</c:v>
                </c:pt>
                <c:pt idx="9">
                  <c:v>345.72800000000001</c:v>
                </c:pt>
                <c:pt idx="10">
                  <c:v>395.62199999999996</c:v>
                </c:pt>
                <c:pt idx="11">
                  <c:v>445.173</c:v>
                </c:pt>
                <c:pt idx="12">
                  <c:v>435.10600000000011</c:v>
                </c:pt>
                <c:pt idx="13">
                  <c:v>490.62073240000001</c:v>
                </c:pt>
                <c:pt idx="14">
                  <c:v>478.57862119999987</c:v>
                </c:pt>
                <c:pt idx="15">
                  <c:v>515.327</c:v>
                </c:pt>
                <c:pt idx="16">
                  <c:v>566.505</c:v>
                </c:pt>
                <c:pt idx="17">
                  <c:v>575.47900000000004</c:v>
                </c:pt>
                <c:pt idx="18">
                  <c:v>578.05700000000002</c:v>
                </c:pt>
                <c:pt idx="19">
                  <c:v>611.37599999999986</c:v>
                </c:pt>
                <c:pt idx="20">
                  <c:v>751.54200000000003</c:v>
                </c:pt>
                <c:pt idx="21">
                  <c:v>772.39200000000039</c:v>
                </c:pt>
                <c:pt idx="22">
                  <c:v>891.88000000000011</c:v>
                </c:pt>
                <c:pt idx="23">
                  <c:v>991.60099999999989</c:v>
                </c:pt>
                <c:pt idx="24">
                  <c:v>1157.125</c:v>
                </c:pt>
                <c:pt idx="25">
                  <c:v>1054.2919999999999</c:v>
                </c:pt>
                <c:pt idx="26">
                  <c:v>1258.3170000000002</c:v>
                </c:pt>
                <c:pt idx="27">
                  <c:v>1384.299</c:v>
                </c:pt>
                <c:pt idx="28">
                  <c:v>1541.3709999999996</c:v>
                </c:pt>
                <c:pt idx="29">
                  <c:v>1605.0919999999999</c:v>
                </c:pt>
                <c:pt idx="30">
                  <c:v>1696.7924600000001</c:v>
                </c:pt>
                <c:pt idx="31">
                  <c:v>1634.0949999999998</c:v>
                </c:pt>
                <c:pt idx="32">
                  <c:v>1663.5</c:v>
                </c:pt>
                <c:pt idx="33">
                  <c:v>1750.6000000000001</c:v>
                </c:pt>
                <c:pt idx="34">
                  <c:v>1851.8999999999999</c:v>
                </c:pt>
              </c:numCache>
            </c:numRef>
          </c:yVal>
          <c:smooth val="0"/>
          <c:extLst>
            <c:ext xmlns:c16="http://schemas.microsoft.com/office/drawing/2014/chart" uri="{C3380CC4-5D6E-409C-BE32-E72D297353CC}">
              <c16:uniqueId val="{00000004-BED7-48C5-9F39-2ED44B105E8C}"/>
            </c:ext>
          </c:extLst>
        </c:ser>
        <c:ser>
          <c:idx val="1"/>
          <c:order val="1"/>
          <c:tx>
            <c:v>Modeled</c:v>
          </c:tx>
          <c:spPr>
            <a:ln w="25400" cap="rnd">
              <a:noFill/>
              <a:round/>
            </a:ln>
            <a:effectLst/>
          </c:spPr>
          <c:marker>
            <c:symbol val="circle"/>
            <c:size val="5"/>
            <c:spPr>
              <a:solidFill>
                <a:schemeClr val="accent2"/>
              </a:solidFill>
              <a:ln w="9525">
                <a:solidFill>
                  <a:schemeClr val="accent2"/>
                </a:solidFill>
              </a:ln>
              <a:effectLst/>
            </c:spPr>
          </c:marker>
          <c:xVal>
            <c:numRef>
              <c:f>China!$A$2:$A$35</c:f>
              <c:numCache>
                <c:formatCode>General</c:formatCode>
                <c:ptCount val="3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numCache>
            </c:numRef>
          </c:xVal>
          <c:yVal>
            <c:numRef>
              <c:f>China!$B$2:$B$35</c:f>
              <c:numCache>
                <c:formatCode>General</c:formatCode>
                <c:ptCount val="34"/>
                <c:pt idx="0">
                  <c:v>39.725205924786323</c:v>
                </c:pt>
                <c:pt idx="1">
                  <c:v>41.882284606502218</c:v>
                </c:pt>
                <c:pt idx="2">
                  <c:v>44.156492660635287</c:v>
                </c:pt>
                <c:pt idx="3">
                  <c:v>46.554190212107784</c:v>
                </c:pt>
                <c:pt idx="4">
                  <c:v>49.082082740625239</c:v>
                </c:pt>
                <c:pt idx="5">
                  <c:v>51.747239833441192</c:v>
                </c:pt>
                <c:pt idx="6">
                  <c:v>54.557114956397051</c:v>
                </c:pt>
                <c:pt idx="7">
                  <c:v>57.519566298529412</c:v>
                </c:pt>
                <c:pt idx="8">
                  <c:v>60.642878748539559</c:v>
                </c:pt>
                <c:pt idx="9">
                  <c:v>63.935787064585256</c:v>
                </c:pt>
                <c:pt idx="10">
                  <c:v>67.407500302192233</c:v>
                </c:pt>
                <c:pt idx="11">
                  <c:v>71.067727568601271</c:v>
                </c:pt>
                <c:pt idx="12">
                  <c:v>74.926705175576316</c:v>
                </c:pt>
                <c:pt idx="13">
                  <c:v>78.995225266610106</c:v>
                </c:pt>
                <c:pt idx="14">
                  <c:v>83.28466599858703</c:v>
                </c:pt>
                <c:pt idx="15">
                  <c:v>87.807023362310304</c:v>
                </c:pt>
                <c:pt idx="16">
                  <c:v>92.574944730883757</c:v>
                </c:pt>
                <c:pt idx="17">
                  <c:v>97.601764229770751</c:v>
                </c:pt>
                <c:pt idx="18">
                  <c:v>102.90154002744731</c:v>
                </c:pt>
                <c:pt idx="19">
                  <c:v>108.4890936509377</c:v>
                </c:pt>
                <c:pt idx="20">
                  <c:v>114.38005143618362</c:v>
                </c:pt>
                <c:pt idx="21">
                  <c:v>120.5908882291684</c:v>
                </c:pt>
                <c:pt idx="22">
                  <c:v>127.13897346001224</c:v>
                </c:pt>
                <c:pt idx="23">
                  <c:v>134.0426197188909</c:v>
                </c:pt>
                <c:pt idx="24">
                  <c:v>141.32113396962669</c:v>
                </c:pt>
                <c:pt idx="25">
                  <c:v>148.99487154417741</c:v>
                </c:pt>
                <c:pt idx="26">
                  <c:v>157.08529306902625</c:v>
                </c:pt>
                <c:pt idx="27">
                  <c:v>165.61502448267439</c:v>
                </c:pt>
                <c:pt idx="28">
                  <c:v>174.60792031208359</c:v>
                </c:pt>
                <c:pt idx="29">
                  <c:v>184.08913038502973</c:v>
                </c:pt>
                <c:pt idx="30">
                  <c:v>194.08517016493684</c:v>
                </c:pt>
                <c:pt idx="31">
                  <c:v>204.62399490489292</c:v>
                </c:pt>
                <c:pt idx="32">
                  <c:v>215.73507782822861</c:v>
                </c:pt>
                <c:pt idx="33">
                  <c:v>227.44949255430143</c:v>
                </c:pt>
              </c:numCache>
            </c:numRef>
          </c:yVal>
          <c:smooth val="0"/>
          <c:extLst>
            <c:ext xmlns:c16="http://schemas.microsoft.com/office/drawing/2014/chart" uri="{C3380CC4-5D6E-409C-BE32-E72D297353CC}">
              <c16:uniqueId val="{00000005-BED7-48C5-9F39-2ED44B105E8C}"/>
            </c:ext>
          </c:extLst>
        </c:ser>
        <c:dLbls>
          <c:showLegendKey val="0"/>
          <c:showVal val="0"/>
          <c:showCatName val="0"/>
          <c:showSerName val="0"/>
          <c:showPercent val="0"/>
          <c:showBubbleSize val="0"/>
        </c:dLbls>
        <c:axId val="763732944"/>
        <c:axId val="428145112"/>
      </c:scatterChart>
      <c:valAx>
        <c:axId val="763732944"/>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45112"/>
        <c:crosses val="autoZero"/>
        <c:crossBetween val="midCat"/>
      </c:valAx>
      <c:valAx>
        <c:axId val="428145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Mining Production (kilo tonnes)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7329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SX-EW</a:t>
            </a:r>
            <a:r>
              <a:rPr lang="en-US" baseline="0"/>
              <a:t> Production, China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2"/>
              </a:solidFill>
              <a:ln w="9525">
                <a:solidFill>
                  <a:schemeClr val="accent2"/>
                </a:solidFill>
              </a:ln>
              <a:effectLst/>
            </c:spPr>
          </c:marker>
          <c:dPt>
            <c:idx val="23"/>
            <c:marker>
              <c:symbol val="circle"/>
              <c:size val="5"/>
              <c:spPr>
                <a:solidFill>
                  <a:schemeClr val="accent2"/>
                </a:solidFill>
                <a:ln w="9525">
                  <a:solidFill>
                    <a:schemeClr val="accent2"/>
                  </a:solidFill>
                </a:ln>
                <a:effectLst/>
              </c:spPr>
            </c:marker>
            <c:bubble3D val="0"/>
            <c:spPr>
              <a:ln w="25400" cap="rnd">
                <a:noFill/>
                <a:round/>
              </a:ln>
              <a:effectLst/>
            </c:spPr>
            <c:extLst>
              <c:ext xmlns:c16="http://schemas.microsoft.com/office/drawing/2014/chart" uri="{C3380CC4-5D6E-409C-BE32-E72D297353CC}">
                <c16:uniqueId val="{00000001-A35D-4A1C-9EC2-732E3494283B}"/>
              </c:ext>
            </c:extLst>
          </c:dPt>
          <c:xVal>
            <c:numRef>
              <c:f>China!$A$47:$A$70</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China!$D$47:$D$70</c:f>
              <c:numCache>
                <c:formatCode>0</c:formatCode>
                <c:ptCount val="24"/>
                <c:pt idx="0">
                  <c:v>5</c:v>
                </c:pt>
                <c:pt idx="1">
                  <c:v>8</c:v>
                </c:pt>
                <c:pt idx="2">
                  <c:v>10</c:v>
                </c:pt>
                <c:pt idx="3">
                  <c:v>10</c:v>
                </c:pt>
                <c:pt idx="4">
                  <c:v>8</c:v>
                </c:pt>
                <c:pt idx="5">
                  <c:v>8.4</c:v>
                </c:pt>
                <c:pt idx="6">
                  <c:v>6</c:v>
                </c:pt>
                <c:pt idx="7">
                  <c:v>9.86</c:v>
                </c:pt>
                <c:pt idx="8">
                  <c:v>9.1999999999999993</c:v>
                </c:pt>
                <c:pt idx="9">
                  <c:v>10</c:v>
                </c:pt>
                <c:pt idx="10">
                  <c:v>10.366</c:v>
                </c:pt>
                <c:pt idx="11">
                  <c:v>18.480999999999998</c:v>
                </c:pt>
                <c:pt idx="12">
                  <c:v>62.031999999999996</c:v>
                </c:pt>
                <c:pt idx="13">
                  <c:v>82.02</c:v>
                </c:pt>
                <c:pt idx="14">
                  <c:v>91.040999999999997</c:v>
                </c:pt>
                <c:pt idx="15">
                  <c:v>102.827</c:v>
                </c:pt>
                <c:pt idx="16">
                  <c:v>119.226</c:v>
                </c:pt>
                <c:pt idx="17">
                  <c:v>125.83199999999999</c:v>
                </c:pt>
                <c:pt idx="18">
                  <c:v>132.184</c:v>
                </c:pt>
                <c:pt idx="19">
                  <c:v>138.19999999999999</c:v>
                </c:pt>
                <c:pt idx="20">
                  <c:v>124.294</c:v>
                </c:pt>
                <c:pt idx="21">
                  <c:v>129</c:v>
                </c:pt>
                <c:pt idx="22">
                  <c:v>155</c:v>
                </c:pt>
                <c:pt idx="23">
                  <c:v>162</c:v>
                </c:pt>
              </c:numCache>
            </c:numRef>
          </c:yVal>
          <c:smooth val="0"/>
          <c:extLst>
            <c:ext xmlns:c16="http://schemas.microsoft.com/office/drawing/2014/chart" uri="{C3380CC4-5D6E-409C-BE32-E72D297353CC}">
              <c16:uniqueId val="{00000000-9DD3-48EC-BEDC-27360764EDFC}"/>
            </c:ext>
          </c:extLst>
        </c:ser>
        <c:dLbls>
          <c:showLegendKey val="0"/>
          <c:showVal val="0"/>
          <c:showCatName val="0"/>
          <c:showSerName val="0"/>
          <c:showPercent val="0"/>
          <c:showBubbleSize val="0"/>
        </c:dLbls>
        <c:axId val="758802336"/>
        <c:axId val="758799712"/>
      </c:scatterChart>
      <c:valAx>
        <c:axId val="758802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799712"/>
        <c:crosses val="autoZero"/>
        <c:crossBetween val="midCat"/>
      </c:valAx>
      <c:valAx>
        <c:axId val="758799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SX-EW Production</a:t>
                </a:r>
                <a:r>
                  <a:rPr lang="en-US" baseline="0"/>
                  <a:t>, ktonnes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02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Refined and Direct Melt Consumption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Refined Consumption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China!$A$12:$A$70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xVal>
          <c:yVal>
            <c:numRef>
              <c:f>China!$L$12:$L$70</c:f>
              <c:numCache>
                <c:formatCode>0</c:formatCode>
                <c:ptCount val="59"/>
                <c:pt idx="0">
                  <c:v>110</c:v>
                </c:pt>
                <c:pt idx="1">
                  <c:v>120</c:v>
                </c:pt>
                <c:pt idx="2">
                  <c:v>120</c:v>
                </c:pt>
                <c:pt idx="3">
                  <c:v>120</c:v>
                </c:pt>
                <c:pt idx="4">
                  <c:v>120</c:v>
                </c:pt>
                <c:pt idx="5">
                  <c:v>120</c:v>
                </c:pt>
                <c:pt idx="6">
                  <c:v>130</c:v>
                </c:pt>
                <c:pt idx="7">
                  <c:v>140</c:v>
                </c:pt>
                <c:pt idx="8">
                  <c:v>150</c:v>
                </c:pt>
                <c:pt idx="9">
                  <c:v>180</c:v>
                </c:pt>
                <c:pt idx="10">
                  <c:v>180</c:v>
                </c:pt>
                <c:pt idx="11">
                  <c:v>210</c:v>
                </c:pt>
                <c:pt idx="12">
                  <c:v>240</c:v>
                </c:pt>
                <c:pt idx="13">
                  <c:v>270</c:v>
                </c:pt>
                <c:pt idx="14">
                  <c:v>280</c:v>
                </c:pt>
                <c:pt idx="15">
                  <c:v>300</c:v>
                </c:pt>
                <c:pt idx="16">
                  <c:v>320</c:v>
                </c:pt>
                <c:pt idx="17">
                  <c:v>330</c:v>
                </c:pt>
                <c:pt idx="18">
                  <c:v>350</c:v>
                </c:pt>
                <c:pt idx="19">
                  <c:v>360</c:v>
                </c:pt>
                <c:pt idx="20">
                  <c:v>370</c:v>
                </c:pt>
                <c:pt idx="21">
                  <c:v>380</c:v>
                </c:pt>
                <c:pt idx="22">
                  <c:v>405</c:v>
                </c:pt>
                <c:pt idx="23">
                  <c:v>440</c:v>
                </c:pt>
                <c:pt idx="24">
                  <c:v>500</c:v>
                </c:pt>
                <c:pt idx="25">
                  <c:v>692.5</c:v>
                </c:pt>
                <c:pt idx="26">
                  <c:v>617.79999999999995</c:v>
                </c:pt>
                <c:pt idx="27">
                  <c:v>586.4</c:v>
                </c:pt>
                <c:pt idx="28">
                  <c:v>561.25</c:v>
                </c:pt>
                <c:pt idx="29">
                  <c:v>619.70000000000005</c:v>
                </c:pt>
                <c:pt idx="30">
                  <c:v>660</c:v>
                </c:pt>
                <c:pt idx="31">
                  <c:v>675.78614000000005</c:v>
                </c:pt>
                <c:pt idx="32">
                  <c:v>870</c:v>
                </c:pt>
                <c:pt idx="33">
                  <c:v>971</c:v>
                </c:pt>
                <c:pt idx="34">
                  <c:v>1015</c:v>
                </c:pt>
                <c:pt idx="35">
                  <c:v>1172</c:v>
                </c:pt>
                <c:pt idx="36">
                  <c:v>1260</c:v>
                </c:pt>
                <c:pt idx="37">
                  <c:v>1270</c:v>
                </c:pt>
                <c:pt idx="38">
                  <c:v>1397</c:v>
                </c:pt>
                <c:pt idx="39">
                  <c:v>1500</c:v>
                </c:pt>
                <c:pt idx="40">
                  <c:v>1850</c:v>
                </c:pt>
                <c:pt idx="41">
                  <c:v>2230</c:v>
                </c:pt>
                <c:pt idx="42">
                  <c:v>2425</c:v>
                </c:pt>
                <c:pt idx="43">
                  <c:v>2992</c:v>
                </c:pt>
                <c:pt idx="44">
                  <c:v>3565</c:v>
                </c:pt>
                <c:pt idx="45">
                  <c:v>3745</c:v>
                </c:pt>
                <c:pt idx="46">
                  <c:v>3854</c:v>
                </c:pt>
                <c:pt idx="47">
                  <c:v>4620</c:v>
                </c:pt>
                <c:pt idx="48">
                  <c:v>5230</c:v>
                </c:pt>
                <c:pt idx="49">
                  <c:v>6500</c:v>
                </c:pt>
                <c:pt idx="50">
                  <c:v>7204</c:v>
                </c:pt>
                <c:pt idx="51">
                  <c:v>7815</c:v>
                </c:pt>
                <c:pt idx="52">
                  <c:v>8204</c:v>
                </c:pt>
                <c:pt idx="53">
                  <c:v>9164.7999999999993</c:v>
                </c:pt>
                <c:pt idx="54">
                  <c:v>9836</c:v>
                </c:pt>
                <c:pt idx="55">
                  <c:v>10150.572901135227</c:v>
                </c:pt>
                <c:pt idx="56">
                  <c:v>10462.577812668887</c:v>
                </c:pt>
                <c:pt idx="57">
                  <c:v>10733.631873030348</c:v>
                </c:pt>
                <c:pt idx="58">
                  <c:v>10958.208584481692</c:v>
                </c:pt>
              </c:numCache>
            </c:numRef>
          </c:yVal>
          <c:smooth val="0"/>
          <c:extLst>
            <c:ext xmlns:c16="http://schemas.microsoft.com/office/drawing/2014/chart" uri="{C3380CC4-5D6E-409C-BE32-E72D297353CC}">
              <c16:uniqueId val="{00000000-66D0-4ED4-B1E6-3E22137A37D6}"/>
            </c:ext>
          </c:extLst>
        </c:ser>
        <c:ser>
          <c:idx val="1"/>
          <c:order val="1"/>
          <c:tx>
            <c:v>Direct Use </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China!$A$52:$A$70</c:f>
              <c:numCache>
                <c:formatCode>General</c:formatCode>
                <c:ptCount val="19"/>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numCache>
            </c:numRef>
          </c:xVal>
          <c:yVal>
            <c:numRef>
              <c:f>China!$N$52:$N$70</c:f>
              <c:numCache>
                <c:formatCode>0</c:formatCode>
                <c:ptCount val="19"/>
                <c:pt idx="0">
                  <c:v>385.38588235294128</c:v>
                </c:pt>
                <c:pt idx="1">
                  <c:v>460.62082802547775</c:v>
                </c:pt>
                <c:pt idx="2">
                  <c:v>727.90230769230811</c:v>
                </c:pt>
                <c:pt idx="3">
                  <c:v>854.11748466257677</c:v>
                </c:pt>
                <c:pt idx="4">
                  <c:v>802.44217391304301</c:v>
                </c:pt>
                <c:pt idx="5">
                  <c:v>1392.577407407407</c:v>
                </c:pt>
                <c:pt idx="6">
                  <c:v>1906.7452517985612</c:v>
                </c:pt>
                <c:pt idx="7">
                  <c:v>2026.7688888888897</c:v>
                </c:pt>
                <c:pt idx="8">
                  <c:v>2067.4560273972602</c:v>
                </c:pt>
                <c:pt idx="9">
                  <c:v>1471.8148426201997</c:v>
                </c:pt>
                <c:pt idx="10">
                  <c:v>1890.6181803973486</c:v>
                </c:pt>
                <c:pt idx="11">
                  <c:v>2250.7748648648649</c:v>
                </c:pt>
                <c:pt idx="12">
                  <c:v>2445.7601216216208</c:v>
                </c:pt>
                <c:pt idx="13">
                  <c:v>2360.0148459459488</c:v>
                </c:pt>
                <c:pt idx="14">
                  <c:v>2318.9545841351355</c:v>
                </c:pt>
                <c:pt idx="15">
                  <c:v>2253.2257674048042</c:v>
                </c:pt>
                <c:pt idx="16">
                  <c:v>2228.8590854375066</c:v>
                </c:pt>
                <c:pt idx="17">
                  <c:v>2245.4234512267067</c:v>
                </c:pt>
                <c:pt idx="18">
                  <c:v>2293.8980956300861</c:v>
                </c:pt>
              </c:numCache>
            </c:numRef>
          </c:yVal>
          <c:smooth val="0"/>
          <c:extLst>
            <c:ext xmlns:c16="http://schemas.microsoft.com/office/drawing/2014/chart" uri="{C3380CC4-5D6E-409C-BE32-E72D297353CC}">
              <c16:uniqueId val="{00000001-66D0-4ED4-B1E6-3E22137A37D6}"/>
            </c:ext>
          </c:extLst>
        </c:ser>
        <c:ser>
          <c:idx val="2"/>
          <c:order val="2"/>
          <c:tx>
            <c:v>Direct Melt Simulated</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China!$A$12:$A$51</c:f>
              <c:numCache>
                <c:formatCode>General</c:formatCode>
                <c:ptCount val="4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numCache>
            </c:numRef>
          </c:xVal>
          <c:yVal>
            <c:numRef>
              <c:f>China!$N$12:$N$51</c:f>
              <c:numCache>
                <c:formatCode>General</c:formatCode>
                <c:ptCount val="40"/>
                <c:pt idx="0">
                  <c:v>22.88</c:v>
                </c:pt>
                <c:pt idx="1">
                  <c:v>24.959999999999997</c:v>
                </c:pt>
                <c:pt idx="2">
                  <c:v>24.959999999999997</c:v>
                </c:pt>
                <c:pt idx="3">
                  <c:v>24.959999999999997</c:v>
                </c:pt>
                <c:pt idx="4">
                  <c:v>24.959999999999997</c:v>
                </c:pt>
                <c:pt idx="5">
                  <c:v>24.959999999999997</c:v>
                </c:pt>
                <c:pt idx="6">
                  <c:v>27.04</c:v>
                </c:pt>
                <c:pt idx="7">
                  <c:v>29.119999999999997</c:v>
                </c:pt>
                <c:pt idx="8">
                  <c:v>31.2</c:v>
                </c:pt>
                <c:pt idx="9">
                  <c:v>37.44</c:v>
                </c:pt>
                <c:pt idx="10">
                  <c:v>37.44</c:v>
                </c:pt>
                <c:pt idx="11">
                  <c:v>43.68</c:v>
                </c:pt>
                <c:pt idx="12">
                  <c:v>49.919999999999995</c:v>
                </c:pt>
                <c:pt idx="13">
                  <c:v>56.16</c:v>
                </c:pt>
                <c:pt idx="14">
                  <c:v>58.239999999999995</c:v>
                </c:pt>
                <c:pt idx="15">
                  <c:v>62.4</c:v>
                </c:pt>
                <c:pt idx="16">
                  <c:v>66.56</c:v>
                </c:pt>
                <c:pt idx="17">
                  <c:v>68.64</c:v>
                </c:pt>
                <c:pt idx="18">
                  <c:v>72.8</c:v>
                </c:pt>
                <c:pt idx="19">
                  <c:v>74.88</c:v>
                </c:pt>
                <c:pt idx="20">
                  <c:v>76.959999999999994</c:v>
                </c:pt>
                <c:pt idx="21">
                  <c:v>79.039999999999992</c:v>
                </c:pt>
                <c:pt idx="22">
                  <c:v>84.24</c:v>
                </c:pt>
                <c:pt idx="23">
                  <c:v>91.52</c:v>
                </c:pt>
                <c:pt idx="24">
                  <c:v>104</c:v>
                </c:pt>
                <c:pt idx="25">
                  <c:v>144.04</c:v>
                </c:pt>
                <c:pt idx="26">
                  <c:v>128.50239999999999</c:v>
                </c:pt>
                <c:pt idx="27">
                  <c:v>121.9712</c:v>
                </c:pt>
                <c:pt idx="28">
                  <c:v>116.74</c:v>
                </c:pt>
                <c:pt idx="29">
                  <c:v>128.89760000000001</c:v>
                </c:pt>
                <c:pt idx="30">
                  <c:v>137.28</c:v>
                </c:pt>
                <c:pt idx="31">
                  <c:v>140.56351712</c:v>
                </c:pt>
                <c:pt idx="32">
                  <c:v>180.95999999999998</c:v>
                </c:pt>
                <c:pt idx="33">
                  <c:v>201.96799999999999</c:v>
                </c:pt>
                <c:pt idx="34">
                  <c:v>211.11999999999998</c:v>
                </c:pt>
                <c:pt idx="35">
                  <c:v>243.77599999999998</c:v>
                </c:pt>
                <c:pt idx="36">
                  <c:v>262.08</c:v>
                </c:pt>
                <c:pt idx="37">
                  <c:v>264.15999999999997</c:v>
                </c:pt>
                <c:pt idx="38">
                  <c:v>290.57599999999996</c:v>
                </c:pt>
                <c:pt idx="39">
                  <c:v>312</c:v>
                </c:pt>
              </c:numCache>
            </c:numRef>
          </c:yVal>
          <c:smooth val="0"/>
          <c:extLst>
            <c:ext xmlns:c16="http://schemas.microsoft.com/office/drawing/2014/chart" uri="{C3380CC4-5D6E-409C-BE32-E72D297353CC}">
              <c16:uniqueId val="{00000003-66D0-4ED4-B1E6-3E22137A37D6}"/>
            </c:ext>
          </c:extLst>
        </c:ser>
        <c:dLbls>
          <c:showLegendKey val="0"/>
          <c:showVal val="0"/>
          <c:showCatName val="0"/>
          <c:showSerName val="0"/>
          <c:showPercent val="0"/>
          <c:showBubbleSize val="0"/>
        </c:dLbls>
        <c:axId val="758841368"/>
        <c:axId val="758838416"/>
      </c:scatterChart>
      <c:valAx>
        <c:axId val="758841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38416"/>
        <c:crosses val="autoZero"/>
        <c:crossBetween val="midCat"/>
      </c:valAx>
      <c:valAx>
        <c:axId val="758838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Consumption (kt)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841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Refined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Woodmac</c:v>
          </c:tx>
          <c:spPr>
            <a:ln w="19050" cap="rnd">
              <a:noFill/>
              <a:round/>
            </a:ln>
            <a:effectLst/>
          </c:spPr>
          <c:marker>
            <c:symbol val="circle"/>
            <c:size val="5"/>
            <c:spPr>
              <a:solidFill>
                <a:schemeClr val="accent1"/>
              </a:solidFill>
              <a:ln w="9525">
                <a:solidFill>
                  <a:schemeClr val="accent1"/>
                </a:solidFill>
              </a:ln>
              <a:effectLst/>
            </c:spPr>
          </c:marker>
          <c:xVal>
            <c:numRef>
              <c:f>China!$A$32:$A$70</c:f>
              <c:numCache>
                <c:formatCode>General</c:formatCode>
                <c:ptCount val="39"/>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pt idx="34">
                  <c:v>2014</c:v>
                </c:pt>
                <c:pt idx="35">
                  <c:v>2015</c:v>
                </c:pt>
                <c:pt idx="36">
                  <c:v>2016</c:v>
                </c:pt>
                <c:pt idx="37">
                  <c:v>2017</c:v>
                </c:pt>
                <c:pt idx="38">
                  <c:v>2018</c:v>
                </c:pt>
              </c:numCache>
            </c:numRef>
          </c:xVal>
          <c:yVal>
            <c:numRef>
              <c:f>China!$J$32:$J$70</c:f>
              <c:numCache>
                <c:formatCode>0</c:formatCode>
                <c:ptCount val="39"/>
                <c:pt idx="0">
                  <c:v>379</c:v>
                </c:pt>
                <c:pt idx="1">
                  <c:v>386</c:v>
                </c:pt>
                <c:pt idx="2">
                  <c:v>351</c:v>
                </c:pt>
                <c:pt idx="3">
                  <c:v>370</c:v>
                </c:pt>
                <c:pt idx="4">
                  <c:v>392</c:v>
                </c:pt>
                <c:pt idx="5">
                  <c:v>412.5</c:v>
                </c:pt>
                <c:pt idx="6">
                  <c:v>456</c:v>
                </c:pt>
                <c:pt idx="7">
                  <c:v>516.4</c:v>
                </c:pt>
                <c:pt idx="8">
                  <c:v>525.5</c:v>
                </c:pt>
                <c:pt idx="9">
                  <c:v>561.6</c:v>
                </c:pt>
                <c:pt idx="10">
                  <c:v>574.9</c:v>
                </c:pt>
                <c:pt idx="11">
                  <c:v>561.59035999999992</c:v>
                </c:pt>
                <c:pt idx="12">
                  <c:v>658.2</c:v>
                </c:pt>
                <c:pt idx="13">
                  <c:v>728.39999999999986</c:v>
                </c:pt>
                <c:pt idx="14">
                  <c:v>755.0329999999999</c:v>
                </c:pt>
                <c:pt idx="15">
                  <c:v>1084.9420000000002</c:v>
                </c:pt>
                <c:pt idx="16">
                  <c:v>1119.088</c:v>
                </c:pt>
                <c:pt idx="17">
                  <c:v>1179.4179999999999</c:v>
                </c:pt>
                <c:pt idx="18">
                  <c:v>1213.3469999999998</c:v>
                </c:pt>
                <c:pt idx="19">
                  <c:v>1174.2539999999997</c:v>
                </c:pt>
                <c:pt idx="20">
                  <c:v>1371.3059999999996</c:v>
                </c:pt>
                <c:pt idx="21">
                  <c:v>1522.8170000000002</c:v>
                </c:pt>
                <c:pt idx="22">
                  <c:v>1632.4709999999998</c:v>
                </c:pt>
                <c:pt idx="23">
                  <c:v>1835.7250000000001</c:v>
                </c:pt>
                <c:pt idx="24">
                  <c:v>2198.6870000000004</c:v>
                </c:pt>
                <c:pt idx="25">
                  <c:v>2600.4279999999999</c:v>
                </c:pt>
                <c:pt idx="26">
                  <c:v>3002.9429999999998</c:v>
                </c:pt>
                <c:pt idx="27">
                  <c:v>3518.7180000000008</c:v>
                </c:pt>
                <c:pt idx="28">
                  <c:v>3794.5370000000003</c:v>
                </c:pt>
                <c:pt idx="29">
                  <c:v>4107.3530000000001</c:v>
                </c:pt>
                <c:pt idx="30">
                  <c:v>4535.0949999999993</c:v>
                </c:pt>
                <c:pt idx="31">
                  <c:v>5207.5479999999989</c:v>
                </c:pt>
                <c:pt idx="32">
                  <c:v>5827.8749999999991</c:v>
                </c:pt>
                <c:pt idx="33">
                  <c:v>6329.9949999999999</c:v>
                </c:pt>
                <c:pt idx="34">
                  <c:v>6880.0770000000002</c:v>
                </c:pt>
                <c:pt idx="35">
                  <c:v>6985.8940000000011</c:v>
                </c:pt>
                <c:pt idx="36">
                  <c:v>8099</c:v>
                </c:pt>
                <c:pt idx="37">
                  <c:v>9157</c:v>
                </c:pt>
                <c:pt idx="38">
                  <c:v>9735</c:v>
                </c:pt>
              </c:numCache>
            </c:numRef>
          </c:yVal>
          <c:smooth val="0"/>
          <c:extLst>
            <c:ext xmlns:c16="http://schemas.microsoft.com/office/drawing/2014/chart" uri="{C3380CC4-5D6E-409C-BE32-E72D297353CC}">
              <c16:uniqueId val="{00000000-E343-4728-A002-D514AED792BD}"/>
            </c:ext>
          </c:extLst>
        </c:ser>
        <c:ser>
          <c:idx val="1"/>
          <c:order val="1"/>
          <c:tx>
            <c:v>Modeled</c:v>
          </c:tx>
          <c:spPr>
            <a:ln w="25400" cap="rnd">
              <a:noFill/>
              <a:round/>
            </a:ln>
            <a:effectLst/>
          </c:spPr>
          <c:marker>
            <c:symbol val="circle"/>
            <c:size val="5"/>
            <c:spPr>
              <a:solidFill>
                <a:schemeClr val="accent2"/>
              </a:solidFill>
              <a:ln w="9525">
                <a:solidFill>
                  <a:schemeClr val="accent2"/>
                </a:solidFill>
              </a:ln>
              <a:effectLst/>
            </c:spPr>
          </c:marker>
          <c:xVal>
            <c:numRef>
              <c:f>China!$A$12:$A$31</c:f>
              <c:numCache>
                <c:formatCode>General</c:formatCode>
                <c:ptCount val="20"/>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numCache>
            </c:numRef>
          </c:xVal>
          <c:yVal>
            <c:numRef>
              <c:f>China!$J$12:$J$31</c:f>
              <c:numCache>
                <c:formatCode>General</c:formatCode>
                <c:ptCount val="20"/>
                <c:pt idx="0">
                  <c:v>142.84111400886715</c:v>
                </c:pt>
                <c:pt idx="1">
                  <c:v>149.98316970931052</c:v>
                </c:pt>
                <c:pt idx="2">
                  <c:v>157.48232819477604</c:v>
                </c:pt>
                <c:pt idx="3">
                  <c:v>165.35644460451485</c:v>
                </c:pt>
                <c:pt idx="4">
                  <c:v>173.62426683474061</c:v>
                </c:pt>
                <c:pt idx="5">
                  <c:v>182.30548017647766</c:v>
                </c:pt>
                <c:pt idx="6">
                  <c:v>191.42075418530155</c:v>
                </c:pt>
                <c:pt idx="7">
                  <c:v>200.99179189456663</c:v>
                </c:pt>
                <c:pt idx="8">
                  <c:v>211.04138148929496</c:v>
                </c:pt>
                <c:pt idx="9">
                  <c:v>221.59345056375972</c:v>
                </c:pt>
                <c:pt idx="10">
                  <c:v>232.6731230919477</c:v>
                </c:pt>
                <c:pt idx="11">
                  <c:v>244.30677924654509</c:v>
                </c:pt>
                <c:pt idx="12">
                  <c:v>256.52211820887237</c:v>
                </c:pt>
                <c:pt idx="13">
                  <c:v>269.348224119316</c:v>
                </c:pt>
                <c:pt idx="14">
                  <c:v>282.81563532528179</c:v>
                </c:pt>
                <c:pt idx="15">
                  <c:v>296.95641709154592</c:v>
                </c:pt>
                <c:pt idx="16">
                  <c:v>311.80423794612324</c:v>
                </c:pt>
                <c:pt idx="17">
                  <c:v>327.39444984342941</c:v>
                </c:pt>
                <c:pt idx="18">
                  <c:v>343.7641723356009</c:v>
                </c:pt>
                <c:pt idx="19">
                  <c:v>360.95238095238096</c:v>
                </c:pt>
              </c:numCache>
            </c:numRef>
          </c:yVal>
          <c:smooth val="0"/>
          <c:extLst>
            <c:ext xmlns:c16="http://schemas.microsoft.com/office/drawing/2014/chart" uri="{C3380CC4-5D6E-409C-BE32-E72D297353CC}">
              <c16:uniqueId val="{00000001-E343-4728-A002-D514AED792BD}"/>
            </c:ext>
          </c:extLst>
        </c:ser>
        <c:dLbls>
          <c:showLegendKey val="0"/>
          <c:showVal val="0"/>
          <c:showCatName val="0"/>
          <c:showSerName val="0"/>
          <c:showPercent val="0"/>
          <c:showBubbleSize val="0"/>
        </c:dLbls>
        <c:axId val="763469072"/>
        <c:axId val="766636704"/>
      </c:scatterChart>
      <c:valAx>
        <c:axId val="763469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636704"/>
        <c:crosses val="autoZero"/>
        <c:crossBetween val="midCat"/>
      </c:valAx>
      <c:valAx>
        <c:axId val="766636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469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Secondary Production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WoodMac</c:v>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exp"/>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China!$A$44:$A$70</c:f>
              <c:numCache>
                <c:formatCode>General</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xVal>
          <c:yVal>
            <c:numRef>
              <c:f>China!$I$44:$I$70</c:f>
              <c:numCache>
                <c:formatCode>0</c:formatCode>
                <c:ptCount val="27"/>
                <c:pt idx="0">
                  <c:v>179.79999999999998</c:v>
                </c:pt>
                <c:pt idx="1">
                  <c:v>240.80000000000004</c:v>
                </c:pt>
                <c:pt idx="2">
                  <c:v>230.74299999999999</c:v>
                </c:pt>
                <c:pt idx="3">
                  <c:v>377.59499999999997</c:v>
                </c:pt>
                <c:pt idx="4">
                  <c:v>323.21099999999996</c:v>
                </c:pt>
                <c:pt idx="5">
                  <c:v>375.24599999999998</c:v>
                </c:pt>
                <c:pt idx="6">
                  <c:v>330.63</c:v>
                </c:pt>
                <c:pt idx="7">
                  <c:v>247.34899999999999</c:v>
                </c:pt>
                <c:pt idx="8">
                  <c:v>243.64400000000001</c:v>
                </c:pt>
                <c:pt idx="9">
                  <c:v>253.57899999999998</c:v>
                </c:pt>
                <c:pt idx="10">
                  <c:v>318.5</c:v>
                </c:pt>
                <c:pt idx="11">
                  <c:v>338.94</c:v>
                </c:pt>
                <c:pt idx="12">
                  <c:v>532.23099999999999</c:v>
                </c:pt>
                <c:pt idx="13">
                  <c:v>521.84900000000005</c:v>
                </c:pt>
                <c:pt idx="14">
                  <c:v>742.35799999999995</c:v>
                </c:pt>
                <c:pt idx="15">
                  <c:v>790.8</c:v>
                </c:pt>
                <c:pt idx="16">
                  <c:v>719.39299999999992</c:v>
                </c:pt>
                <c:pt idx="17">
                  <c:v>826.78000000000009</c:v>
                </c:pt>
                <c:pt idx="18">
                  <c:v>944.20400000000006</c:v>
                </c:pt>
                <c:pt idx="19">
                  <c:v>853.05499999999995</c:v>
                </c:pt>
                <c:pt idx="20">
                  <c:v>1041.4669999999999</c:v>
                </c:pt>
                <c:pt idx="21">
                  <c:v>921.80199999999991</c:v>
                </c:pt>
                <c:pt idx="22">
                  <c:v>894.68500000000006</c:v>
                </c:pt>
                <c:pt idx="23">
                  <c:v>813.4</c:v>
                </c:pt>
                <c:pt idx="24">
                  <c:v>1062</c:v>
                </c:pt>
                <c:pt idx="25">
                  <c:v>1304</c:v>
                </c:pt>
                <c:pt idx="26">
                  <c:v>1579</c:v>
                </c:pt>
              </c:numCache>
            </c:numRef>
          </c:yVal>
          <c:smooth val="0"/>
          <c:extLst>
            <c:ext xmlns:c16="http://schemas.microsoft.com/office/drawing/2014/chart" uri="{C3380CC4-5D6E-409C-BE32-E72D297353CC}">
              <c16:uniqueId val="{00000000-AC32-45A4-8E56-85D355158873}"/>
            </c:ext>
          </c:extLst>
        </c:ser>
        <c:ser>
          <c:idx val="1"/>
          <c:order val="1"/>
          <c:tx>
            <c:v>Modeled</c:v>
          </c:tx>
          <c:spPr>
            <a:ln w="25400" cap="rnd">
              <a:noFill/>
              <a:round/>
            </a:ln>
            <a:effectLst/>
          </c:spPr>
          <c:marker>
            <c:symbol val="circle"/>
            <c:size val="5"/>
            <c:spPr>
              <a:solidFill>
                <a:schemeClr val="accent2"/>
              </a:solidFill>
              <a:ln w="9525">
                <a:solidFill>
                  <a:schemeClr val="accent2"/>
                </a:solidFill>
              </a:ln>
              <a:effectLst/>
            </c:spPr>
          </c:marker>
          <c:xVal>
            <c:numRef>
              <c:f>China!$A$12:$A$43</c:f>
              <c:numCache>
                <c:formatCode>General</c:formatCode>
                <c:ptCount val="32"/>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numCache>
            </c:numRef>
          </c:xVal>
          <c:yVal>
            <c:numRef>
              <c:f>China!$I$12:$I$43</c:f>
              <c:numCache>
                <c:formatCode>General</c:formatCode>
                <c:ptCount val="32"/>
                <c:pt idx="0">
                  <c:v>4.8530923330902338</c:v>
                </c:pt>
                <c:pt idx="1">
                  <c:v>5.4330368668945166</c:v>
                </c:pt>
                <c:pt idx="2">
                  <c:v>6.0822847724884106</c:v>
                </c:pt>
                <c:pt idx="3">
                  <c:v>6.8091178028007757</c:v>
                </c:pt>
                <c:pt idx="4">
                  <c:v>7.6228073802354679</c:v>
                </c:pt>
                <c:pt idx="5">
                  <c:v>8.5337328621736059</c:v>
                </c:pt>
                <c:pt idx="6">
                  <c:v>9.5535139392033503</c:v>
                </c:pt>
                <c:pt idx="7">
                  <c:v>10.69515885493815</c:v>
                </c:pt>
                <c:pt idx="8">
                  <c:v>11.973230338103258</c:v>
                </c:pt>
                <c:pt idx="9">
                  <c:v>13.404031363506597</c:v>
                </c:pt>
                <c:pt idx="10">
                  <c:v>15.005813111445635</c:v>
                </c:pt>
                <c:pt idx="11">
                  <c:v>16.799007778263388</c:v>
                </c:pt>
                <c:pt idx="12">
                  <c:v>18.806489207765861</c:v>
                </c:pt>
                <c:pt idx="13">
                  <c:v>21.05386466809388</c:v>
                </c:pt>
                <c:pt idx="14">
                  <c:v>23.569801495931099</c:v>
                </c:pt>
                <c:pt idx="15">
                  <c:v>26.386392774694865</c:v>
                </c:pt>
                <c:pt idx="16">
                  <c:v>29.539566711270901</c:v>
                </c:pt>
                <c:pt idx="17">
                  <c:v>33.069544933267771</c:v>
                </c:pt>
                <c:pt idx="18">
                  <c:v>37.021355552793267</c:v>
                </c:pt>
                <c:pt idx="19">
                  <c:v>41.445407541352061</c:v>
                </c:pt>
                <c:pt idx="20">
                  <c:v>46.398133742543628</c:v>
                </c:pt>
                <c:pt idx="21">
                  <c:v>51.942710724777591</c:v>
                </c:pt>
                <c:pt idx="22">
                  <c:v>58.149864656388509</c:v>
                </c:pt>
                <c:pt idx="23">
                  <c:v>65.098773482826928</c:v>
                </c:pt>
                <c:pt idx="24">
                  <c:v>72.878076914024746</c:v>
                </c:pt>
                <c:pt idx="25">
                  <c:v>81.587007105250706</c:v>
                </c:pt>
                <c:pt idx="26">
                  <c:v>91.336654454328155</c:v>
                </c:pt>
                <c:pt idx="27">
                  <c:v>102.25138466162036</c:v>
                </c:pt>
                <c:pt idx="28">
                  <c:v>114.47042512868398</c:v>
                </c:pt>
                <c:pt idx="29">
                  <c:v>128.14964093156172</c:v>
                </c:pt>
                <c:pt idx="30">
                  <c:v>143.46352302288335</c:v>
                </c:pt>
                <c:pt idx="31">
                  <c:v>160.6074140241179</c:v>
                </c:pt>
              </c:numCache>
            </c:numRef>
          </c:yVal>
          <c:smooth val="0"/>
          <c:extLst>
            <c:ext xmlns:c16="http://schemas.microsoft.com/office/drawing/2014/chart" uri="{C3380CC4-5D6E-409C-BE32-E72D297353CC}">
              <c16:uniqueId val="{00000003-AC32-45A4-8E56-85D355158873}"/>
            </c:ext>
          </c:extLst>
        </c:ser>
        <c:dLbls>
          <c:showLegendKey val="0"/>
          <c:showVal val="0"/>
          <c:showCatName val="0"/>
          <c:showSerName val="0"/>
          <c:showPercent val="0"/>
          <c:showBubbleSize val="0"/>
        </c:dLbls>
        <c:axId val="910578848"/>
        <c:axId val="422534416"/>
      </c:scatterChart>
      <c:valAx>
        <c:axId val="91057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534416"/>
        <c:crosses val="autoZero"/>
        <c:crossBetween val="midCat"/>
      </c:valAx>
      <c:valAx>
        <c:axId val="4225344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5788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Net Refined Copper Imports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China Imports</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China!$A$12:$A$70</c:f>
              <c:numCache>
                <c:formatCode>General</c:formatCode>
                <c:ptCount val="59"/>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pt idx="58">
                  <c:v>2018</c:v>
                </c:pt>
              </c:numCache>
            </c:numRef>
          </c:xVal>
          <c:yVal>
            <c:numRef>
              <c:f>China!$K$12:$K$70</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250</c:v>
                </c:pt>
                <c:pt idx="25">
                  <c:v>355</c:v>
                </c:pt>
                <c:pt idx="26">
                  <c:v>161.80000000000001</c:v>
                </c:pt>
                <c:pt idx="27">
                  <c:v>70</c:v>
                </c:pt>
                <c:pt idx="28">
                  <c:v>35.75</c:v>
                </c:pt>
                <c:pt idx="29">
                  <c:v>61.099999999999994</c:v>
                </c:pt>
                <c:pt idx="30">
                  <c:v>20.7</c:v>
                </c:pt>
                <c:pt idx="31">
                  <c:v>95.3</c:v>
                </c:pt>
                <c:pt idx="32">
                  <c:v>255</c:v>
                </c:pt>
                <c:pt idx="33">
                  <c:v>359</c:v>
                </c:pt>
                <c:pt idx="34">
                  <c:v>89</c:v>
                </c:pt>
                <c:pt idx="35">
                  <c:v>-7</c:v>
                </c:pt>
                <c:pt idx="36">
                  <c:v>257.8</c:v>
                </c:pt>
                <c:pt idx="37">
                  <c:v>138</c:v>
                </c:pt>
                <c:pt idx="38">
                  <c:v>276.05099999999999</c:v>
                </c:pt>
                <c:pt idx="39">
                  <c:v>348.452</c:v>
                </c:pt>
                <c:pt idx="40">
                  <c:v>551.69299999999998</c:v>
                </c:pt>
                <c:pt idx="41">
                  <c:v>782.98799999999994</c:v>
                </c:pt>
                <c:pt idx="42">
                  <c:v>1103.6949999999999</c:v>
                </c:pt>
                <c:pt idx="43">
                  <c:v>1289.3620000000001</c:v>
                </c:pt>
                <c:pt idx="44">
                  <c:v>1074.4570000000001</c:v>
                </c:pt>
                <c:pt idx="45">
                  <c:v>1079.9319999999998</c:v>
                </c:pt>
                <c:pt idx="46">
                  <c:v>578.58399999999995</c:v>
                </c:pt>
                <c:pt idx="47">
                  <c:v>1362.8230000000001</c:v>
                </c:pt>
                <c:pt idx="48">
                  <c:v>1351.3019999999999</c:v>
                </c:pt>
                <c:pt idx="49">
                  <c:v>3095.3130000000001</c:v>
                </c:pt>
                <c:pt idx="50">
                  <c:v>2871.67</c:v>
                </c:pt>
                <c:pt idx="51">
                  <c:v>2676.2069999999999</c:v>
                </c:pt>
                <c:pt idx="52">
                  <c:v>3124.386</c:v>
                </c:pt>
                <c:pt idx="53">
                  <c:v>2910.366</c:v>
                </c:pt>
                <c:pt idx="54">
                  <c:v>3319.9559999999997</c:v>
                </c:pt>
                <c:pt idx="55">
                  <c:v>3456.9289999999996</c:v>
                </c:pt>
                <c:pt idx="56">
                  <c:v>2623.5778126688874</c:v>
                </c:pt>
                <c:pt idx="57">
                  <c:v>1726.6318730303483</c:v>
                </c:pt>
                <c:pt idx="58">
                  <c:v>1223.208584481692</c:v>
                </c:pt>
              </c:numCache>
            </c:numRef>
          </c:yVal>
          <c:smooth val="0"/>
          <c:extLst>
            <c:ext xmlns:c16="http://schemas.microsoft.com/office/drawing/2014/chart" uri="{C3380CC4-5D6E-409C-BE32-E72D297353CC}">
              <c16:uniqueId val="{00000000-3DFF-4FAA-857C-D77C23363448}"/>
            </c:ext>
          </c:extLst>
        </c:ser>
        <c:ser>
          <c:idx val="1"/>
          <c:order val="1"/>
          <c:tx>
            <c:strRef>
              <c:f>China!$K$86</c:f>
              <c:strCache>
                <c:ptCount val="1"/>
                <c:pt idx="0">
                  <c:v>150 kt increase</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China!$J$87:$J$109</c:f>
              <c:numCache>
                <c:formatCode>General</c:formatCode>
                <c:ptCount val="23"/>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numCache>
            </c:numRef>
          </c:xVal>
          <c:yVal>
            <c:numRef>
              <c:f>China!$K$87:$K$108</c:f>
              <c:numCache>
                <c:formatCode>0</c:formatCode>
                <c:ptCount val="22"/>
                <c:pt idx="0">
                  <c:v>1373.208584481692</c:v>
                </c:pt>
                <c:pt idx="1">
                  <c:v>1573.208584481692</c:v>
                </c:pt>
                <c:pt idx="2">
                  <c:v>1723.208584481692</c:v>
                </c:pt>
                <c:pt idx="3">
                  <c:v>1873.208584481692</c:v>
                </c:pt>
                <c:pt idx="4">
                  <c:v>2023.208584481692</c:v>
                </c:pt>
                <c:pt idx="5">
                  <c:v>2173.208584481692</c:v>
                </c:pt>
                <c:pt idx="6">
                  <c:v>2323.208584481692</c:v>
                </c:pt>
                <c:pt idx="7">
                  <c:v>2473.208584481692</c:v>
                </c:pt>
                <c:pt idx="8">
                  <c:v>2623.208584481692</c:v>
                </c:pt>
                <c:pt idx="9">
                  <c:v>2773.208584481692</c:v>
                </c:pt>
                <c:pt idx="10">
                  <c:v>2923.208584481692</c:v>
                </c:pt>
                <c:pt idx="11">
                  <c:v>3073.208584481692</c:v>
                </c:pt>
                <c:pt idx="12">
                  <c:v>3223.208584481692</c:v>
                </c:pt>
                <c:pt idx="13">
                  <c:v>3373.208584481692</c:v>
                </c:pt>
                <c:pt idx="14">
                  <c:v>3523.208584481692</c:v>
                </c:pt>
                <c:pt idx="15">
                  <c:v>3673.208584481692</c:v>
                </c:pt>
                <c:pt idx="16">
                  <c:v>3823.208584481692</c:v>
                </c:pt>
                <c:pt idx="17">
                  <c:v>3973.208584481692</c:v>
                </c:pt>
                <c:pt idx="18">
                  <c:v>4123.208584481692</c:v>
                </c:pt>
                <c:pt idx="19">
                  <c:v>4273.208584481692</c:v>
                </c:pt>
                <c:pt idx="20">
                  <c:v>4423.208584481692</c:v>
                </c:pt>
                <c:pt idx="21">
                  <c:v>4573.208584481692</c:v>
                </c:pt>
              </c:numCache>
            </c:numRef>
          </c:yVal>
          <c:smooth val="0"/>
          <c:extLst>
            <c:ext xmlns:c16="http://schemas.microsoft.com/office/drawing/2014/chart" uri="{C3380CC4-5D6E-409C-BE32-E72D297353CC}">
              <c16:uniqueId val="{00000000-B703-42CA-8CDB-2F6C08F8DA39}"/>
            </c:ext>
          </c:extLst>
        </c:ser>
        <c:ser>
          <c:idx val="2"/>
          <c:order val="2"/>
          <c:tx>
            <c:strRef>
              <c:f>China!$L$86</c:f>
              <c:strCache>
                <c:ptCount val="1"/>
                <c:pt idx="0">
                  <c:v>100 kt increase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China!$J$87:$J$108</c:f>
              <c:numCache>
                <c:formatCode>General</c:formatCode>
                <c:ptCount val="2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numCache>
            </c:numRef>
          </c:xVal>
          <c:yVal>
            <c:numRef>
              <c:f>China!$L$87:$L$108</c:f>
              <c:numCache>
                <c:formatCode>0</c:formatCode>
                <c:ptCount val="22"/>
                <c:pt idx="0">
                  <c:v>1323.208584481692</c:v>
                </c:pt>
                <c:pt idx="1">
                  <c:v>1423.208584481692</c:v>
                </c:pt>
                <c:pt idx="2">
                  <c:v>1523.208584481692</c:v>
                </c:pt>
                <c:pt idx="3">
                  <c:v>1623.208584481692</c:v>
                </c:pt>
                <c:pt idx="4">
                  <c:v>1723.208584481692</c:v>
                </c:pt>
                <c:pt idx="5">
                  <c:v>1823.208584481692</c:v>
                </c:pt>
                <c:pt idx="6">
                  <c:v>1923.208584481692</c:v>
                </c:pt>
                <c:pt idx="7">
                  <c:v>2023.208584481692</c:v>
                </c:pt>
                <c:pt idx="8">
                  <c:v>2123.208584481692</c:v>
                </c:pt>
                <c:pt idx="9">
                  <c:v>2223.208584481692</c:v>
                </c:pt>
                <c:pt idx="10">
                  <c:v>2323.208584481692</c:v>
                </c:pt>
                <c:pt idx="11">
                  <c:v>2423.208584481692</c:v>
                </c:pt>
                <c:pt idx="12">
                  <c:v>2523.208584481692</c:v>
                </c:pt>
                <c:pt idx="13">
                  <c:v>2623.208584481692</c:v>
                </c:pt>
                <c:pt idx="14">
                  <c:v>2723.208584481692</c:v>
                </c:pt>
                <c:pt idx="15">
                  <c:v>2823.208584481692</c:v>
                </c:pt>
                <c:pt idx="16">
                  <c:v>2923.208584481692</c:v>
                </c:pt>
                <c:pt idx="17">
                  <c:v>3023.208584481692</c:v>
                </c:pt>
                <c:pt idx="18">
                  <c:v>3123.208584481692</c:v>
                </c:pt>
                <c:pt idx="19">
                  <c:v>3223.208584481692</c:v>
                </c:pt>
                <c:pt idx="20">
                  <c:v>3323.208584481692</c:v>
                </c:pt>
                <c:pt idx="21">
                  <c:v>3423.208584481692</c:v>
                </c:pt>
              </c:numCache>
            </c:numRef>
          </c:yVal>
          <c:smooth val="0"/>
          <c:extLst>
            <c:ext xmlns:c16="http://schemas.microsoft.com/office/drawing/2014/chart" uri="{C3380CC4-5D6E-409C-BE32-E72D297353CC}">
              <c16:uniqueId val="{00000001-B703-42CA-8CDB-2F6C08F8DA39}"/>
            </c:ext>
          </c:extLst>
        </c:ser>
        <c:ser>
          <c:idx val="3"/>
          <c:order val="3"/>
          <c:tx>
            <c:strRef>
              <c:f>China!$M$86</c:f>
              <c:strCache>
                <c:ptCount val="1"/>
                <c:pt idx="0">
                  <c:v>100 kt decrease</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China!$J$87:$J$108</c:f>
              <c:numCache>
                <c:formatCode>General</c:formatCode>
                <c:ptCount val="2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numCache>
            </c:numRef>
          </c:xVal>
          <c:yVal>
            <c:numRef>
              <c:f>China!$M$87:$M$108</c:f>
              <c:numCache>
                <c:formatCode>0</c:formatCode>
                <c:ptCount val="22"/>
                <c:pt idx="0">
                  <c:v>1123.208584481692</c:v>
                </c:pt>
                <c:pt idx="1">
                  <c:v>1023.208584481692</c:v>
                </c:pt>
                <c:pt idx="2">
                  <c:v>923.20858448169201</c:v>
                </c:pt>
                <c:pt idx="3">
                  <c:v>823.20858448169201</c:v>
                </c:pt>
                <c:pt idx="4">
                  <c:v>723.20858448169201</c:v>
                </c:pt>
                <c:pt idx="5">
                  <c:v>623.20858448169201</c:v>
                </c:pt>
                <c:pt idx="6">
                  <c:v>523.20858448169201</c:v>
                </c:pt>
                <c:pt idx="7">
                  <c:v>423.20858448169201</c:v>
                </c:pt>
                <c:pt idx="8">
                  <c:v>323.20858448169201</c:v>
                </c:pt>
                <c:pt idx="9">
                  <c:v>223.20858448169201</c:v>
                </c:pt>
                <c:pt idx="10">
                  <c:v>123.20858448169201</c:v>
                </c:pt>
                <c:pt idx="11">
                  <c:v>23.208584481692014</c:v>
                </c:pt>
                <c:pt idx="12">
                  <c:v>0</c:v>
                </c:pt>
                <c:pt idx="13">
                  <c:v>0</c:v>
                </c:pt>
                <c:pt idx="14">
                  <c:v>0</c:v>
                </c:pt>
                <c:pt idx="15">
                  <c:v>0</c:v>
                </c:pt>
                <c:pt idx="16">
                  <c:v>0</c:v>
                </c:pt>
                <c:pt idx="17">
                  <c:v>0</c:v>
                </c:pt>
                <c:pt idx="18">
                  <c:v>0</c:v>
                </c:pt>
                <c:pt idx="19">
                  <c:v>0</c:v>
                </c:pt>
                <c:pt idx="20">
                  <c:v>0</c:v>
                </c:pt>
                <c:pt idx="21">
                  <c:v>0</c:v>
                </c:pt>
              </c:numCache>
            </c:numRef>
          </c:yVal>
          <c:smooth val="0"/>
          <c:extLst>
            <c:ext xmlns:c16="http://schemas.microsoft.com/office/drawing/2014/chart" uri="{C3380CC4-5D6E-409C-BE32-E72D297353CC}">
              <c16:uniqueId val="{00000002-B703-42CA-8CDB-2F6C08F8DA39}"/>
            </c:ext>
          </c:extLst>
        </c:ser>
        <c:ser>
          <c:idx val="4"/>
          <c:order val="4"/>
          <c:tx>
            <c:strRef>
              <c:f>China!$N$86</c:f>
              <c:strCache>
                <c:ptCount val="1"/>
                <c:pt idx="0">
                  <c:v>200 kt decrease</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China!$J$87:$J$108</c:f>
              <c:numCache>
                <c:formatCode>General</c:formatCode>
                <c:ptCount val="22"/>
                <c:pt idx="0">
                  <c:v>2019</c:v>
                </c:pt>
                <c:pt idx="1">
                  <c:v>2020</c:v>
                </c:pt>
                <c:pt idx="2">
                  <c:v>2021</c:v>
                </c:pt>
                <c:pt idx="3">
                  <c:v>2022</c:v>
                </c:pt>
                <c:pt idx="4">
                  <c:v>2023</c:v>
                </c:pt>
                <c:pt idx="5">
                  <c:v>2024</c:v>
                </c:pt>
                <c:pt idx="6">
                  <c:v>2025</c:v>
                </c:pt>
                <c:pt idx="7">
                  <c:v>2026</c:v>
                </c:pt>
                <c:pt idx="8">
                  <c:v>2027</c:v>
                </c:pt>
                <c:pt idx="9">
                  <c:v>2028</c:v>
                </c:pt>
                <c:pt idx="10">
                  <c:v>2029</c:v>
                </c:pt>
                <c:pt idx="11">
                  <c:v>2030</c:v>
                </c:pt>
                <c:pt idx="12">
                  <c:v>2031</c:v>
                </c:pt>
                <c:pt idx="13">
                  <c:v>2032</c:v>
                </c:pt>
                <c:pt idx="14">
                  <c:v>2033</c:v>
                </c:pt>
                <c:pt idx="15">
                  <c:v>2034</c:v>
                </c:pt>
                <c:pt idx="16">
                  <c:v>2035</c:v>
                </c:pt>
                <c:pt idx="17">
                  <c:v>2036</c:v>
                </c:pt>
                <c:pt idx="18">
                  <c:v>2037</c:v>
                </c:pt>
                <c:pt idx="19">
                  <c:v>2038</c:v>
                </c:pt>
                <c:pt idx="20">
                  <c:v>2039</c:v>
                </c:pt>
                <c:pt idx="21">
                  <c:v>2040</c:v>
                </c:pt>
              </c:numCache>
            </c:numRef>
          </c:xVal>
          <c:yVal>
            <c:numRef>
              <c:f>China!$N$87:$N$108</c:f>
              <c:numCache>
                <c:formatCode>0</c:formatCode>
                <c:ptCount val="22"/>
                <c:pt idx="0">
                  <c:v>1023.208584481692</c:v>
                </c:pt>
                <c:pt idx="1">
                  <c:v>823.20858448169201</c:v>
                </c:pt>
                <c:pt idx="2">
                  <c:v>623.20858448169201</c:v>
                </c:pt>
                <c:pt idx="3">
                  <c:v>423.20858448169201</c:v>
                </c:pt>
                <c:pt idx="4">
                  <c:v>223.20858448169201</c:v>
                </c:pt>
                <c:pt idx="5">
                  <c:v>23.208584481692014</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yVal>
          <c:smooth val="0"/>
          <c:extLst>
            <c:ext xmlns:c16="http://schemas.microsoft.com/office/drawing/2014/chart" uri="{C3380CC4-5D6E-409C-BE32-E72D297353CC}">
              <c16:uniqueId val="{00000003-B703-42CA-8CDB-2F6C08F8DA39}"/>
            </c:ext>
          </c:extLst>
        </c:ser>
        <c:dLbls>
          <c:showLegendKey val="0"/>
          <c:showVal val="0"/>
          <c:showCatName val="0"/>
          <c:showSerName val="0"/>
          <c:showPercent val="0"/>
          <c:showBubbleSize val="0"/>
        </c:dLbls>
        <c:axId val="427698280"/>
        <c:axId val="427695984"/>
      </c:scatterChart>
      <c:valAx>
        <c:axId val="427698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95984"/>
        <c:crosses val="autoZero"/>
        <c:crossBetween val="midCat"/>
      </c:valAx>
      <c:valAx>
        <c:axId val="42769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6982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Refined</a:t>
            </a:r>
            <a:r>
              <a:rPr lang="en-US" baseline="0"/>
              <a:t> Secondary Production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WoodMac Secondary Refined</c:v>
          </c:tx>
          <c:spPr>
            <a:ln w="19050" cap="rnd">
              <a:noFill/>
              <a:round/>
            </a:ln>
            <a:effectLst/>
          </c:spPr>
          <c:marker>
            <c:symbol val="circle"/>
            <c:size val="5"/>
            <c:spPr>
              <a:solidFill>
                <a:schemeClr val="accent1"/>
              </a:solidFill>
              <a:ln w="9525">
                <a:solidFill>
                  <a:schemeClr val="accent1"/>
                </a:solidFill>
              </a:ln>
              <a:effectLst/>
            </c:spPr>
          </c:marker>
          <c:xVal>
            <c:numRef>
              <c:f>China!$A$44:$A$70</c:f>
              <c:numCache>
                <c:formatCode>General</c:formatCode>
                <c:ptCount val="27"/>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numCache>
            </c:numRef>
          </c:xVal>
          <c:yVal>
            <c:numRef>
              <c:f>China!$I$44:$I$70</c:f>
              <c:numCache>
                <c:formatCode>0</c:formatCode>
                <c:ptCount val="27"/>
                <c:pt idx="0">
                  <c:v>179.79999999999998</c:v>
                </c:pt>
                <c:pt idx="1">
                  <c:v>240.80000000000004</c:v>
                </c:pt>
                <c:pt idx="2">
                  <c:v>230.74299999999999</c:v>
                </c:pt>
                <c:pt idx="3">
                  <c:v>377.59499999999997</c:v>
                </c:pt>
                <c:pt idx="4">
                  <c:v>323.21099999999996</c:v>
                </c:pt>
                <c:pt idx="5">
                  <c:v>375.24599999999998</c:v>
                </c:pt>
                <c:pt idx="6">
                  <c:v>330.63</c:v>
                </c:pt>
                <c:pt idx="7">
                  <c:v>247.34899999999999</c:v>
                </c:pt>
                <c:pt idx="8">
                  <c:v>243.64400000000001</c:v>
                </c:pt>
                <c:pt idx="9">
                  <c:v>253.57899999999998</c:v>
                </c:pt>
                <c:pt idx="10">
                  <c:v>318.5</c:v>
                </c:pt>
                <c:pt idx="11">
                  <c:v>338.94</c:v>
                </c:pt>
                <c:pt idx="12">
                  <c:v>532.23099999999999</c:v>
                </c:pt>
                <c:pt idx="13">
                  <c:v>521.84900000000005</c:v>
                </c:pt>
                <c:pt idx="14">
                  <c:v>742.35799999999995</c:v>
                </c:pt>
                <c:pt idx="15">
                  <c:v>790.8</c:v>
                </c:pt>
                <c:pt idx="16">
                  <c:v>719.39299999999992</c:v>
                </c:pt>
                <c:pt idx="17">
                  <c:v>826.78000000000009</c:v>
                </c:pt>
                <c:pt idx="18">
                  <c:v>944.20400000000006</c:v>
                </c:pt>
                <c:pt idx="19">
                  <c:v>853.05499999999995</c:v>
                </c:pt>
                <c:pt idx="20">
                  <c:v>1041.4669999999999</c:v>
                </c:pt>
                <c:pt idx="21">
                  <c:v>921.80199999999991</c:v>
                </c:pt>
                <c:pt idx="22">
                  <c:v>894.68500000000006</c:v>
                </c:pt>
                <c:pt idx="23">
                  <c:v>813.4</c:v>
                </c:pt>
                <c:pt idx="24">
                  <c:v>1062</c:v>
                </c:pt>
                <c:pt idx="25">
                  <c:v>1304</c:v>
                </c:pt>
                <c:pt idx="26">
                  <c:v>1579</c:v>
                </c:pt>
              </c:numCache>
            </c:numRef>
          </c:yVal>
          <c:smooth val="0"/>
          <c:extLst>
            <c:ext xmlns:c16="http://schemas.microsoft.com/office/drawing/2014/chart" uri="{C3380CC4-5D6E-409C-BE32-E72D297353CC}">
              <c16:uniqueId val="{00000000-3235-4BAF-A356-C431C2461C3A}"/>
            </c:ext>
          </c:extLst>
        </c:ser>
        <c:ser>
          <c:idx val="1"/>
          <c:order val="1"/>
          <c:tx>
            <c:v>Modeled Secondary Refined</c:v>
          </c:tx>
          <c:spPr>
            <a:ln w="25400" cap="rnd">
              <a:noFill/>
              <a:round/>
            </a:ln>
            <a:effectLst/>
          </c:spPr>
          <c:marker>
            <c:symbol val="circle"/>
            <c:size val="5"/>
            <c:spPr>
              <a:solidFill>
                <a:schemeClr val="accent2"/>
              </a:solidFill>
              <a:ln w="9525">
                <a:solidFill>
                  <a:schemeClr val="accent2"/>
                </a:solidFill>
              </a:ln>
              <a:effectLst/>
            </c:spPr>
          </c:marker>
          <c:xVal>
            <c:numRef>
              <c:f>China!$A$12:$A$44</c:f>
              <c:numCache>
                <c:formatCode>General</c:formatCode>
                <c:ptCount val="33"/>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numCache>
            </c:numRef>
          </c:xVal>
          <c:yVal>
            <c:numRef>
              <c:f>China!$I$12:$I$43</c:f>
              <c:numCache>
                <c:formatCode>General</c:formatCode>
                <c:ptCount val="32"/>
                <c:pt idx="0">
                  <c:v>4.8530923330902338</c:v>
                </c:pt>
                <c:pt idx="1">
                  <c:v>5.4330368668945166</c:v>
                </c:pt>
                <c:pt idx="2">
                  <c:v>6.0822847724884106</c:v>
                </c:pt>
                <c:pt idx="3">
                  <c:v>6.8091178028007757</c:v>
                </c:pt>
                <c:pt idx="4">
                  <c:v>7.6228073802354679</c:v>
                </c:pt>
                <c:pt idx="5">
                  <c:v>8.5337328621736059</c:v>
                </c:pt>
                <c:pt idx="6">
                  <c:v>9.5535139392033503</c:v>
                </c:pt>
                <c:pt idx="7">
                  <c:v>10.69515885493815</c:v>
                </c:pt>
                <c:pt idx="8">
                  <c:v>11.973230338103258</c:v>
                </c:pt>
                <c:pt idx="9">
                  <c:v>13.404031363506597</c:v>
                </c:pt>
                <c:pt idx="10">
                  <c:v>15.005813111445635</c:v>
                </c:pt>
                <c:pt idx="11">
                  <c:v>16.799007778263388</c:v>
                </c:pt>
                <c:pt idx="12">
                  <c:v>18.806489207765861</c:v>
                </c:pt>
                <c:pt idx="13">
                  <c:v>21.05386466809388</c:v>
                </c:pt>
                <c:pt idx="14">
                  <c:v>23.569801495931099</c:v>
                </c:pt>
                <c:pt idx="15">
                  <c:v>26.386392774694865</c:v>
                </c:pt>
                <c:pt idx="16">
                  <c:v>29.539566711270901</c:v>
                </c:pt>
                <c:pt idx="17">
                  <c:v>33.069544933267771</c:v>
                </c:pt>
                <c:pt idx="18">
                  <c:v>37.021355552793267</c:v>
                </c:pt>
                <c:pt idx="19">
                  <c:v>41.445407541352061</c:v>
                </c:pt>
                <c:pt idx="20">
                  <c:v>46.398133742543628</c:v>
                </c:pt>
                <c:pt idx="21">
                  <c:v>51.942710724777591</c:v>
                </c:pt>
                <c:pt idx="22">
                  <c:v>58.149864656388509</c:v>
                </c:pt>
                <c:pt idx="23">
                  <c:v>65.098773482826928</c:v>
                </c:pt>
                <c:pt idx="24">
                  <c:v>72.878076914024746</c:v>
                </c:pt>
                <c:pt idx="25">
                  <c:v>81.587007105250706</c:v>
                </c:pt>
                <c:pt idx="26">
                  <c:v>91.336654454328155</c:v>
                </c:pt>
                <c:pt idx="27">
                  <c:v>102.25138466162036</c:v>
                </c:pt>
                <c:pt idx="28">
                  <c:v>114.47042512868398</c:v>
                </c:pt>
                <c:pt idx="29">
                  <c:v>128.14964093156172</c:v>
                </c:pt>
                <c:pt idx="30">
                  <c:v>143.46352302288335</c:v>
                </c:pt>
                <c:pt idx="31">
                  <c:v>160.6074140241179</c:v>
                </c:pt>
              </c:numCache>
            </c:numRef>
          </c:yVal>
          <c:smooth val="0"/>
          <c:extLst>
            <c:ext xmlns:c16="http://schemas.microsoft.com/office/drawing/2014/chart" uri="{C3380CC4-5D6E-409C-BE32-E72D297353CC}">
              <c16:uniqueId val="{00000001-3235-4BAF-A356-C431C2461C3A}"/>
            </c:ext>
          </c:extLst>
        </c:ser>
        <c:dLbls>
          <c:showLegendKey val="0"/>
          <c:showVal val="0"/>
          <c:showCatName val="0"/>
          <c:showSerName val="0"/>
          <c:showPercent val="0"/>
          <c:showBubbleSize val="0"/>
        </c:dLbls>
        <c:axId val="769478056"/>
        <c:axId val="769476088"/>
      </c:scatterChart>
      <c:valAx>
        <c:axId val="769478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76088"/>
        <c:crosses val="autoZero"/>
        <c:crossBetween val="midCat"/>
      </c:valAx>
      <c:valAx>
        <c:axId val="769476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9478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China Concentrate Production, WoodMac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WoodMac</c:v>
          </c:tx>
          <c:spPr>
            <a:ln w="19050" cap="rnd">
              <a:noFill/>
              <a:round/>
            </a:ln>
            <a:effectLst/>
          </c:spPr>
          <c:marker>
            <c:symbol val="circle"/>
            <c:size val="5"/>
            <c:spPr>
              <a:solidFill>
                <a:schemeClr val="accent1"/>
              </a:solidFill>
              <a:ln w="9525">
                <a:solidFill>
                  <a:schemeClr val="accent1"/>
                </a:solidFill>
              </a:ln>
              <a:effectLst/>
            </c:spPr>
          </c:marker>
          <c:xVal>
            <c:numRef>
              <c:f>China!$A$36:$A$70</c:f>
              <c:numCache>
                <c:formatCode>General</c:formatCode>
                <c:ptCount val="35"/>
                <c:pt idx="0">
                  <c:v>1984</c:v>
                </c:pt>
                <c:pt idx="1">
                  <c:v>1985</c:v>
                </c:pt>
                <c:pt idx="2">
                  <c:v>1986</c:v>
                </c:pt>
                <c:pt idx="3">
                  <c:v>1987</c:v>
                </c:pt>
                <c:pt idx="4">
                  <c:v>1988</c:v>
                </c:pt>
                <c:pt idx="5">
                  <c:v>1989</c:v>
                </c:pt>
                <c:pt idx="6">
                  <c:v>1990</c:v>
                </c:pt>
                <c:pt idx="7">
                  <c:v>1991</c:v>
                </c:pt>
                <c:pt idx="8">
                  <c:v>1992</c:v>
                </c:pt>
                <c:pt idx="9">
                  <c:v>1993</c:v>
                </c:pt>
                <c:pt idx="10">
                  <c:v>1994</c:v>
                </c:pt>
                <c:pt idx="11">
                  <c:v>1995</c:v>
                </c:pt>
                <c:pt idx="12">
                  <c:v>1996</c:v>
                </c:pt>
                <c:pt idx="13">
                  <c:v>1997</c:v>
                </c:pt>
                <c:pt idx="14">
                  <c:v>1998</c:v>
                </c:pt>
                <c:pt idx="15">
                  <c:v>1999</c:v>
                </c:pt>
                <c:pt idx="16">
                  <c:v>2000</c:v>
                </c:pt>
                <c:pt idx="17">
                  <c:v>2001</c:v>
                </c:pt>
                <c:pt idx="18">
                  <c:v>2002</c:v>
                </c:pt>
                <c:pt idx="19">
                  <c:v>2003</c:v>
                </c:pt>
                <c:pt idx="20">
                  <c:v>2004</c:v>
                </c:pt>
                <c:pt idx="21">
                  <c:v>2005</c:v>
                </c:pt>
                <c:pt idx="22">
                  <c:v>2006</c:v>
                </c:pt>
                <c:pt idx="23">
                  <c:v>2007</c:v>
                </c:pt>
                <c:pt idx="24">
                  <c:v>2008</c:v>
                </c:pt>
                <c:pt idx="25">
                  <c:v>2009</c:v>
                </c:pt>
                <c:pt idx="26">
                  <c:v>2010</c:v>
                </c:pt>
                <c:pt idx="27">
                  <c:v>2011</c:v>
                </c:pt>
                <c:pt idx="28">
                  <c:v>2012</c:v>
                </c:pt>
                <c:pt idx="29">
                  <c:v>2013</c:v>
                </c:pt>
                <c:pt idx="30">
                  <c:v>2014</c:v>
                </c:pt>
                <c:pt idx="31">
                  <c:v>2015</c:v>
                </c:pt>
                <c:pt idx="32">
                  <c:v>2016</c:v>
                </c:pt>
                <c:pt idx="33">
                  <c:v>2017</c:v>
                </c:pt>
                <c:pt idx="34">
                  <c:v>2018</c:v>
                </c:pt>
              </c:numCache>
            </c:numRef>
          </c:xVal>
          <c:yVal>
            <c:numRef>
              <c:f>China!$C$36:$C$70</c:f>
              <c:numCache>
                <c:formatCode>0</c:formatCode>
                <c:ptCount val="35"/>
                <c:pt idx="0">
                  <c:v>239.8</c:v>
                </c:pt>
                <c:pt idx="1">
                  <c:v>239.8</c:v>
                </c:pt>
                <c:pt idx="2">
                  <c:v>253.5</c:v>
                </c:pt>
                <c:pt idx="3">
                  <c:v>278.2</c:v>
                </c:pt>
                <c:pt idx="4">
                  <c:v>281.89999999999998</c:v>
                </c:pt>
                <c:pt idx="5">
                  <c:v>299.10000000000002</c:v>
                </c:pt>
                <c:pt idx="6">
                  <c:v>295.89999999999998</c:v>
                </c:pt>
                <c:pt idx="7">
                  <c:v>304</c:v>
                </c:pt>
                <c:pt idx="8">
                  <c:v>334.02900000000005</c:v>
                </c:pt>
                <c:pt idx="9">
                  <c:v>345.72800000000001</c:v>
                </c:pt>
                <c:pt idx="10">
                  <c:v>395.62199999999996</c:v>
                </c:pt>
                <c:pt idx="11">
                  <c:v>440.173</c:v>
                </c:pt>
                <c:pt idx="12">
                  <c:v>427.10600000000011</c:v>
                </c:pt>
                <c:pt idx="13">
                  <c:v>480.62073240000001</c:v>
                </c:pt>
                <c:pt idx="14">
                  <c:v>468.57862119999987</c:v>
                </c:pt>
                <c:pt idx="15">
                  <c:v>507.327</c:v>
                </c:pt>
                <c:pt idx="16">
                  <c:v>558.10500000000002</c:v>
                </c:pt>
                <c:pt idx="17">
                  <c:v>569.47900000000004</c:v>
                </c:pt>
                <c:pt idx="18">
                  <c:v>568.197</c:v>
                </c:pt>
                <c:pt idx="19">
                  <c:v>602.17599999999982</c:v>
                </c:pt>
                <c:pt idx="20">
                  <c:v>741.54200000000003</c:v>
                </c:pt>
                <c:pt idx="21">
                  <c:v>762.02600000000041</c:v>
                </c:pt>
                <c:pt idx="22">
                  <c:v>873.39900000000011</c:v>
                </c:pt>
                <c:pt idx="23">
                  <c:v>929.56899999999985</c:v>
                </c:pt>
                <c:pt idx="24">
                  <c:v>1075.105</c:v>
                </c:pt>
                <c:pt idx="25">
                  <c:v>963.25099999999998</c:v>
                </c:pt>
                <c:pt idx="26">
                  <c:v>1155.4900000000002</c:v>
                </c:pt>
                <c:pt idx="27">
                  <c:v>1265.0729999999999</c:v>
                </c:pt>
                <c:pt idx="28">
                  <c:v>1415.5389999999998</c:v>
                </c:pt>
                <c:pt idx="29">
                  <c:v>1472.9079999999999</c:v>
                </c:pt>
                <c:pt idx="30">
                  <c:v>1558.5924600000001</c:v>
                </c:pt>
                <c:pt idx="31">
                  <c:v>1509.8009999999997</c:v>
                </c:pt>
                <c:pt idx="32">
                  <c:v>1534.5</c:v>
                </c:pt>
                <c:pt idx="33">
                  <c:v>1595.6000000000001</c:v>
                </c:pt>
                <c:pt idx="34">
                  <c:v>1689.8999999999999</c:v>
                </c:pt>
              </c:numCache>
            </c:numRef>
          </c:yVal>
          <c:smooth val="0"/>
          <c:extLst>
            <c:ext xmlns:c16="http://schemas.microsoft.com/office/drawing/2014/chart" uri="{C3380CC4-5D6E-409C-BE32-E72D297353CC}">
              <c16:uniqueId val="{00000000-E744-44A9-99D7-2FF090F82E99}"/>
            </c:ext>
          </c:extLst>
        </c:ser>
        <c:ser>
          <c:idx val="1"/>
          <c:order val="1"/>
          <c:tx>
            <c:v>Modeled</c:v>
          </c:tx>
          <c:spPr>
            <a:ln w="25400" cap="rnd">
              <a:noFill/>
              <a:round/>
            </a:ln>
            <a:effectLst/>
          </c:spPr>
          <c:marker>
            <c:symbol val="circle"/>
            <c:size val="5"/>
            <c:spPr>
              <a:solidFill>
                <a:schemeClr val="accent2"/>
              </a:solidFill>
              <a:ln w="9525">
                <a:solidFill>
                  <a:schemeClr val="accent2"/>
                </a:solidFill>
              </a:ln>
              <a:effectLst/>
            </c:spPr>
          </c:marker>
          <c:xVal>
            <c:numRef>
              <c:f>China!$A$2:$A$35</c:f>
              <c:numCache>
                <c:formatCode>General</c:formatCode>
                <c:ptCount val="34"/>
                <c:pt idx="0">
                  <c:v>1950</c:v>
                </c:pt>
                <c:pt idx="1">
                  <c:v>1951</c:v>
                </c:pt>
                <c:pt idx="2">
                  <c:v>1952</c:v>
                </c:pt>
                <c:pt idx="3">
                  <c:v>1953</c:v>
                </c:pt>
                <c:pt idx="4">
                  <c:v>1954</c:v>
                </c:pt>
                <c:pt idx="5">
                  <c:v>1955</c:v>
                </c:pt>
                <c:pt idx="6">
                  <c:v>1956</c:v>
                </c:pt>
                <c:pt idx="7">
                  <c:v>1957</c:v>
                </c:pt>
                <c:pt idx="8">
                  <c:v>1958</c:v>
                </c:pt>
                <c:pt idx="9">
                  <c:v>1959</c:v>
                </c:pt>
                <c:pt idx="10">
                  <c:v>1960</c:v>
                </c:pt>
                <c:pt idx="11">
                  <c:v>1961</c:v>
                </c:pt>
                <c:pt idx="12">
                  <c:v>1962</c:v>
                </c:pt>
                <c:pt idx="13">
                  <c:v>1963</c:v>
                </c:pt>
                <c:pt idx="14">
                  <c:v>1964</c:v>
                </c:pt>
                <c:pt idx="15">
                  <c:v>1965</c:v>
                </c:pt>
                <c:pt idx="16">
                  <c:v>1966</c:v>
                </c:pt>
                <c:pt idx="17">
                  <c:v>1967</c:v>
                </c:pt>
                <c:pt idx="18">
                  <c:v>1968</c:v>
                </c:pt>
                <c:pt idx="19">
                  <c:v>1969</c:v>
                </c:pt>
                <c:pt idx="20">
                  <c:v>1970</c:v>
                </c:pt>
                <c:pt idx="21">
                  <c:v>1971</c:v>
                </c:pt>
                <c:pt idx="22">
                  <c:v>1972</c:v>
                </c:pt>
                <c:pt idx="23">
                  <c:v>1973</c:v>
                </c:pt>
                <c:pt idx="24">
                  <c:v>1974</c:v>
                </c:pt>
                <c:pt idx="25">
                  <c:v>1975</c:v>
                </c:pt>
                <c:pt idx="26">
                  <c:v>1976</c:v>
                </c:pt>
                <c:pt idx="27">
                  <c:v>1977</c:v>
                </c:pt>
                <c:pt idx="28">
                  <c:v>1978</c:v>
                </c:pt>
                <c:pt idx="29">
                  <c:v>1979</c:v>
                </c:pt>
                <c:pt idx="30">
                  <c:v>1980</c:v>
                </c:pt>
                <c:pt idx="31">
                  <c:v>1981</c:v>
                </c:pt>
                <c:pt idx="32">
                  <c:v>1982</c:v>
                </c:pt>
                <c:pt idx="33">
                  <c:v>1983</c:v>
                </c:pt>
              </c:numCache>
            </c:numRef>
          </c:xVal>
          <c:yVal>
            <c:numRef>
              <c:f>China!$C$2:$C$35</c:f>
              <c:numCache>
                <c:formatCode>General</c:formatCode>
                <c:ptCount val="34"/>
                <c:pt idx="0">
                  <c:v>39.725205924786323</c:v>
                </c:pt>
                <c:pt idx="1">
                  <c:v>41.882284606502218</c:v>
                </c:pt>
                <c:pt idx="2">
                  <c:v>44.156492660635287</c:v>
                </c:pt>
                <c:pt idx="3">
                  <c:v>46.554190212107784</c:v>
                </c:pt>
                <c:pt idx="4">
                  <c:v>49.082082740625239</c:v>
                </c:pt>
                <c:pt idx="5">
                  <c:v>51.747239833441192</c:v>
                </c:pt>
                <c:pt idx="6">
                  <c:v>54.557114956397051</c:v>
                </c:pt>
                <c:pt idx="7">
                  <c:v>57.519566298529412</c:v>
                </c:pt>
                <c:pt idx="8">
                  <c:v>60.642878748539559</c:v>
                </c:pt>
                <c:pt idx="9">
                  <c:v>63.935787064585256</c:v>
                </c:pt>
                <c:pt idx="10">
                  <c:v>67.407500302192233</c:v>
                </c:pt>
                <c:pt idx="11">
                  <c:v>71.067727568601271</c:v>
                </c:pt>
                <c:pt idx="12">
                  <c:v>74.926705175576316</c:v>
                </c:pt>
                <c:pt idx="13">
                  <c:v>78.995225266610106</c:v>
                </c:pt>
                <c:pt idx="14">
                  <c:v>83.28466599858703</c:v>
                </c:pt>
                <c:pt idx="15">
                  <c:v>87.807023362310304</c:v>
                </c:pt>
                <c:pt idx="16">
                  <c:v>92.574944730883757</c:v>
                </c:pt>
                <c:pt idx="17">
                  <c:v>97.601764229770751</c:v>
                </c:pt>
                <c:pt idx="18">
                  <c:v>102.90154002744731</c:v>
                </c:pt>
                <c:pt idx="19">
                  <c:v>108.4890936509377</c:v>
                </c:pt>
                <c:pt idx="20">
                  <c:v>114.38005143618362</c:v>
                </c:pt>
                <c:pt idx="21">
                  <c:v>120.5908882291684</c:v>
                </c:pt>
                <c:pt idx="22">
                  <c:v>127.13897346001224</c:v>
                </c:pt>
                <c:pt idx="23">
                  <c:v>134.0426197188909</c:v>
                </c:pt>
                <c:pt idx="24">
                  <c:v>141.32113396962669</c:v>
                </c:pt>
                <c:pt idx="25">
                  <c:v>148.99487154417741</c:v>
                </c:pt>
                <c:pt idx="26">
                  <c:v>157.08529306902625</c:v>
                </c:pt>
                <c:pt idx="27">
                  <c:v>165.61502448267439</c:v>
                </c:pt>
                <c:pt idx="28">
                  <c:v>174.60792031208359</c:v>
                </c:pt>
                <c:pt idx="29">
                  <c:v>184.08913038502973</c:v>
                </c:pt>
                <c:pt idx="30">
                  <c:v>194.08517016493684</c:v>
                </c:pt>
                <c:pt idx="31">
                  <c:v>204.62399490489292</c:v>
                </c:pt>
                <c:pt idx="32">
                  <c:v>215.73507782822861</c:v>
                </c:pt>
                <c:pt idx="33">
                  <c:v>227.44949255430143</c:v>
                </c:pt>
              </c:numCache>
            </c:numRef>
          </c:yVal>
          <c:smooth val="0"/>
          <c:extLst>
            <c:ext xmlns:c16="http://schemas.microsoft.com/office/drawing/2014/chart" uri="{C3380CC4-5D6E-409C-BE32-E72D297353CC}">
              <c16:uniqueId val="{00000001-E744-44A9-99D7-2FF090F82E99}"/>
            </c:ext>
          </c:extLst>
        </c:ser>
        <c:dLbls>
          <c:showLegendKey val="0"/>
          <c:showVal val="0"/>
          <c:showCatName val="0"/>
          <c:showSerName val="0"/>
          <c:showPercent val="0"/>
          <c:showBubbleSize val="0"/>
        </c:dLbls>
        <c:axId val="429900952"/>
        <c:axId val="429904888"/>
      </c:scatterChart>
      <c:valAx>
        <c:axId val="429900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04888"/>
        <c:crosses val="autoZero"/>
        <c:crossBetween val="midCat"/>
      </c:valAx>
      <c:valAx>
        <c:axId val="4299048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900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chart" Target="../charts/chart16.xml"/><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236220</xdr:colOff>
      <xdr:row>23</xdr:row>
      <xdr:rowOff>243840</xdr:rowOff>
    </xdr:from>
    <xdr:to>
      <xdr:col>5</xdr:col>
      <xdr:colOff>861060</xdr:colOff>
      <xdr:row>36</xdr:row>
      <xdr:rowOff>60960</xdr:rowOff>
    </xdr:to>
    <xdr:graphicFrame macro="">
      <xdr:nvGraphicFramePr>
        <xdr:cNvPr id="2" name="Chart 1">
          <a:extLst>
            <a:ext uri="{FF2B5EF4-FFF2-40B4-BE49-F238E27FC236}">
              <a16:creationId xmlns:a16="http://schemas.microsoft.com/office/drawing/2014/main" id="{325E9FC2-3E15-449E-B89E-52616FE05E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228600</xdr:colOff>
      <xdr:row>70</xdr:row>
      <xdr:rowOff>160020</xdr:rowOff>
    </xdr:from>
    <xdr:to>
      <xdr:col>4</xdr:col>
      <xdr:colOff>510540</xdr:colOff>
      <xdr:row>85</xdr:row>
      <xdr:rowOff>160020</xdr:rowOff>
    </xdr:to>
    <xdr:graphicFrame macro="">
      <xdr:nvGraphicFramePr>
        <xdr:cNvPr id="2" name="Chart 1">
          <a:extLst>
            <a:ext uri="{FF2B5EF4-FFF2-40B4-BE49-F238E27FC236}">
              <a16:creationId xmlns:a16="http://schemas.microsoft.com/office/drawing/2014/main" id="{309819C8-26A4-4073-9E50-0C1FA09121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70</xdr:row>
      <xdr:rowOff>45720</xdr:rowOff>
    </xdr:from>
    <xdr:to>
      <xdr:col>9</xdr:col>
      <xdr:colOff>152400</xdr:colOff>
      <xdr:row>85</xdr:row>
      <xdr:rowOff>45720</xdr:rowOff>
    </xdr:to>
    <xdr:graphicFrame macro="">
      <xdr:nvGraphicFramePr>
        <xdr:cNvPr id="3" name="Chart 2">
          <a:extLst>
            <a:ext uri="{FF2B5EF4-FFF2-40B4-BE49-F238E27FC236}">
              <a16:creationId xmlns:a16="http://schemas.microsoft.com/office/drawing/2014/main" id="{781BA895-E9F6-4D33-B247-53A3FD81F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217170</xdr:colOff>
      <xdr:row>70</xdr:row>
      <xdr:rowOff>83820</xdr:rowOff>
    </xdr:from>
    <xdr:to>
      <xdr:col>14</xdr:col>
      <xdr:colOff>594360</xdr:colOff>
      <xdr:row>85</xdr:row>
      <xdr:rowOff>83820</xdr:rowOff>
    </xdr:to>
    <xdr:graphicFrame macro="">
      <xdr:nvGraphicFramePr>
        <xdr:cNvPr id="4" name="Chart 3">
          <a:extLst>
            <a:ext uri="{FF2B5EF4-FFF2-40B4-BE49-F238E27FC236}">
              <a16:creationId xmlns:a16="http://schemas.microsoft.com/office/drawing/2014/main" id="{FF30235F-81A7-4257-895F-B962CC30C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156210</xdr:colOff>
      <xdr:row>70</xdr:row>
      <xdr:rowOff>129540</xdr:rowOff>
    </xdr:from>
    <xdr:to>
      <xdr:col>20</xdr:col>
      <xdr:colOff>745067</xdr:colOff>
      <xdr:row>85</xdr:row>
      <xdr:rowOff>50800</xdr:rowOff>
    </xdr:to>
    <xdr:graphicFrame macro="">
      <xdr:nvGraphicFramePr>
        <xdr:cNvPr id="6" name="Chart 5">
          <a:extLst>
            <a:ext uri="{FF2B5EF4-FFF2-40B4-BE49-F238E27FC236}">
              <a16:creationId xmlns:a16="http://schemas.microsoft.com/office/drawing/2014/main" id="{9823AAA7-7A42-4800-A50C-6E749F33D0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26670</xdr:colOff>
      <xdr:row>87</xdr:row>
      <xdr:rowOff>167640</xdr:rowOff>
    </xdr:from>
    <xdr:to>
      <xdr:col>20</xdr:col>
      <xdr:colOff>51403</xdr:colOff>
      <xdr:row>102</xdr:row>
      <xdr:rowOff>167640</xdr:rowOff>
    </xdr:to>
    <xdr:graphicFrame macro="">
      <xdr:nvGraphicFramePr>
        <xdr:cNvPr id="7" name="Chart 6">
          <a:extLst>
            <a:ext uri="{FF2B5EF4-FFF2-40B4-BE49-F238E27FC236}">
              <a16:creationId xmlns:a16="http://schemas.microsoft.com/office/drawing/2014/main" id="{E12E9E19-E7BC-4DD1-ABF4-52B168AFE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170804</xdr:colOff>
      <xdr:row>88</xdr:row>
      <xdr:rowOff>6329</xdr:rowOff>
    </xdr:from>
    <xdr:to>
      <xdr:col>24</xdr:col>
      <xdr:colOff>604756</xdr:colOff>
      <xdr:row>103</xdr:row>
      <xdr:rowOff>6328</xdr:rowOff>
    </xdr:to>
    <xdr:graphicFrame macro="">
      <xdr:nvGraphicFramePr>
        <xdr:cNvPr id="8" name="Chart 7">
          <a:extLst>
            <a:ext uri="{FF2B5EF4-FFF2-40B4-BE49-F238E27FC236}">
              <a16:creationId xmlns:a16="http://schemas.microsoft.com/office/drawing/2014/main" id="{5D853D4A-0F21-4ADD-AD1C-9BD81B476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21</xdr:col>
      <xdr:colOff>1271</xdr:colOff>
      <xdr:row>70</xdr:row>
      <xdr:rowOff>134620</xdr:rowOff>
    </xdr:from>
    <xdr:to>
      <xdr:col>26</xdr:col>
      <xdr:colOff>272204</xdr:colOff>
      <xdr:row>85</xdr:row>
      <xdr:rowOff>134620</xdr:rowOff>
    </xdr:to>
    <xdr:graphicFrame macro="">
      <xdr:nvGraphicFramePr>
        <xdr:cNvPr id="9" name="Chart 8">
          <a:extLst>
            <a:ext uri="{FF2B5EF4-FFF2-40B4-BE49-F238E27FC236}">
              <a16:creationId xmlns:a16="http://schemas.microsoft.com/office/drawing/2014/main" id="{F40D5F68-C62D-47A5-AB16-DA9EBC0E4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205746</xdr:colOff>
      <xdr:row>87</xdr:row>
      <xdr:rowOff>91440</xdr:rowOff>
    </xdr:from>
    <xdr:to>
      <xdr:col>4</xdr:col>
      <xdr:colOff>1181106</xdr:colOff>
      <xdr:row>102</xdr:row>
      <xdr:rowOff>91440</xdr:rowOff>
    </xdr:to>
    <xdr:graphicFrame macro="">
      <xdr:nvGraphicFramePr>
        <xdr:cNvPr id="10" name="Chart 9">
          <a:extLst>
            <a:ext uri="{FF2B5EF4-FFF2-40B4-BE49-F238E27FC236}">
              <a16:creationId xmlns:a16="http://schemas.microsoft.com/office/drawing/2014/main" id="{C9A346B1-1641-49CC-93A9-4547ADAA7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249555</xdr:colOff>
      <xdr:row>57</xdr:row>
      <xdr:rowOff>125730</xdr:rowOff>
    </xdr:from>
    <xdr:to>
      <xdr:col>42</xdr:col>
      <xdr:colOff>228600</xdr:colOff>
      <xdr:row>72</xdr:row>
      <xdr:rowOff>125730</xdr:rowOff>
    </xdr:to>
    <xdr:graphicFrame macro="">
      <xdr:nvGraphicFramePr>
        <xdr:cNvPr id="13" name="Chart 12">
          <a:extLst>
            <a:ext uri="{FF2B5EF4-FFF2-40B4-BE49-F238E27FC236}">
              <a16:creationId xmlns:a16="http://schemas.microsoft.com/office/drawing/2014/main" id="{7B81524C-6E83-4C61-B9EA-C9CB8D218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555366</xdr:colOff>
      <xdr:row>71</xdr:row>
      <xdr:rowOff>23247</xdr:rowOff>
    </xdr:from>
    <xdr:to>
      <xdr:col>32</xdr:col>
      <xdr:colOff>271231</xdr:colOff>
      <xdr:row>86</xdr:row>
      <xdr:rowOff>54244</xdr:rowOff>
    </xdr:to>
    <xdr:graphicFrame macro="">
      <xdr:nvGraphicFramePr>
        <xdr:cNvPr id="14" name="Chart 13">
          <a:extLst>
            <a:ext uri="{FF2B5EF4-FFF2-40B4-BE49-F238E27FC236}">
              <a16:creationId xmlns:a16="http://schemas.microsoft.com/office/drawing/2014/main" id="{1442EE47-3ED4-4C45-A1FC-AAD90DAB3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348711</xdr:colOff>
      <xdr:row>87</xdr:row>
      <xdr:rowOff>51660</xdr:rowOff>
    </xdr:from>
    <xdr:to>
      <xdr:col>32</xdr:col>
      <xdr:colOff>64576</xdr:colOff>
      <xdr:row>102</xdr:row>
      <xdr:rowOff>82657</xdr:rowOff>
    </xdr:to>
    <xdr:graphicFrame macro="">
      <xdr:nvGraphicFramePr>
        <xdr:cNvPr id="15" name="Chart 14">
          <a:extLst>
            <a:ext uri="{FF2B5EF4-FFF2-40B4-BE49-F238E27FC236}">
              <a16:creationId xmlns:a16="http://schemas.microsoft.com/office/drawing/2014/main" id="{B6086743-6863-4796-A52F-4A02B25D9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8568</xdr:colOff>
      <xdr:row>6</xdr:row>
      <xdr:rowOff>84498</xdr:rowOff>
    </xdr:from>
    <xdr:to>
      <xdr:col>22</xdr:col>
      <xdr:colOff>245649</xdr:colOff>
      <xdr:row>32</xdr:row>
      <xdr:rowOff>50240</xdr:rowOff>
    </xdr:to>
    <xdr:graphicFrame macro="">
      <xdr:nvGraphicFramePr>
        <xdr:cNvPr id="16" name="Chart 15">
          <a:extLst>
            <a:ext uri="{FF2B5EF4-FFF2-40B4-BE49-F238E27FC236}">
              <a16:creationId xmlns:a16="http://schemas.microsoft.com/office/drawing/2014/main" id="{B4400578-ABA6-49F2-927E-D5B2CBE927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278434</xdr:colOff>
      <xdr:row>40</xdr:row>
      <xdr:rowOff>91977</xdr:rowOff>
    </xdr:from>
    <xdr:to>
      <xdr:col>41</xdr:col>
      <xdr:colOff>591483</xdr:colOff>
      <xdr:row>55</xdr:row>
      <xdr:rowOff>130244</xdr:rowOff>
    </xdr:to>
    <xdr:graphicFrame macro="">
      <xdr:nvGraphicFramePr>
        <xdr:cNvPr id="17" name="Chart 16">
          <a:extLst>
            <a:ext uri="{FF2B5EF4-FFF2-40B4-BE49-F238E27FC236}">
              <a16:creationId xmlns:a16="http://schemas.microsoft.com/office/drawing/2014/main" id="{10000C17-9640-43EF-AE0D-5BBD84661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36</xdr:col>
      <xdr:colOff>212836</xdr:colOff>
      <xdr:row>106</xdr:row>
      <xdr:rowOff>160592</xdr:rowOff>
    </xdr:from>
    <xdr:to>
      <xdr:col>44</xdr:col>
      <xdr:colOff>250414</xdr:colOff>
      <xdr:row>121</xdr:row>
      <xdr:rowOff>160593</xdr:rowOff>
    </xdr:to>
    <xdr:graphicFrame macro="">
      <xdr:nvGraphicFramePr>
        <xdr:cNvPr id="5" name="Chart 4">
          <a:extLst>
            <a:ext uri="{FF2B5EF4-FFF2-40B4-BE49-F238E27FC236}">
              <a16:creationId xmlns:a16="http://schemas.microsoft.com/office/drawing/2014/main" id="{2D760D16-486B-4AD6-8D9C-A0E62F988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25</xdr:col>
      <xdr:colOff>283308</xdr:colOff>
      <xdr:row>130</xdr:row>
      <xdr:rowOff>74246</xdr:rowOff>
    </xdr:from>
    <xdr:to>
      <xdr:col>31</xdr:col>
      <xdr:colOff>352669</xdr:colOff>
      <xdr:row>151</xdr:row>
      <xdr:rowOff>48847</xdr:rowOff>
    </xdr:to>
    <xdr:graphicFrame macro="">
      <xdr:nvGraphicFramePr>
        <xdr:cNvPr id="11" name="Chart 10">
          <a:extLst>
            <a:ext uri="{FF2B5EF4-FFF2-40B4-BE49-F238E27FC236}">
              <a16:creationId xmlns:a16="http://schemas.microsoft.com/office/drawing/2014/main" id="{97EF07FB-CEA0-4BD0-B0AC-F66307A2C7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yter/Dropbox%20(MIT)/Group%20Research%20Folder_Olivetti/Displacement/00%20Simulation/05%20Data%20Compile/Woodmac%20-%20Karan/refinery_analysis_copper_lto_q2_201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AFRICA"/>
      <sheetName val="EUROPE"/>
      <sheetName val="ASIA"/>
      <sheetName val="LAMERICA"/>
      <sheetName val="MIDEAST"/>
      <sheetName val="NAMERICA"/>
      <sheetName val="OCEANIA"/>
      <sheetName val="RUSSIA_CASPIAN"/>
      <sheetName val="SECONDARY"/>
      <sheetName val="SUMMARYCAP"/>
      <sheetName val="AFRICACAP"/>
      <sheetName val="ASIACAP"/>
      <sheetName val="EUROPECAP"/>
      <sheetName val="LAMERICACAP"/>
      <sheetName val="MIDEASTCAP"/>
      <sheetName val="NAMERICACAP"/>
      <sheetName val="OCEANIACAP"/>
      <sheetName val="RUSSIA_CASPIANCAP"/>
      <sheetName val="PROJECTS"/>
    </sheetNames>
    <sheetDataSet>
      <sheetData sheetId="0" refreshError="1"/>
      <sheetData sheetId="1" refreshError="1"/>
      <sheetData sheetId="2" refreshError="1"/>
      <sheetData sheetId="3">
        <row r="103">
          <cell r="D103">
            <v>658.2</v>
          </cell>
          <cell r="E103">
            <v>728.39999999999986</v>
          </cell>
          <cell r="F103">
            <v>755.0329999999999</v>
          </cell>
          <cell r="G103">
            <v>1084.9420000000002</v>
          </cell>
          <cell r="H103">
            <v>1119.088</v>
          </cell>
          <cell r="I103">
            <v>1179.4179999999999</v>
          </cell>
          <cell r="J103">
            <v>1213.3469999999998</v>
          </cell>
          <cell r="K103">
            <v>1174.2539999999997</v>
          </cell>
          <cell r="L103">
            <v>1371.3059999999996</v>
          </cell>
          <cell r="M103">
            <v>1522.8170000000002</v>
          </cell>
          <cell r="N103">
            <v>1632.4709999999998</v>
          </cell>
          <cell r="O103">
            <v>1835.7250000000001</v>
          </cell>
          <cell r="P103">
            <v>2198.6870000000004</v>
          </cell>
          <cell r="Q103">
            <v>2600.4279999999999</v>
          </cell>
          <cell r="R103">
            <v>3002.9429999999998</v>
          </cell>
          <cell r="S103">
            <v>3518.7180000000008</v>
          </cell>
          <cell r="T103">
            <v>3794.5370000000003</v>
          </cell>
          <cell r="U103">
            <v>4107.3530000000001</v>
          </cell>
          <cell r="V103">
            <v>4535.0949999999993</v>
          </cell>
          <cell r="W103">
            <v>5207.5479999999989</v>
          </cell>
          <cell r="X103">
            <v>5827.8749999999991</v>
          </cell>
          <cell r="Y103">
            <v>6329.9949999999999</v>
          </cell>
          <cell r="Z103">
            <v>6880.0770000000002</v>
          </cell>
          <cell r="AA103">
            <v>6985.8940000000011</v>
          </cell>
          <cell r="AB103">
            <v>8099</v>
          </cell>
          <cell r="AC103">
            <v>9157</v>
          </cell>
          <cell r="AD103">
            <v>9735</v>
          </cell>
          <cell r="AE103">
            <v>10114</v>
          </cell>
          <cell r="AF103">
            <v>10414</v>
          </cell>
          <cell r="AG103">
            <v>10554</v>
          </cell>
          <cell r="AH103">
            <v>10674</v>
          </cell>
          <cell r="AI103">
            <v>10774</v>
          </cell>
          <cell r="AJ103">
            <v>10774</v>
          </cell>
          <cell r="AK103">
            <v>10774</v>
          </cell>
          <cell r="AL103">
            <v>10774</v>
          </cell>
          <cell r="AM103">
            <v>10774</v>
          </cell>
          <cell r="AN103">
            <v>10774</v>
          </cell>
          <cell r="AO103">
            <v>10774</v>
          </cell>
          <cell r="AP103">
            <v>10774</v>
          </cell>
          <cell r="AQ103">
            <v>10774</v>
          </cell>
          <cell r="AR103">
            <v>10774</v>
          </cell>
          <cell r="AS103">
            <v>10774</v>
          </cell>
          <cell r="AT103">
            <v>10774</v>
          </cell>
          <cell r="AU103">
            <v>10744</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9342C0-B648-41D4-8BD6-BED0795DD746}" name="Table1" displayName="Table1" ref="A1:X70" totalsRowShown="0">
  <autoFilter ref="A1:X70" xr:uid="{C023B567-4F81-4CEF-AA78-69B6558623B8}"/>
  <tableColumns count="24">
    <tableColumn id="1" xr3:uid="{0DD3FBFA-6E00-4A4C-A4AB-A931955A9F28}" name="Column1" dataDxfId="16"/>
    <tableColumn id="2" xr3:uid="{AE468C0E-4244-4257-AB11-231F16407961}" name="Total mining production">
      <calculatedColumnFormula>Table1[[#This Row],[Concentrate production]]+Table1[[#This Row],[SX-EW production]]</calculatedColumnFormula>
    </tableColumn>
    <tableColumn id="3" xr3:uid="{416AE6FD-C4DD-42B0-BC77-DBFE240E8AE8}" name="Concentrate production">
      <calculatedColumnFormula>B2*Selected!C2/Selected!B2</calculatedColumnFormula>
    </tableColumn>
    <tableColumn id="4" xr3:uid="{73232396-3595-4D68-9B7C-FDCFE83E10AC}" name="SX-EW production">
      <calculatedColumnFormula>B2-C2</calculatedColumnFormula>
    </tableColumn>
    <tableColumn id="5" xr3:uid="{C6739F85-8EF4-449E-AA49-91F994CAE5ED}" name="Total smelting production"/>
    <tableColumn id="6" xr3:uid="{0F00CC87-6A68-42CA-AE27-79A3650180D0}" name="Primary smelting production"/>
    <tableColumn id="7" xr3:uid="{047DDBE2-5C97-480F-A375-9934D3CF3CED}" name="Secondary smelting production"/>
    <tableColumn id="8" xr3:uid="{95AC99E6-11DE-404B-8C55-E5A6CF4184C1}" name="Primary refining production" dataDxfId="15">
      <calculatedColumnFormula>Table1[[#This Row],[Refined production, WoodMac]]*Selected!H2/Selected!J2</calculatedColumnFormula>
    </tableColumn>
    <tableColumn id="9" xr3:uid="{0ADD808E-53B7-4A42-A663-F8FD05F3EFC3}" name="Secondary refining production" dataDxfId="14">
      <calculatedColumnFormula>Table1[[#This Row],[Refined production, WoodMac]]-Table1[[#This Row],[Primary refining production]]</calculatedColumnFormula>
    </tableColumn>
    <tableColumn id="10" xr3:uid="{EB73CF4E-1AE1-4603-879B-2BB8F7098847}" name="Refined production, WoodMac"/>
    <tableColumn id="11" xr3:uid="{13F6625D-45F7-495C-9A55-F4A1E098F47B}" name="Net Refined Imports" dataDxfId="13">
      <calculatedColumnFormula>(Table1[[#This Row],[Refined usage]]+Table1[[#This Row],[Direct melt]])-(Table1[[#This Row],[Refined production, WoodMac]])</calculatedColumnFormula>
    </tableColumn>
    <tableColumn id="12" xr3:uid="{4600EF94-6F68-4AD0-956E-77EC1BB9D1B8}" name="Refined usage"/>
    <tableColumn id="63" xr3:uid="{D66322F0-8ACD-45DB-939F-D85F200287FD}" name="Refined demand minus supply" dataDxfId="12" dataCellStyle="Normal 3">
      <calculatedColumnFormula>Table1[[#This Row],[Refined usage]]-Table1[[#This Row],[Refined production, WoodMac]]</calculatedColumnFormula>
    </tableColumn>
    <tableColumn id="13" xr3:uid="{106F8D4C-AA14-43B9-872E-FEDEA92341A0}" name="Direct melt" dataDxfId="11" dataCellStyle="Normal 3"/>
    <tableColumn id="14" xr3:uid="{5BBA092E-24DA-4FC9-8BB9-C55FC0A67B9C}" name="Refined Imports, WoodMac" dataDxfId="10">
      <calculatedColumnFormula>Table1[[#This Row],[Concentrate production]]/C1</calculatedColumnFormula>
    </tableColumn>
    <tableColumn id="54" xr3:uid="{C67E7327-7AA4-465F-A951-F8DF649E1AB9}" name="Refined Exports, WoodMac"/>
    <tableColumn id="55" xr3:uid="{7380F05D-A008-4D05-BEC2-D44D00FE5BD1}" name="Unalloyed Semis Production" dataDxfId="9"/>
    <tableColumn id="57" xr3:uid="{022854CB-00C0-4DE7-B57E-A68F44657168}" name="Alloyed Semis Production (gross weight)"/>
    <tableColumn id="58" xr3:uid="{6AEB9D9A-68AD-4EA6-B0FE-4FBFABD6660E}" name="Total Semis Production"/>
    <tableColumn id="60" xr3:uid="{8B076E27-13CB-4E25-8879-283E5F621307}" name="Column2" dataDxfId="8"/>
    <tableColumn id="56" xr3:uid="{C1403579-C81D-4C1B-B080-7A226D3FA40F}" name="Scrap Imports, ICSG (gross weight)"/>
    <tableColumn id="61" xr3:uid="{240342A1-6C7B-49A9-8DD4-09217775D298}" name="Scrap Imports, SMM" dataDxfId="7"/>
    <tableColumn id="59" xr3:uid="{76C0F713-7E99-4841-80E7-B301C4DE1535}" name="Ore and Concentrate Imports (Cu weight)"/>
    <tableColumn id="62" xr3:uid="{B09602AD-CFC1-42B3-8524-177C90F96289}" name="Copper Scrap Imports, COMTRADE (kt)"/>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CCE83A-599D-462A-82D1-AD5343A1939C}" name="Table3" displayName="Table3" ref="Y1:AF70" totalsRowShown="0">
  <autoFilter ref="Y1:AF70" xr:uid="{795D3786-506A-4D70-AC04-4742FB21C0D4}"/>
  <tableColumns count="8">
    <tableColumn id="1" xr3:uid="{59E3B2DB-87E3-479C-AD97-1773B84B0E53}" name="Scrap Grade"/>
    <tableColumn id="2" xr3:uid="{ED29A240-0DAE-4FD1-B43A-E1F020167AE1}" name="Concentrate Imports gross weight" dataDxfId="6"/>
    <tableColumn id="3" xr3:uid="{D5519E6F-6921-42A1-B31A-220EAC898DC4}" name="Concentrate imports (kt)"/>
    <tableColumn id="4" xr3:uid="{C2BBBD00-334C-4E2A-9DAA-9F06C8B6255B}" name="Primary refinery production, SMM"/>
    <tableColumn id="5" xr3:uid="{C6BF150D-DF05-4768-8DB2-EDBBFFFD3E82}" name="Secondary refinery production, SMM"/>
    <tableColumn id="6" xr3:uid="{73B086D8-FEC5-4277-8AB0-C64BF04F496B}" name="Refinery production, SMM"/>
    <tableColumn id="7" xr3:uid="{EDC75A4E-370C-42B4-81EC-B3F12418CA11}" name="Semis Imports (COMTRADE, kt)"/>
    <tableColumn id="8" xr3:uid="{6266A219-E1E2-4E4A-AC43-09EE4585BD3D}" name="Nonscrap nonrefined imports (COMTRADE, k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1D5C54-7F09-4247-93A3-70B7CF9B0EAC}" name="Table2" displayName="Table2" ref="A1:PT251" totalsRowShown="0">
  <autoFilter ref="A1:PT251" xr:uid="{D258E0C4-7663-4604-A0F1-11D7FC24FA8F}"/>
  <tableColumns count="436">
    <tableColumn id="1" xr3:uid="{D23BF8EE-3854-42D0-9989-89150DAE752A}" name="Year"/>
    <tableColumn id="2" xr3:uid="{F17CF485-0045-4CFB-A137-146E5F71B722}" name="Primary Smelting"/>
    <tableColumn id="3" xr3:uid="{EB76485E-3475-43CD-91F8-B07A542752CC}" name="Secondary Smelting"/>
    <tableColumn id="4" xr3:uid="{BB7617AA-A168-43CE-A5FA-45D6D06AC8F5}" name="Total China Smelting"/>
    <tableColumn id="5" xr3:uid="{8600282C-F863-4ABD-9415-D11AB2A92899}" name="Total for Asia"/>
    <tableColumn id="6" xr3:uid="{FE30B4E3-5B41-4D12-91A6-75ABAD1CAF36}" name="China Fraction of Asia"/>
    <tableColumn id="7" xr3:uid="{5EE26137-6FE1-45E8-A561-9121C6CDCF28}" name="Primary Fraction"/>
    <tableColumn id="8" xr3:uid="{96F8EDC4-DBD1-4106-8FAA-141595DA9AB2}" name="total smelting:concentrate production"/>
    <tableColumn id="9" xr3:uid="{C47D5362-FCDA-47B5-B4B1-6EBAF950C049}" name=" "/>
    <tableColumn id="10" xr3:uid="{FB58748D-6EF3-4238-92B8-8C2034CA31AC}" name="Year2"/>
    <tableColumn id="11" xr3:uid="{2923A575-5637-49FF-BCFD-8027804F4EFF}" name="Total"/>
    <tableColumn id="12" xr3:uid="{A1AD1FB3-02E7-4657-93CE-1DBE089B3DFF}" name="Primary"/>
    <tableColumn id="13" xr3:uid="{3440E7A9-A370-4857-8CAE-E052AD311E7E}" name="Secondary"/>
    <tableColumn id="14" xr3:uid="{9B0AA437-085C-4092-9154-D7E8B883A33A}" name="Global Total"/>
    <tableColumn id="15" xr3:uid="{3656C7C6-654D-4FF0-9CA1-8E8A1D453093}" name="Global Primary"/>
    <tableColumn id="16" xr3:uid="{C89955F6-3244-4955-95F8-5B482B9D5801}" name="Global Secondary"/>
    <tableColumn id="17" xr3:uid="{8D68803A-45A0-456F-85CA-7AD2842764CE}" name="Ch:G Total" dataDxfId="5">
      <calculatedColumnFormula>Table2[[#This Row],[Total]]/Table2[[#This Row],[Global Total]]</calculatedColumnFormula>
    </tableColumn>
    <tableColumn id="18" xr3:uid="{2A9B96F4-2629-499A-8CD0-4CD7CE6FB6F0}" name="Ch:G Pri" dataDxfId="4">
      <calculatedColumnFormula>Table2[[#This Row],[Primary]]/Table2[[#This Row],[Global Primary]]</calculatedColumnFormula>
    </tableColumn>
    <tableColumn id="19" xr3:uid="{FAA6F871-61F1-43BD-8BCE-C244B92F9655}" name="Ch:G Sec" dataDxfId="3">
      <calculatedColumnFormula>Table2[[#This Row],[Secondary]]/Table2[[#This Row],[Global Secondary]]</calculatedColumnFormula>
    </tableColumn>
    <tableColumn id="20" xr3:uid="{DEE2D63A-9D87-496A-B280-D2C723FDF881}" name="Asia Refined"/>
    <tableColumn id="21" xr3:uid="{2B905965-38E3-47D6-9D38-66B3B96D8A2A}" name="Asia Fraction" dataDxfId="2">
      <calculatedColumnFormula>Table2[[#This Row],[Asia Refined]]/Table2[[#This Row],[Global Total]]</calculatedColumnFormula>
    </tableColumn>
    <tableColumn id="22" xr3:uid="{CB77C8D8-73A8-4A32-93C2-7BEE2FA2EAE4}" name="Ch:Asia Fraction" dataDxfId="1">
      <calculatedColumnFormula>Table2[[#This Row],[Total]]/Table2[[#This Row],[Asia Refined]]</calculatedColumnFormula>
    </tableColumn>
    <tableColumn id="23" xr3:uid="{771F816C-C3D5-4D07-AABE-E5FF023CF2BF}" name="Ch Pri Fraction" dataDxfId="0">
      <calculatedColumnFormula>Table2[[#This Row],[Asia Fraction]]-Table2[[#This Row],[Ch:Asia Fraction]]</calculatedColumnFormula>
    </tableColumn>
    <tableColumn id="24" xr3:uid="{2B7A265E-E0E4-4F1F-8818-8A89667A47FA}" name="Column10"/>
    <tableColumn id="25" xr3:uid="{51F2B41E-FC74-49ED-8E98-92693F6BBE3D}" name="Column11"/>
    <tableColumn id="26" xr3:uid="{B951365D-3E6F-4458-9551-C87D4C6486B2}" name="Column12"/>
    <tableColumn id="27" xr3:uid="{9986EEA5-8090-42B5-9D77-C248C9B22842}" name="Column13"/>
    <tableColumn id="28" xr3:uid="{35CAAE92-F25C-4E02-900E-5AED52A7EEED}" name="Column14"/>
    <tableColumn id="29" xr3:uid="{D85E65E3-C1B7-42E2-B452-108D8DB5C30B}" name="Column15"/>
    <tableColumn id="30" xr3:uid="{53B4CB1A-0FBA-4833-9D0A-73C30E5FD6E6}" name="Column16"/>
    <tableColumn id="31" xr3:uid="{4F9E6F74-AE49-42F5-8B26-9CFFDE6777EA}" name="Column17"/>
    <tableColumn id="32" xr3:uid="{472E26AB-41D1-4426-95D0-3BA924E9B589}" name="Column18"/>
    <tableColumn id="33" xr3:uid="{A9E55733-D4CC-4605-B1D7-16D6BD5011E5}" name="Column19"/>
    <tableColumn id="34" xr3:uid="{FC512F35-8234-4E47-8125-993B40895273}" name="Column20"/>
    <tableColumn id="35" xr3:uid="{82B5B277-FF0B-4AD6-B2DE-4A37B0314A6C}" name="Column21"/>
    <tableColumn id="36" xr3:uid="{DA57D551-5576-4618-BDF6-DC4B233A8396}" name="Column22"/>
    <tableColumn id="37" xr3:uid="{F262A6D2-6CD6-4D75-A4DA-244614911874}" name="Column23"/>
    <tableColumn id="38" xr3:uid="{14D28CD8-92A5-4027-A649-27AC7F582C42}" name="Column24"/>
    <tableColumn id="39" xr3:uid="{40B8DED7-A7DF-4717-8BB3-ECA651415534}" name="Column25"/>
    <tableColumn id="40" xr3:uid="{CB06E4A9-AC7F-4086-8343-A071AE334D34}" name="Column26"/>
    <tableColumn id="41" xr3:uid="{E5D35598-35EB-406B-81A9-D3100234A7A1}" name="Column27"/>
    <tableColumn id="42" xr3:uid="{85C6762C-C345-4D50-A0D1-F26A672F2474}" name="Column28"/>
    <tableColumn id="43" xr3:uid="{CD073715-5846-488F-9AC3-0A0ECF7980D0}" name="Column29"/>
    <tableColumn id="44" xr3:uid="{266B5626-02BA-4430-B062-87D6FAE1823A}" name="Column30"/>
    <tableColumn id="45" xr3:uid="{CE6C5362-BFBC-4799-93E9-DAFA25862D1C}" name="Column31"/>
    <tableColumn id="46" xr3:uid="{17719870-F2D0-46B6-8018-04E2884DD3B6}" name="Column32"/>
    <tableColumn id="47" xr3:uid="{0C43B79D-AA5F-41A9-BFA4-F296064C07A9}" name="Column33"/>
    <tableColumn id="48" xr3:uid="{DAC12C25-9C1B-4A40-8DB1-21B64ACF78FF}" name="Column34"/>
    <tableColumn id="49" xr3:uid="{FDDF2DC1-C401-440E-97A8-EC24874D092E}" name="Column35"/>
    <tableColumn id="50" xr3:uid="{B93B0BD0-7064-4855-A1E2-02D7C09AE95D}" name="Column36"/>
    <tableColumn id="51" xr3:uid="{4BB1676A-6F12-4007-9235-09986535D703}" name="Column37"/>
    <tableColumn id="52" xr3:uid="{3513F7B1-DF73-4CAC-91F5-F866E06C1BCB}" name="Column38"/>
    <tableColumn id="53" xr3:uid="{DC36016A-77FE-4B8B-B696-812867E2A000}" name="Column39"/>
    <tableColumn id="54" xr3:uid="{929169ED-B94D-4F56-B495-7AB3AC83A688}" name="Column40"/>
    <tableColumn id="55" xr3:uid="{D0D41E94-0B85-4D84-BA4C-1D0E9269C92A}" name="Column41"/>
    <tableColumn id="56" xr3:uid="{FE9ACA45-3E17-4F4B-BECB-6E1F69342A70}" name="Column42"/>
    <tableColumn id="57" xr3:uid="{47A8BF81-215A-46E6-BA33-C229D023EF21}" name="Column43"/>
    <tableColumn id="58" xr3:uid="{47645822-9B33-46FC-A103-D62671DFD8AA}" name="Column44"/>
    <tableColumn id="59" xr3:uid="{F29126CD-4413-4D6B-B95D-2F002C754CB0}" name="Column45"/>
    <tableColumn id="60" xr3:uid="{CD9B1E70-CB8C-4B23-8258-886B9F9FC0E0}" name="Column46"/>
    <tableColumn id="61" xr3:uid="{B6A2F1B3-0FCB-469F-B876-A7E2354B9ED0}" name="Column47"/>
    <tableColumn id="62" xr3:uid="{56150C6E-5EB2-4FB2-8EB5-54FBF1524F76}" name="Column48"/>
    <tableColumn id="63" xr3:uid="{78320612-438B-4BBC-8FDB-DBBD830BF1E8}" name="Column49"/>
    <tableColumn id="64" xr3:uid="{7641DD0C-F3F6-484A-B407-165B740CE091}" name="Column50"/>
    <tableColumn id="65" xr3:uid="{48F61E5E-76BF-4D7F-BBBE-AB38C0DA1303}" name="Column51"/>
    <tableColumn id="66" xr3:uid="{51C4C9FF-E9A7-4C47-AF51-271EB72C1BAC}" name="Column52"/>
    <tableColumn id="67" xr3:uid="{1BAC5CB6-A5D2-437F-B28E-37C9C6262FB0}" name="Column53"/>
    <tableColumn id="68" xr3:uid="{054024CF-4491-47EC-87DF-04A7363BE286}" name="Column54"/>
    <tableColumn id="69" xr3:uid="{F92AC6B5-CC60-4E0B-9340-6BBFBCA74E63}" name="Column55"/>
    <tableColumn id="70" xr3:uid="{C9871545-E4CE-42BE-952E-D8EF8F4A0A75}" name="Column56"/>
    <tableColumn id="71" xr3:uid="{BD5F5680-B4A0-46A1-99AD-1450CE7DA06E}" name="Column57"/>
    <tableColumn id="72" xr3:uid="{3814781F-DE52-45FF-9D7B-BEDE729DC833}" name="Column58"/>
    <tableColumn id="73" xr3:uid="{D4C6F015-05BF-4344-A929-480FEE23D609}" name="Column59"/>
    <tableColumn id="74" xr3:uid="{6F3C401F-6EF5-4660-8767-CD5E3A17D6FB}" name="Column60"/>
    <tableColumn id="75" xr3:uid="{B71E7AE8-B89C-4A15-9ACA-47F63472AC49}" name="Column61"/>
    <tableColumn id="76" xr3:uid="{E5F498EB-7B74-4823-ACFC-96B432597F75}" name="Column62"/>
    <tableColumn id="77" xr3:uid="{BE426519-EAD6-428D-B489-04E7FA9A3AD2}" name="Column63"/>
    <tableColumn id="78" xr3:uid="{94C7A40C-865C-44F2-9CE9-D921D9A9DF34}" name="Column64"/>
    <tableColumn id="79" xr3:uid="{4A15F031-3BC4-4CF7-96C7-AFEFB4B248B9}" name="Column65"/>
    <tableColumn id="80" xr3:uid="{4B43BD92-8927-4B83-B57B-FA2C15583205}" name="Column66"/>
    <tableColumn id="81" xr3:uid="{9D079567-879B-4546-A9AF-F0785D88F164}" name="Column67"/>
    <tableColumn id="82" xr3:uid="{629C4198-BEC5-4349-A2D1-4D79D6744257}" name="Column68"/>
    <tableColumn id="83" xr3:uid="{B381D828-7495-4DDD-94D0-E9694A86C89F}" name="Column69"/>
    <tableColumn id="84" xr3:uid="{4E3BB255-32AE-44EB-B00A-6140138ED975}" name="Column70"/>
    <tableColumn id="85" xr3:uid="{54DF9FA5-C6D9-4AEA-B601-45611045AC51}" name="Column71"/>
    <tableColumn id="86" xr3:uid="{EF4BEE30-3F7B-40C0-8637-47559A5DF164}" name="Column72"/>
    <tableColumn id="87" xr3:uid="{C6B670EB-61BF-47E5-A53E-EF2385C6AF3B}" name="Column73"/>
    <tableColumn id="88" xr3:uid="{DC189327-D6C5-454D-9AFA-074A50903934}" name="Column74"/>
    <tableColumn id="89" xr3:uid="{255EC8E8-D896-49BA-BEB2-52F53B2DB507}" name="Column75"/>
    <tableColumn id="90" xr3:uid="{EAF4E168-8DF9-43DB-AC8E-2E6E28B6CD4A}" name="Column76"/>
    <tableColumn id="91" xr3:uid="{ECAC1217-2C97-48C7-9AA0-694BBB84A86F}" name="Column77"/>
    <tableColumn id="92" xr3:uid="{BC1C6B14-2EC6-4519-AD06-43142A5E175F}" name="Column78"/>
    <tableColumn id="93" xr3:uid="{2FA95A25-1004-442B-8EF7-5C8264B07CD3}" name="Column79"/>
    <tableColumn id="94" xr3:uid="{0CBA6AE1-8ECE-48C7-8D50-F0B32C0636A3}" name="Column80"/>
    <tableColumn id="95" xr3:uid="{2F1D3628-927C-4D5E-9D4E-C1009E06F750}" name="Column81"/>
    <tableColumn id="96" xr3:uid="{5C08DA4B-E06C-4002-829D-53D8FB895C7B}" name="Column82"/>
    <tableColumn id="97" xr3:uid="{A5718F8E-2A7B-4EAA-BCC2-C578EFF0823C}" name="Column83"/>
    <tableColumn id="98" xr3:uid="{48EC7227-7DF6-4AC4-A908-654580FD8E3C}" name="Column84"/>
    <tableColumn id="99" xr3:uid="{8DBF6B4A-35CE-489C-AC35-C52C7203231E}" name="Column85"/>
    <tableColumn id="100" xr3:uid="{8BDEE7E4-D117-4A2C-8FA2-1850BAC3442A}" name="Column86"/>
    <tableColumn id="101" xr3:uid="{82C810A6-5E8E-48F9-8ED4-EC57DF5B7D87}" name="Column87"/>
    <tableColumn id="102" xr3:uid="{51102A25-19A7-4854-9263-C5238DF2E26B}" name="Column88"/>
    <tableColumn id="103" xr3:uid="{66BD3E4C-B3C3-49D0-85E4-CE216672DB82}" name="Column89"/>
    <tableColumn id="104" xr3:uid="{AEA739A8-C689-4520-8570-05188A738ADC}" name="Column90"/>
    <tableColumn id="105" xr3:uid="{B01DC30B-7617-4B9B-91E8-1EBA4576F65D}" name="Column91"/>
    <tableColumn id="106" xr3:uid="{841C9768-C602-4634-9F85-46AB79F94DBD}" name="Column92"/>
    <tableColumn id="107" xr3:uid="{60B15438-B4F9-43A9-9B8D-E9803CE33EA0}" name="Column93"/>
    <tableColumn id="108" xr3:uid="{25B31287-6520-4E9F-A554-55E6C0F072B2}" name="Column94"/>
    <tableColumn id="109" xr3:uid="{B50D8924-C1C1-477F-BFA8-C7013B12C7CA}" name="Column95"/>
    <tableColumn id="110" xr3:uid="{7DBE0DD2-2D41-4CB6-9CF9-95B81FFC5B8A}" name="Column96"/>
    <tableColumn id="111" xr3:uid="{782B147F-63A4-4794-98C9-AC38AF8C2B77}" name="Column97"/>
    <tableColumn id="112" xr3:uid="{7ACAA028-B4C1-495C-B6EA-7CFE2266C4F4}" name="Column98"/>
    <tableColumn id="113" xr3:uid="{8201B906-7E86-4FA7-93EC-EB404B780846}" name="Column99"/>
    <tableColumn id="114" xr3:uid="{25837DC1-18AA-4732-8C30-D6E60585E4D5}" name="Column100"/>
    <tableColumn id="115" xr3:uid="{F4933FB7-04CE-48CB-B283-9BAEEAEC0696}" name="Column101"/>
    <tableColumn id="116" xr3:uid="{E4BC397B-95F6-43A7-95EC-101E52613884}" name="Column102"/>
    <tableColumn id="117" xr3:uid="{AB98E03D-B725-4976-96F4-CEBBCA298913}" name="Column103"/>
    <tableColumn id="118" xr3:uid="{4A91F74C-219F-4057-B611-FD695CDC6A3D}" name="Column104"/>
    <tableColumn id="119" xr3:uid="{3FD037C3-A6D5-4DEE-AB2A-B1D0189CB1BC}" name="Column105"/>
    <tableColumn id="120" xr3:uid="{5D087215-ADC8-4640-A6F8-61152D05BB51}" name="Column106"/>
    <tableColumn id="121" xr3:uid="{1C506311-C5EE-4942-9196-B26F86468D85}" name="Column107"/>
    <tableColumn id="122" xr3:uid="{0205FCC4-893B-42DE-8516-B307C3CF38B7}" name="Column108"/>
    <tableColumn id="123" xr3:uid="{3DE180D9-F5DC-448D-91D0-7C2889DEFA4A}" name="Column109"/>
    <tableColumn id="124" xr3:uid="{242613E0-4307-42BA-8FAB-2326DDE006CE}" name="Column110"/>
    <tableColumn id="125" xr3:uid="{29969627-FE72-4DAB-9E2C-BFBA4F7CA673}" name="Column111"/>
    <tableColumn id="126" xr3:uid="{B97D21F0-586E-43D0-81FD-BD8F2397370B}" name="Column112"/>
    <tableColumn id="127" xr3:uid="{3218D004-4767-46C5-85D2-8980FDA473D5}" name="Column113"/>
    <tableColumn id="128" xr3:uid="{FD172310-555A-4C91-8AF8-D210270C1947}" name="Column114"/>
    <tableColumn id="129" xr3:uid="{1D37392B-66C8-4292-A382-42207544CFCB}" name="Column115"/>
    <tableColumn id="130" xr3:uid="{996E52FA-47D0-4039-9A88-5BF74CFBC16E}" name="Column116"/>
    <tableColumn id="131" xr3:uid="{BB20EACC-CE14-44E8-9507-5254F15944D7}" name="Column117"/>
    <tableColumn id="132" xr3:uid="{74B4FF53-16E0-4F94-9ED2-3A830A53EB60}" name="Column118"/>
    <tableColumn id="133" xr3:uid="{212BFCE0-EA78-4CC5-86A0-CDEA5C45898F}" name="Column119"/>
    <tableColumn id="134" xr3:uid="{1373E865-7A40-4252-A5CA-E27043FDABC4}" name="Column120"/>
    <tableColumn id="135" xr3:uid="{E829BDAF-5E7E-4935-8E57-5A27589248D2}" name="Column121"/>
    <tableColumn id="136" xr3:uid="{76E5E348-428F-4B8A-A8CF-9EF512AADFA3}" name="Column122"/>
    <tableColumn id="137" xr3:uid="{28DFE50C-DBB6-4544-BBCB-6304819C82F3}" name="Column123"/>
    <tableColumn id="138" xr3:uid="{509F079B-4D40-475C-9E57-CE8C7EBCD3C9}" name="Column124"/>
    <tableColumn id="139" xr3:uid="{C96DB454-22F0-4A32-8434-B53861FB2C29}" name="Column125"/>
    <tableColumn id="140" xr3:uid="{EE821843-F684-4A7E-BA87-864C66796DEB}" name="Column126"/>
    <tableColumn id="141" xr3:uid="{DD594FEF-F10F-411E-B153-3C9ED38E6C60}" name="Column127"/>
    <tableColumn id="142" xr3:uid="{16062C95-B156-4FB6-8EE4-121748DD2F9A}" name="Column128"/>
    <tableColumn id="143" xr3:uid="{5076A9DE-4E8E-4530-B419-05C7344E73D4}" name="Column129"/>
    <tableColumn id="144" xr3:uid="{96DF5FD7-047E-4CFB-9D07-432DAA944F4E}" name="Column130"/>
    <tableColumn id="145" xr3:uid="{3E3BEBF5-291E-4A56-852E-605DA461FF04}" name="Column131"/>
    <tableColumn id="146" xr3:uid="{031040B5-576C-4140-9261-6D682BA4FFA3}" name="Column132"/>
    <tableColumn id="147" xr3:uid="{89C24719-3883-4F9E-8375-0127EDA54511}" name="Column133"/>
    <tableColumn id="148" xr3:uid="{87D9098C-D8F1-4CAE-8E1D-3A29266ED73A}" name="Column134"/>
    <tableColumn id="149" xr3:uid="{9253D4A8-1B78-4024-AD20-4948860555C7}" name="Column135"/>
    <tableColumn id="150" xr3:uid="{33BACB99-955A-4661-8743-47F0FAF85B16}" name="Column136"/>
    <tableColumn id="151" xr3:uid="{807A0691-092E-4037-BBAC-E34CE7B8401B}" name="Column137"/>
    <tableColumn id="152" xr3:uid="{EA6DE794-31B6-4B2A-890D-CE1C0BBD147A}" name="Column138"/>
    <tableColumn id="153" xr3:uid="{11278A4A-A7EC-4352-813E-A799FCFA148B}" name="Column139"/>
    <tableColumn id="154" xr3:uid="{7A315B45-D42E-4007-BA02-060149371A82}" name="Column140"/>
    <tableColumn id="155" xr3:uid="{4EB6C523-E4E6-4D82-8E4C-F6FC20776FC0}" name="Column141"/>
    <tableColumn id="156" xr3:uid="{D9605987-0C5D-4E95-B811-4A273CD5BB62}" name="Column142"/>
    <tableColumn id="157" xr3:uid="{461253AE-4C02-4AE8-9930-473D52D1B71E}" name="Column143"/>
    <tableColumn id="158" xr3:uid="{6FD20039-FE88-411C-85F1-C4ECBA2736C5}" name="Column144"/>
    <tableColumn id="159" xr3:uid="{70F5BD65-13CD-422F-A642-FB6150A1B179}" name="Column145"/>
    <tableColumn id="160" xr3:uid="{1D669D5D-44AB-4847-8248-6B080D99945D}" name="Column146"/>
    <tableColumn id="161" xr3:uid="{0EC592AC-DBF4-45B6-A8AE-471C354FB933}" name="Column147"/>
    <tableColumn id="162" xr3:uid="{5ACDBD9F-26EB-4FEB-983E-B735E6C834E2}" name="Column148"/>
    <tableColumn id="163" xr3:uid="{DE69C3A3-7B9E-4722-95FA-01E43AA2A81C}" name="Column149"/>
    <tableColumn id="164" xr3:uid="{8F0CD8F2-46E5-4BCC-8834-3A6B16F06B36}" name="Column150"/>
    <tableColumn id="165" xr3:uid="{6FA026D1-44D9-47E4-8793-BC736677CD72}" name="Column151"/>
    <tableColumn id="166" xr3:uid="{28833F75-7998-4B72-B047-31590AAB1231}" name="Column152"/>
    <tableColumn id="167" xr3:uid="{12FD2F62-9F0B-441D-87E3-45405D9BBDA9}" name="Column153"/>
    <tableColumn id="168" xr3:uid="{D69EC7F2-10F3-4D5B-AE7B-59F5DEDB3290}" name="Column154"/>
    <tableColumn id="169" xr3:uid="{4DA7C153-23E9-4F46-9BC6-78681A69117E}" name="Column155"/>
    <tableColumn id="170" xr3:uid="{F789BED0-75D6-484A-A79F-7209D9DDFED0}" name="Column156"/>
    <tableColumn id="171" xr3:uid="{C90EF576-EF3B-4051-A516-9389929A7AEA}" name="Column157"/>
    <tableColumn id="172" xr3:uid="{4AA04907-2FEC-4F58-92A0-316BE964DD6B}" name="Column158"/>
    <tableColumn id="173" xr3:uid="{16079AA9-0CB6-4D74-A646-8FCCA4C10327}" name="Column159"/>
    <tableColumn id="174" xr3:uid="{4DC0D11D-67AA-465A-9B9E-895BC23522C4}" name="Column160"/>
    <tableColumn id="175" xr3:uid="{30A0E295-AEBA-425F-AB10-0EE2C34CCAE5}" name="Column161"/>
    <tableColumn id="176" xr3:uid="{37334C70-C61F-4BE1-B08C-1BDAD53D497C}" name="Column162"/>
    <tableColumn id="177" xr3:uid="{1DD73E72-ADAD-46EE-B56F-5089C0E36406}" name="Column163"/>
    <tableColumn id="178" xr3:uid="{26EE6936-6E09-41FC-B119-7D55535C63D5}" name="Column164"/>
    <tableColumn id="179" xr3:uid="{CA6D49CA-08ED-48BA-A357-7EA555813B2D}" name="Column165"/>
    <tableColumn id="180" xr3:uid="{7113495C-7F12-487A-A554-81AC1BD15B3E}" name="Column166"/>
    <tableColumn id="181" xr3:uid="{785105EB-D1EA-4A0B-8020-997BEF3404B0}" name="Column167"/>
    <tableColumn id="182" xr3:uid="{9956370D-991C-40AB-84B6-BC39B8284A41}" name="Column168"/>
    <tableColumn id="183" xr3:uid="{FEBE9B23-CB98-4C20-9638-1536B2DDD3FA}" name="Column169"/>
    <tableColumn id="184" xr3:uid="{2FC6D10B-86A7-4862-A11C-8EA35C987622}" name="Column170"/>
    <tableColumn id="185" xr3:uid="{645872EB-BB88-4F3D-91A5-8D821D4C95C7}" name="Column171"/>
    <tableColumn id="186" xr3:uid="{1AADEB33-B6C1-4E8C-B995-0FF5B3F422EF}" name="Column172"/>
    <tableColumn id="187" xr3:uid="{B5C0F7F1-9BCA-4C98-90A3-51A73BE58ADB}" name="Column173"/>
    <tableColumn id="188" xr3:uid="{E7A0BDAF-32E6-4D8C-BE0E-C0CCD9A49770}" name="Column174"/>
    <tableColumn id="189" xr3:uid="{F653DD1A-A4A2-41CF-96C9-E7DA3558FB69}" name="Column175"/>
    <tableColumn id="190" xr3:uid="{5E347EAB-7F5A-46A8-98FA-A7D22AB00379}" name="Column176"/>
    <tableColumn id="191" xr3:uid="{D4906AE3-D27A-4154-8809-27F9419AC576}" name="Column177"/>
    <tableColumn id="192" xr3:uid="{D7B17384-CD48-4E83-8AB4-AD96AD1579B8}" name="Column178"/>
    <tableColumn id="193" xr3:uid="{93C6EE69-5907-498E-8659-784728D4A4B3}" name="Column179"/>
    <tableColumn id="194" xr3:uid="{68DDD4B7-374A-429D-8044-29094E4BC830}" name="Column180"/>
    <tableColumn id="195" xr3:uid="{206F9B13-005D-46BB-ADC5-3E56D93E9197}" name="Column181"/>
    <tableColumn id="196" xr3:uid="{455DDD80-336F-409F-BC61-873132DC2101}" name="Column182"/>
    <tableColumn id="197" xr3:uid="{F4622921-4692-411F-8D1B-679C2A1DF95D}" name="Column183"/>
    <tableColumn id="198" xr3:uid="{D320C695-B9AA-41D9-ABD9-287BAC1B9C12}" name="Column184"/>
    <tableColumn id="199" xr3:uid="{A91DC1BB-A820-42EB-9C20-1014B5FD3D4F}" name="Column185"/>
    <tableColumn id="200" xr3:uid="{8ABC1119-282F-4054-A2E8-A4B0277BD068}" name="Column186"/>
    <tableColumn id="201" xr3:uid="{0D23684B-4780-480D-A71E-0CA77AC7AB6F}" name="Column187"/>
    <tableColumn id="202" xr3:uid="{5ED92581-472E-4A65-8D32-8FF86FA7BC8F}" name="Column188"/>
    <tableColumn id="203" xr3:uid="{37F918ED-44B5-4F74-938D-955B5B160A82}" name="Column189"/>
    <tableColumn id="204" xr3:uid="{0243B47D-60ED-4DAF-A0B0-69BF6E53AA88}" name="Column190"/>
    <tableColumn id="205" xr3:uid="{D65622EB-6D1C-49A4-9B4C-014636E60231}" name="Column191"/>
    <tableColumn id="206" xr3:uid="{3F14BCDF-0FD2-4AE3-A622-F5540303DFCA}" name="Column192"/>
    <tableColumn id="207" xr3:uid="{62230831-C479-4040-AF24-820ACEA8B0A3}" name="Column193"/>
    <tableColumn id="208" xr3:uid="{7085954D-3803-4B70-97A1-572956DDE8FE}" name="Column194"/>
    <tableColumn id="209" xr3:uid="{B34A9DDC-634E-4AB1-AC57-AB746F953306}" name="Column195"/>
    <tableColumn id="210" xr3:uid="{86AE05B2-BDE5-4065-9A02-4E0266CF05EC}" name="Column196"/>
    <tableColumn id="211" xr3:uid="{DD804BAA-CD45-46FF-ADF6-F743301AF833}" name="Column197"/>
    <tableColumn id="212" xr3:uid="{D6F30F5C-646B-4BB3-8A9D-2F82BBF00D6A}" name="Column198"/>
    <tableColumn id="213" xr3:uid="{9E03C568-18AB-466B-8E14-50172F84EF0F}" name="Column199"/>
    <tableColumn id="214" xr3:uid="{F254DF66-A8FA-4651-809E-4B0EF6D43903}" name="Column200"/>
    <tableColumn id="215" xr3:uid="{5E3AF257-39AC-4303-95D5-8F0C93351702}" name="Column201"/>
    <tableColumn id="216" xr3:uid="{20FABAB1-79BD-4D40-A1E7-097B17BDF764}" name="Column202"/>
    <tableColumn id="217" xr3:uid="{BFF0CE57-929F-4275-959F-C99588435427}" name="Column203"/>
    <tableColumn id="218" xr3:uid="{7CBCDEF4-D4E9-4485-BD5A-23461DE71D7D}" name="Column204"/>
    <tableColumn id="219" xr3:uid="{887421EC-42DF-4940-BEED-8F2346E68549}" name="Column205"/>
    <tableColumn id="220" xr3:uid="{98400225-A449-4125-BE79-98F3002BB047}" name="Column206"/>
    <tableColumn id="221" xr3:uid="{8307F30B-848D-48CF-91DE-C2FB328D2D83}" name="Column207"/>
    <tableColumn id="222" xr3:uid="{C4A7AED3-6EE6-4392-A34B-AD3855D4AD2A}" name="Column208"/>
    <tableColumn id="223" xr3:uid="{C59915CF-D62C-4B2F-8AB7-C0FF0360417C}" name="Column209"/>
    <tableColumn id="224" xr3:uid="{519C47FD-2E3D-48B9-95CA-572098A95DA3}" name="Column210"/>
    <tableColumn id="225" xr3:uid="{94BDA751-C4B0-4874-9951-C95E9FA8CA6F}" name="Column211"/>
    <tableColumn id="226" xr3:uid="{BFAA284D-9BD8-4281-AA75-2CD8589F4429}" name="Column212"/>
    <tableColumn id="227" xr3:uid="{F9E16BA5-A7C9-4CB4-9076-AFD56B39EBB7}" name="Column213"/>
    <tableColumn id="228" xr3:uid="{436D8A1C-75BE-4962-B181-E733291200F3}" name="Column214"/>
    <tableColumn id="229" xr3:uid="{A9166DDF-AD6A-4AF9-8EB7-903139F31B1A}" name="Column215"/>
    <tableColumn id="230" xr3:uid="{92183380-D902-4897-B72E-8F7A08259334}" name="Column216"/>
    <tableColumn id="231" xr3:uid="{A86E685B-5720-4C06-A744-4211A68AC758}" name="Column217"/>
    <tableColumn id="232" xr3:uid="{4EB8C809-094B-4670-8241-F7B10EA19B31}" name="Column218"/>
    <tableColumn id="233" xr3:uid="{4302B6B1-19FB-4B5C-BCE4-32C90F4EB283}" name="Column219"/>
    <tableColumn id="234" xr3:uid="{BA61C7A1-D886-46AC-AECB-8C76039DF49F}" name="Column220"/>
    <tableColumn id="235" xr3:uid="{5F7D9EF1-606E-4F82-9959-41F60EF71D4A}" name="Column221"/>
    <tableColumn id="236" xr3:uid="{D5C49D86-EC6E-448C-8F4B-B44C2F1714CB}" name="Column222"/>
    <tableColumn id="237" xr3:uid="{D9963F71-27B5-422A-9918-FFBC22EC14C8}" name="Column223"/>
    <tableColumn id="238" xr3:uid="{901DE283-9EA4-4459-A553-27777EB73CBE}" name="Column224"/>
    <tableColumn id="239" xr3:uid="{05935EBC-EB5F-4A04-B7FE-5FC4432BB974}" name="Column225"/>
    <tableColumn id="240" xr3:uid="{21F936C8-A5AE-42B2-8789-9C2E48342FF2}" name="Column226"/>
    <tableColumn id="241" xr3:uid="{39A62C95-0E82-469E-BA43-A79405DAA13D}" name="Column227"/>
    <tableColumn id="242" xr3:uid="{CA4CAADE-BA8F-401A-9041-ED035F048E51}" name="Column228"/>
    <tableColumn id="243" xr3:uid="{768E77A4-DA88-484B-906A-4BEA17D9D7AC}" name="Column229"/>
    <tableColumn id="244" xr3:uid="{5609A466-8709-420A-89BD-8B158F0C9E14}" name="Column230"/>
    <tableColumn id="245" xr3:uid="{1DB070E8-6B74-4E9B-8FBB-F90806BB8558}" name="Column231"/>
    <tableColumn id="246" xr3:uid="{E9C00FA8-69D8-486A-A131-1D39F7D13A65}" name="Column232"/>
    <tableColumn id="247" xr3:uid="{3ADBAF4F-FC06-4BD8-A90E-BAF168CF38C8}" name="Column233"/>
    <tableColumn id="248" xr3:uid="{8453E87D-7011-4DC3-A1BC-B27DD4D93C02}" name="Column234"/>
    <tableColumn id="249" xr3:uid="{161C8755-F2C9-42B5-8917-83D6DD74AB8F}" name="Column235"/>
    <tableColumn id="250" xr3:uid="{110E4270-ECE3-4C18-B528-68CF53FE98AE}" name="Column236"/>
    <tableColumn id="251" xr3:uid="{81BDCE5C-D780-491A-AD64-97C12F4B76FB}" name="Column237"/>
    <tableColumn id="252" xr3:uid="{DF696809-9CE1-40F3-B0B4-0E20A0DC7579}" name="Column238"/>
    <tableColumn id="253" xr3:uid="{2E145063-FC55-4D3E-888B-7E5757B076AB}" name="Column239"/>
    <tableColumn id="254" xr3:uid="{9585781B-8A03-4708-ACEF-2CB9DCD946F8}" name="Column240"/>
    <tableColumn id="255" xr3:uid="{C08BD564-D158-49F2-831F-BD6391D8B3F0}" name="Column241"/>
    <tableColumn id="256" xr3:uid="{7B25018A-7C96-46D3-A6F1-07CFA223DE15}" name="Column242"/>
    <tableColumn id="257" xr3:uid="{99E30B79-AE96-498D-A1F3-1601B27A89A1}" name="Column243"/>
    <tableColumn id="258" xr3:uid="{5390CC4E-5A81-4346-8151-23384F67F7C1}" name="Column244"/>
    <tableColumn id="259" xr3:uid="{8019388F-7F93-4680-9B9B-3E9218D66B3E}" name="Column245"/>
    <tableColumn id="260" xr3:uid="{07280147-7D67-4E40-9E61-F761C6024479}" name="Column246"/>
    <tableColumn id="261" xr3:uid="{DF7D1615-29AC-4866-B6F1-A3FDF3EF9099}" name="Column247"/>
    <tableColumn id="262" xr3:uid="{08AAB922-2E4B-43E5-BC2E-B47BCC5EE70E}" name="Column248"/>
    <tableColumn id="263" xr3:uid="{1C93FC6A-23DF-4236-A23E-3ED4D515F377}" name="Column249"/>
    <tableColumn id="264" xr3:uid="{BCA13FB4-AE8A-4518-8F38-E8A7A1E08B69}" name="Column250"/>
    <tableColumn id="265" xr3:uid="{304E70C7-833C-4388-BC2B-6AF36F7A0E73}" name="Column251"/>
    <tableColumn id="266" xr3:uid="{78C4F925-089C-4586-A6BA-4F7FCB7BD627}" name="Column252"/>
    <tableColumn id="267" xr3:uid="{DDB03043-7E81-4701-ADAD-E7CF6660F32B}" name="Column253"/>
    <tableColumn id="268" xr3:uid="{247DAEA0-078B-4EFC-B16D-34FB3BD2ABF8}" name="Column254"/>
    <tableColumn id="269" xr3:uid="{5E471DA6-EF57-4326-8265-6156B661CDEE}" name="Column255"/>
    <tableColumn id="270" xr3:uid="{386BCFCA-1555-4BDC-8A2B-4B27A91D68B5}" name="Column256"/>
    <tableColumn id="271" xr3:uid="{5EA4B43D-9130-4D8B-B3AD-07CFED18B674}" name="Column257"/>
    <tableColumn id="272" xr3:uid="{A3BBBD0F-02E8-4EB1-882F-26841FEB3B14}" name="Column258"/>
    <tableColumn id="273" xr3:uid="{956E04EE-C0F9-42E6-AB92-085DF7B25205}" name="Column259"/>
    <tableColumn id="274" xr3:uid="{E3079E81-DE8D-4503-BBDC-505B2B8C4DDB}" name="Column260"/>
    <tableColumn id="275" xr3:uid="{02192E15-B8A5-4A9E-99BD-12CD4078AB28}" name="Column261"/>
    <tableColumn id="276" xr3:uid="{45257BE9-6678-4236-B753-DE163EE0DA0E}" name="Column262"/>
    <tableColumn id="277" xr3:uid="{BAFE7D3B-DB26-4832-BDF0-BEB434DF31C4}" name="Column263"/>
    <tableColumn id="278" xr3:uid="{07861368-9AA9-494C-A986-B3C78BA21D13}" name="Column264"/>
    <tableColumn id="279" xr3:uid="{6336721B-FCCF-4CA2-A3C8-130834A5D096}" name="Column265"/>
    <tableColumn id="280" xr3:uid="{DED33800-A348-4BBC-8867-6F13B02A8263}" name="Column266"/>
    <tableColumn id="281" xr3:uid="{B68F6014-1D03-47AA-92A0-3FC5CC43724C}" name="Column267"/>
    <tableColumn id="282" xr3:uid="{0D95558B-FDE9-4948-9DDC-BD7F7DDCEC0F}" name="Column268"/>
    <tableColumn id="283" xr3:uid="{D79A9E56-ED9E-4E9C-ADB5-524844FD3DD8}" name="Column269"/>
    <tableColumn id="284" xr3:uid="{DAB8C0EF-450C-4952-B943-CB2904700FEB}" name="Column270"/>
    <tableColumn id="285" xr3:uid="{154FC162-6B70-49E7-9E0B-BCA28F8EF996}" name="Column271"/>
    <tableColumn id="286" xr3:uid="{F5B03A63-65EC-4284-8B02-00C4B1866A53}" name="Column272"/>
    <tableColumn id="287" xr3:uid="{5CE9B23C-FE1B-4CE0-8B36-D5DC7CA0D733}" name="Column273"/>
    <tableColumn id="288" xr3:uid="{B55B69DC-5FAF-489E-BF70-4AE0EAFEEE38}" name="Column274"/>
    <tableColumn id="289" xr3:uid="{EFA54D89-527B-4C17-B1C1-AE989287A344}" name="Column275"/>
    <tableColumn id="290" xr3:uid="{720A17DD-9522-421B-894B-4AC4EC1F072E}" name="Column276"/>
    <tableColumn id="291" xr3:uid="{6D721F4D-606B-4EDE-8FD1-2D357EC42A32}" name="Column277"/>
    <tableColumn id="292" xr3:uid="{09DA678D-1D2C-4942-AE25-72F026F9368B}" name="Column278"/>
    <tableColumn id="293" xr3:uid="{4DBE180A-3FDC-4A99-B2C1-1F675E22097A}" name="Column279"/>
    <tableColumn id="294" xr3:uid="{D222A230-1F4A-4142-B578-817FED3D732C}" name="Column280"/>
    <tableColumn id="295" xr3:uid="{1D6D4260-C655-48FD-BC21-CAF5C3D2DF1D}" name="Column281"/>
    <tableColumn id="296" xr3:uid="{44697999-A9F5-4BFD-9509-809339D98DCA}" name="Column282"/>
    <tableColumn id="297" xr3:uid="{95D28E57-6500-411E-B89E-B0E0FBEEE9DA}" name="Column283"/>
    <tableColumn id="298" xr3:uid="{3F2A3A62-B703-416C-883B-1AF6A8616E0C}" name="Column284"/>
    <tableColumn id="299" xr3:uid="{8CDFFF2E-6B4B-45AB-A0DA-9438A0E27346}" name="Column285"/>
    <tableColumn id="300" xr3:uid="{55707EA3-65B8-47FB-B2CE-E2CEB425D514}" name="Column286"/>
    <tableColumn id="301" xr3:uid="{A9DE1971-BE5C-47CE-9682-5854E806A701}" name="Column287"/>
    <tableColumn id="302" xr3:uid="{E0490586-8C4B-4797-80E3-8AAF31778D0C}" name="Column288"/>
    <tableColumn id="303" xr3:uid="{6F6D965D-6228-4CC5-8D94-827A33D9DDD0}" name="Column289"/>
    <tableColumn id="304" xr3:uid="{A4951899-AC11-4C44-92B3-EBBA1C894D29}" name="Column290"/>
    <tableColumn id="305" xr3:uid="{0D8F7A92-5FE6-4AEA-B50B-2C9BE6A652E5}" name="Column291"/>
    <tableColumn id="306" xr3:uid="{01131516-F475-402D-96F1-2BB30907D760}" name="Column292"/>
    <tableColumn id="307" xr3:uid="{893ED906-1EED-4B92-8CA1-39E3279A949C}" name="Column293"/>
    <tableColumn id="308" xr3:uid="{E93DBA75-C4DB-41F0-A2CC-C6ECAB2A8CF0}" name="Column294"/>
    <tableColumn id="309" xr3:uid="{553F824E-B260-4456-B8C2-1483EEA791B1}" name="Column295"/>
    <tableColumn id="310" xr3:uid="{277C482C-BB04-4F36-A9D2-499DDA0C377C}" name="Column296"/>
    <tableColumn id="311" xr3:uid="{871E4FA5-C335-417E-84DF-30820DA84870}" name="Column297"/>
    <tableColumn id="312" xr3:uid="{2904F9EA-1C0A-40FA-AA48-D1DB66C846EB}" name="Column298"/>
    <tableColumn id="313" xr3:uid="{8FDA0DCD-BB42-48B2-AE58-54919CB3A3EB}" name="Column299"/>
    <tableColumn id="314" xr3:uid="{D75D9753-7853-4B9C-B339-551345850831}" name="Column300"/>
    <tableColumn id="315" xr3:uid="{697D821B-C686-4B4C-A6BA-61BFE8F695C8}" name="Column301"/>
    <tableColumn id="316" xr3:uid="{820FE68E-DCF6-4EC4-8180-23A608CC6237}" name="Column302"/>
    <tableColumn id="317" xr3:uid="{B801E54A-FEB0-46EC-A6E5-9C17D1850EC0}" name="Column303"/>
    <tableColumn id="318" xr3:uid="{C63AEDB4-7DEE-4D62-A5F8-6FAA30DCA926}" name="Column304"/>
    <tableColumn id="319" xr3:uid="{C407233E-A5F8-4AB4-A523-3EED33CB49A0}" name="Column305"/>
    <tableColumn id="320" xr3:uid="{429E218E-DE05-4F6B-A0D2-0B12EA00AFE4}" name="Column306"/>
    <tableColumn id="321" xr3:uid="{EDDC0014-44EE-4F07-AE1A-101739AEFE85}" name="Column307"/>
    <tableColumn id="322" xr3:uid="{38B52C10-7339-43BE-AE50-2E346B41D674}" name="Column308"/>
    <tableColumn id="323" xr3:uid="{F5B6A15B-6D3A-4789-B1D2-9C568CC225F5}" name="Column309"/>
    <tableColumn id="324" xr3:uid="{72C0C64F-41A8-41FF-A6E6-195577473F17}" name="Column310"/>
    <tableColumn id="325" xr3:uid="{D4EF043F-180F-4DD2-BEB5-0451DD2EE122}" name="Column311"/>
    <tableColumn id="326" xr3:uid="{F3770018-20BE-4B5C-A1AF-DC20C8A92B6B}" name="Column312"/>
    <tableColumn id="327" xr3:uid="{18F4E84A-07CD-49AA-9DB4-E3641841C812}" name="Column313"/>
    <tableColumn id="328" xr3:uid="{B9DC9488-7185-400A-952C-5E0809E53038}" name="Column314"/>
    <tableColumn id="329" xr3:uid="{8BD89B7A-C4F2-4F9F-9B1C-A37044E06775}" name="Column315"/>
    <tableColumn id="330" xr3:uid="{20DBAB3C-5543-4B94-B7B3-B7F8848DB06D}" name="Column316"/>
    <tableColumn id="331" xr3:uid="{3D195817-84AF-4E22-9850-B4207751A19E}" name="Column317"/>
    <tableColumn id="332" xr3:uid="{2C39C087-54C5-4C2B-9C70-E77C2CD552CD}" name="Column318"/>
    <tableColumn id="333" xr3:uid="{0EA8FF1C-DBDE-43BB-85C3-71BC1BEF005D}" name="Column319"/>
    <tableColumn id="334" xr3:uid="{887A327F-FC8F-4B78-8866-8357891513F4}" name="Column320"/>
    <tableColumn id="335" xr3:uid="{BFEACBCB-BC8F-4B96-9740-B5AC5A513BE9}" name="Column321"/>
    <tableColumn id="336" xr3:uid="{2EF5C90D-486E-494A-9127-34858C70B512}" name="Column322"/>
    <tableColumn id="337" xr3:uid="{14F2EF41-4DA1-4D40-8D38-FA6A2C458444}" name="Column323"/>
    <tableColumn id="338" xr3:uid="{F7DBD889-634B-45D3-B0EA-C516E5B9FC3F}" name="Column324"/>
    <tableColumn id="339" xr3:uid="{CB4BEAC5-1640-43F5-9DE9-388F6665B329}" name="Column325"/>
    <tableColumn id="340" xr3:uid="{7A0DCC0A-1C99-4117-A825-4F740574617D}" name="Column326"/>
    <tableColumn id="341" xr3:uid="{87A5DAFB-6A36-4F6D-92AE-3DA5FF51747D}" name="Column327"/>
    <tableColumn id="342" xr3:uid="{A3453A2C-6DC9-4747-83D0-E6B6F8504CFC}" name="Column328"/>
    <tableColumn id="343" xr3:uid="{7ACB6D8E-DFA2-4BDE-978A-F46E576F62B6}" name="Column329"/>
    <tableColumn id="344" xr3:uid="{DFF3877D-5835-467F-A0D0-C779C503B8BD}" name="Column330"/>
    <tableColumn id="345" xr3:uid="{9036119F-75EB-4562-8F19-6DEC6BCAB6A9}" name="Column331"/>
    <tableColumn id="346" xr3:uid="{F63272CC-3705-4125-B132-2CBA53BEADAE}" name="Column332"/>
    <tableColumn id="347" xr3:uid="{57482C9D-FA7A-4916-BBB9-A78A2AB5F6B1}" name="Column333"/>
    <tableColumn id="348" xr3:uid="{6B2E5E85-8999-4164-A380-28E321F3379E}" name="Column334"/>
    <tableColumn id="349" xr3:uid="{6ECA30B1-9CF7-4B68-AA1D-5224C89F0F07}" name="Column335"/>
    <tableColumn id="350" xr3:uid="{E03C8D9C-20EB-4193-AB86-48F2DE3FA3A5}" name="Column336"/>
    <tableColumn id="351" xr3:uid="{BDDF5B58-CA93-481E-BC0C-5D3F2E88D47B}" name="Column337"/>
    <tableColumn id="352" xr3:uid="{189A15FA-74BF-4010-9E07-8F7BB89FB084}" name="Column338"/>
    <tableColumn id="353" xr3:uid="{BC6F4993-F9AF-4CA8-8366-8369CB930ABD}" name="Column339"/>
    <tableColumn id="354" xr3:uid="{9934086A-82E4-43D6-B163-8B5D5D3B7977}" name="Column340"/>
    <tableColumn id="355" xr3:uid="{D1111257-0AAA-4105-BE9C-EAB48935E937}" name="Column341"/>
    <tableColumn id="356" xr3:uid="{83211E24-D09C-4E18-A3A5-B0FC33AD7827}" name="Column342"/>
    <tableColumn id="357" xr3:uid="{143B3D5F-9EFC-42F6-BF5C-080DD99BF299}" name="Column343"/>
    <tableColumn id="358" xr3:uid="{1B545EF1-D611-451E-B0C6-605A7D6D8BF6}" name="Column344"/>
    <tableColumn id="359" xr3:uid="{99110D6F-EADF-413A-B9A8-6D67E2A79B40}" name="Column345"/>
    <tableColumn id="360" xr3:uid="{D014FF33-9232-42AA-B2AC-D942666BC366}" name="Column346"/>
    <tableColumn id="361" xr3:uid="{091DBD80-E40E-41D7-BC06-DDD220AC53E3}" name="Column347"/>
    <tableColumn id="362" xr3:uid="{9887F42D-D69C-4964-8D1E-557F4A755662}" name="Column348"/>
    <tableColumn id="363" xr3:uid="{FF885A94-EB9A-4A5D-89D0-CCA49F838C61}" name="Column349"/>
    <tableColumn id="364" xr3:uid="{DAB7EC6B-1298-4A83-A76D-763948D92B18}" name="Column350"/>
    <tableColumn id="365" xr3:uid="{AD30694F-5485-4EB7-9ACD-5515B20CF13A}" name="Column351"/>
    <tableColumn id="366" xr3:uid="{F1EACCD7-90D9-4B62-B01A-00C9CFAD9A2A}" name="Column352"/>
    <tableColumn id="367" xr3:uid="{2F467576-800F-4DC0-8A79-530CEBCB52A0}" name="Column353"/>
    <tableColumn id="368" xr3:uid="{70DB6302-4DFE-4653-AEBC-1F0EED6CDEA6}" name="Column354"/>
    <tableColumn id="369" xr3:uid="{1433E8E2-F16C-4607-B364-6BDE2C6B8533}" name="Column355"/>
    <tableColumn id="370" xr3:uid="{5C39414A-DCFD-4EAF-A888-5F572965870A}" name="Column356"/>
    <tableColumn id="371" xr3:uid="{EE92BBC3-64C0-4302-A3D0-D9254603D357}" name="Column357"/>
    <tableColumn id="372" xr3:uid="{0E7D7109-C41B-4E91-8C94-D53DC6E2EF96}" name="Column358"/>
    <tableColumn id="373" xr3:uid="{6016C2B6-8F65-4E51-8848-46B6D22B66B2}" name="Column359"/>
    <tableColumn id="374" xr3:uid="{572640F4-2013-49D2-8771-6451279C0B31}" name="Column360"/>
    <tableColumn id="375" xr3:uid="{D277770A-BF2B-4169-A9DC-323BC1411D93}" name="Column361"/>
    <tableColumn id="376" xr3:uid="{008E9DB4-4AFC-4BEB-B83B-2542ACB73F26}" name="Column362"/>
    <tableColumn id="377" xr3:uid="{3209894E-530A-4A6B-A2AB-6F9DC191244F}" name="Column363"/>
    <tableColumn id="378" xr3:uid="{29490D89-1FA2-4A41-981F-971A0E8BBE53}" name="Column364"/>
    <tableColumn id="379" xr3:uid="{3A4B27D7-E314-43AA-BB49-9906A2C93A45}" name="Column365"/>
    <tableColumn id="380" xr3:uid="{014E1A56-56F2-4523-A8A4-3B864E6171A6}" name="Column366"/>
    <tableColumn id="381" xr3:uid="{24504F19-02DB-453C-9910-47D92EAF7C92}" name="Column367"/>
    <tableColumn id="382" xr3:uid="{70DA2E6B-F10B-498A-B265-B59BFA9333AA}" name="Column368"/>
    <tableColumn id="383" xr3:uid="{66D5A003-859B-4C70-B12F-3175584A684A}" name="Column369"/>
    <tableColumn id="384" xr3:uid="{53B87BFC-2FA7-4810-8CB6-EC89B5C7C2DE}" name="Column370"/>
    <tableColumn id="385" xr3:uid="{9BC4EDBF-2308-45D0-912D-1FCC1538D6C7}" name="Column371"/>
    <tableColumn id="386" xr3:uid="{3B8EEE17-80E1-42FB-A1EB-659CB749D4C0}" name="Column372"/>
    <tableColumn id="387" xr3:uid="{B8A12523-A0B6-41E0-BE2A-FAEEA3A37D89}" name="Column373"/>
    <tableColumn id="388" xr3:uid="{B2717AE0-E674-4D21-A7FD-06B9DECEF6B5}" name="Column374"/>
    <tableColumn id="389" xr3:uid="{2C6687B7-CA90-4559-9777-AE004A3AF396}" name="Column375"/>
    <tableColumn id="390" xr3:uid="{CCC99116-4CD9-4C48-A8DE-65E903FEA92B}" name="Column376"/>
    <tableColumn id="391" xr3:uid="{102A03EF-D881-441D-9C77-3F5FE8E4B21E}" name="Column377"/>
    <tableColumn id="392" xr3:uid="{8ED4568B-B665-4B0C-B7E0-6E192E87ABEC}" name="Column378"/>
    <tableColumn id="393" xr3:uid="{154D287A-41C7-4157-ABB5-55D0A6C13C7E}" name="Column379"/>
    <tableColumn id="394" xr3:uid="{23D50911-64A3-4871-9855-42F0138EC0B6}" name="Column380"/>
    <tableColumn id="395" xr3:uid="{278950C7-FE56-4719-B2FC-A14671FF6702}" name="Column381"/>
    <tableColumn id="396" xr3:uid="{D745B378-9FE5-45E1-AD3C-6DB02DC3BE9E}" name="Column382"/>
    <tableColumn id="397" xr3:uid="{72C81CEE-4A12-4764-BB11-EA750FFB9ACF}" name="Column383"/>
    <tableColumn id="398" xr3:uid="{6C413D95-18F5-44F8-B0D5-FF15F096D6B9}" name="Column384"/>
    <tableColumn id="399" xr3:uid="{D9D1EB56-4211-4F5D-8D7C-921FA1919DDE}" name="Column385"/>
    <tableColumn id="400" xr3:uid="{923DD561-47A9-4E8D-AB86-CEE765CDD5A2}" name="Column386"/>
    <tableColumn id="401" xr3:uid="{9947C7A8-E349-4A91-BD5B-2863CD2A674A}" name="Column387"/>
    <tableColumn id="402" xr3:uid="{39150032-F21F-47C8-9C57-E54216A020D5}" name="Column388"/>
    <tableColumn id="403" xr3:uid="{A2864442-7236-4846-B516-60DB518CA5F7}" name="Column389"/>
    <tableColumn id="404" xr3:uid="{2697D87D-2E17-4328-9F0C-62C45DD3169D}" name="Column390"/>
    <tableColumn id="405" xr3:uid="{BD140D7E-C244-48E4-954C-1D615C676FC1}" name="Column391"/>
    <tableColumn id="406" xr3:uid="{FD96A413-0DD4-4786-8846-080E294F2626}" name="Column392"/>
    <tableColumn id="407" xr3:uid="{A64D5B96-4AE4-4FF4-83F2-BF322C82A5DD}" name="Column393"/>
    <tableColumn id="408" xr3:uid="{8E0ABBE0-338C-4C59-8E4F-F4414F6453E5}" name="Column394"/>
    <tableColumn id="409" xr3:uid="{C7382FF6-9CE1-4136-834D-C99AB8AD757C}" name="Column395"/>
    <tableColumn id="410" xr3:uid="{E6BBD612-6FDC-4FFA-A9DF-7BCC872E19E0}" name="Column396"/>
    <tableColumn id="411" xr3:uid="{4340F162-F788-4BC9-9B5B-4FA30736C5BD}" name="Column397"/>
    <tableColumn id="412" xr3:uid="{A72F76F5-398B-4240-9599-70C9E9557EC5}" name="Column398"/>
    <tableColumn id="413" xr3:uid="{E7073B75-F7F4-44AE-84C0-D638D4E1F56B}" name="Column399"/>
    <tableColumn id="414" xr3:uid="{26087A32-59C8-4539-BCC4-F19EB8B263A6}" name="Column400"/>
    <tableColumn id="415" xr3:uid="{1D09C66E-744E-44E5-9229-32465F0361FF}" name="Column401"/>
    <tableColumn id="416" xr3:uid="{AEFFADB8-8579-417C-B49C-7FAC84715AB9}" name="Column402"/>
    <tableColumn id="417" xr3:uid="{B5B00FAD-B948-453F-BA1B-101CCB717758}" name="Column403"/>
    <tableColumn id="418" xr3:uid="{A4EDB6CF-CECF-42A4-B8E2-AEBE98804B3E}" name="Column404"/>
    <tableColumn id="419" xr3:uid="{04024063-7665-49AA-8875-56ED97CD3E93}" name="Column405"/>
    <tableColumn id="420" xr3:uid="{C3D4FE99-D06A-4F95-98C4-08C1C12C197C}" name="Column406"/>
    <tableColumn id="421" xr3:uid="{40953E08-FDCB-4788-8065-FAA7505EF421}" name="Column407"/>
    <tableColumn id="422" xr3:uid="{911D2F94-92B2-4B9B-A191-17F15C8AC79B}" name="Column408"/>
    <tableColumn id="423" xr3:uid="{11BEC62E-141A-4950-83DD-4D16CBED1D1C}" name="Column409"/>
    <tableColumn id="424" xr3:uid="{243F825C-EB52-451B-BBB6-C1198D4AF20E}" name="Column410"/>
    <tableColumn id="425" xr3:uid="{91FE5B5F-CA21-4E4F-BC90-2D33F08CE8A7}" name="Column411"/>
    <tableColumn id="426" xr3:uid="{51E520DC-B300-482D-8575-BCB6DDE713BF}" name="Column412"/>
    <tableColumn id="427" xr3:uid="{12FC9333-6917-4F9D-86FA-49B017C10773}" name="Column413"/>
    <tableColumn id="428" xr3:uid="{EAAC38A1-F53B-4500-8DD8-D68278569A5C}" name="Column414"/>
    <tableColumn id="429" xr3:uid="{37D525A7-A79E-4321-87D6-6CCCA53B6552}" name="Column415"/>
    <tableColumn id="430" xr3:uid="{53BDCF23-9FD3-4A26-9848-DFEC00D7BE38}" name="Column416"/>
    <tableColumn id="431" xr3:uid="{89D265A3-F65E-41E4-9A7E-CBCC3477B44A}" name="Column417"/>
    <tableColumn id="432" xr3:uid="{755476E6-17C0-48B7-828B-7A62B18E907B}" name="Column418"/>
    <tableColumn id="433" xr3:uid="{4DA5B9B3-EB54-4E48-B9B8-20567CDBB351}" name="Column419"/>
    <tableColumn id="434" xr3:uid="{93CEB257-A092-44D1-81A0-0C0832BC754A}" name="Column420"/>
    <tableColumn id="435" xr3:uid="{61448FCC-86EE-4B1A-AE14-83F60864B760}" name="Column421"/>
    <tableColumn id="436" xr3:uid="{3ED803C0-DF42-405F-8AB3-A2D78A30BE1B}" name="Column42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830B7-C019-476E-895D-1814EF28EFC3}">
  <dimension ref="A1"/>
  <sheetViews>
    <sheetView workbookViewId="0"/>
  </sheetViews>
  <sheetFormatPr baseColWidth="10" defaultColWidth="8.83203125" defaultRowHeight="15" x14ac:dyDescent="0.2"/>
  <sheetData>
    <row r="1" spans="1:1" x14ac:dyDescent="0.2">
      <c r="A1" t="s">
        <v>556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0"/>
  <sheetViews>
    <sheetView workbookViewId="0">
      <pane xSplit="1" ySplit="1" topLeftCell="S2" activePane="bottomRight" state="frozen"/>
      <selection pane="topRight" activeCell="B1" sqref="B1"/>
      <selection pane="bottomLeft" activeCell="A2" sqref="A2"/>
      <selection pane="bottomRight" activeCell="AD68" sqref="AD12:AD68"/>
    </sheetView>
  </sheetViews>
  <sheetFormatPr baseColWidth="10" defaultColWidth="8.83203125" defaultRowHeight="15" x14ac:dyDescent="0.2"/>
  <cols>
    <col min="1" max="1" width="9.83203125" customWidth="1"/>
    <col min="2" max="2" width="31" customWidth="1"/>
    <col min="3" max="3" width="30" customWidth="1"/>
    <col min="4" max="4" width="31.83203125" customWidth="1"/>
    <col min="5" max="5" width="30.5" bestFit="1" customWidth="1"/>
    <col min="6" max="6" width="33.6640625" bestFit="1" customWidth="1"/>
    <col min="7" max="7" width="33.5" bestFit="1" customWidth="1"/>
    <col min="8" max="8" width="25.1640625" bestFit="1" customWidth="1"/>
    <col min="9" max="9" width="33.5" bestFit="1" customWidth="1"/>
    <col min="10" max="10" width="28.6640625" bestFit="1" customWidth="1"/>
    <col min="11" max="11" width="26" bestFit="1" customWidth="1"/>
    <col min="12" max="12" width="25.33203125" customWidth="1"/>
    <col min="13" max="13" width="23.83203125" bestFit="1" customWidth="1"/>
    <col min="14" max="14" width="19.5" bestFit="1" customWidth="1"/>
    <col min="15" max="15" width="28.33203125" bestFit="1" customWidth="1"/>
    <col min="16" max="16" width="30.5" bestFit="1" customWidth="1"/>
    <col min="17" max="17" width="29.5" bestFit="1" customWidth="1"/>
    <col min="18" max="18" width="26.83203125" customWidth="1"/>
    <col min="19" max="19" width="28.33203125" bestFit="1" customWidth="1"/>
    <col min="20" max="20" width="30.5" bestFit="1" customWidth="1"/>
    <col min="21" max="21" width="28.5" bestFit="1" customWidth="1"/>
    <col min="22" max="22" width="25" bestFit="1" customWidth="1"/>
    <col min="23" max="23" width="23.1640625" bestFit="1" customWidth="1"/>
    <col min="24" max="24" width="29" bestFit="1" customWidth="1"/>
    <col min="25" max="25" width="23.33203125" bestFit="1" customWidth="1"/>
    <col min="26" max="26" width="25.33203125" bestFit="1" customWidth="1"/>
  </cols>
  <sheetData>
    <row r="1" spans="1:30" x14ac:dyDescent="0.2">
      <c r="B1" s="4" t="s">
        <v>20</v>
      </c>
      <c r="C1" s="4" t="s">
        <v>21</v>
      </c>
      <c r="D1" s="4" t="s">
        <v>19</v>
      </c>
      <c r="E1" s="4" t="s">
        <v>22</v>
      </c>
      <c r="F1" s="6" t="s">
        <v>23</v>
      </c>
      <c r="G1" s="6" t="s">
        <v>24</v>
      </c>
      <c r="H1" s="6" t="s">
        <v>5</v>
      </c>
      <c r="I1" s="6" t="s">
        <v>26</v>
      </c>
      <c r="J1" s="6" t="s">
        <v>27</v>
      </c>
      <c r="K1" s="6" t="s">
        <v>28</v>
      </c>
      <c r="L1" s="6" t="s">
        <v>29</v>
      </c>
      <c r="M1" s="6" t="s">
        <v>30</v>
      </c>
      <c r="N1" s="6" t="s">
        <v>32</v>
      </c>
      <c r="O1" s="6" t="s">
        <v>49</v>
      </c>
      <c r="P1" s="6" t="s">
        <v>50</v>
      </c>
      <c r="Q1" s="6" t="s">
        <v>51</v>
      </c>
      <c r="R1" s="6" t="s">
        <v>52</v>
      </c>
      <c r="S1" s="6" t="s">
        <v>53</v>
      </c>
      <c r="T1" s="6" t="s">
        <v>54</v>
      </c>
      <c r="U1" s="6" t="s">
        <v>58</v>
      </c>
      <c r="V1" s="6" t="s">
        <v>60</v>
      </c>
      <c r="W1" s="6" t="s">
        <v>59</v>
      </c>
      <c r="X1" s="24" t="s">
        <v>75</v>
      </c>
      <c r="Y1" s="26" t="s">
        <v>76</v>
      </c>
      <c r="Z1" s="24">
        <v>2010</v>
      </c>
      <c r="AA1">
        <v>2013</v>
      </c>
      <c r="AB1" s="25">
        <v>2016</v>
      </c>
      <c r="AC1" s="25">
        <v>2018</v>
      </c>
      <c r="AD1" t="s">
        <v>82</v>
      </c>
    </row>
    <row r="2" spans="1:30" x14ac:dyDescent="0.2">
      <c r="A2" s="3">
        <v>1950</v>
      </c>
      <c r="B2" s="5">
        <v>2385.7328498409602</v>
      </c>
      <c r="F2">
        <v>2385.7328498409602</v>
      </c>
    </row>
    <row r="3" spans="1:30" x14ac:dyDescent="0.2">
      <c r="A3" s="3">
        <v>1951</v>
      </c>
      <c r="B3" s="5">
        <v>2491.7023564716101</v>
      </c>
      <c r="F3">
        <v>2491.7023564716101</v>
      </c>
    </row>
    <row r="4" spans="1:30" x14ac:dyDescent="0.2">
      <c r="A4" s="3">
        <v>1952</v>
      </c>
      <c r="B4" s="5">
        <v>2565.8650655053102</v>
      </c>
      <c r="F4">
        <v>2565.8650655053102</v>
      </c>
    </row>
    <row r="5" spans="1:30" x14ac:dyDescent="0.2">
      <c r="A5" s="3">
        <v>1953</v>
      </c>
      <c r="B5" s="5">
        <v>2586.99455908245</v>
      </c>
      <c r="F5">
        <v>2586.99455908245</v>
      </c>
    </row>
    <row r="6" spans="1:30" x14ac:dyDescent="0.2">
      <c r="A6" s="3">
        <v>1954</v>
      </c>
      <c r="B6" s="5">
        <v>2639.9402300258098</v>
      </c>
      <c r="F6">
        <v>2639.9402300258098</v>
      </c>
    </row>
    <row r="7" spans="1:30" x14ac:dyDescent="0.2">
      <c r="A7" s="3">
        <v>1955</v>
      </c>
      <c r="B7" s="5">
        <v>2926.20140839841</v>
      </c>
      <c r="F7">
        <v>2926.20140839841</v>
      </c>
    </row>
    <row r="8" spans="1:30" x14ac:dyDescent="0.2">
      <c r="A8" s="3">
        <v>1956</v>
      </c>
      <c r="B8" s="5">
        <v>3212.4719665402799</v>
      </c>
      <c r="F8">
        <v>3212.4719665402799</v>
      </c>
    </row>
    <row r="9" spans="1:30" x14ac:dyDescent="0.2">
      <c r="A9" s="3">
        <v>1957</v>
      </c>
      <c r="B9" s="5">
        <v>3286.6284223944599</v>
      </c>
      <c r="F9">
        <v>3286.6284223944599</v>
      </c>
    </row>
    <row r="10" spans="1:30" x14ac:dyDescent="0.2">
      <c r="A10" s="3">
        <v>1958</v>
      </c>
      <c r="B10" s="5">
        <v>3191.10172555186</v>
      </c>
      <c r="F10">
        <v>3191.10172555186</v>
      </c>
    </row>
    <row r="11" spans="1:30" x14ac:dyDescent="0.2">
      <c r="A11" s="3">
        <v>1959</v>
      </c>
      <c r="B11" s="5">
        <v>3445.5498531479898</v>
      </c>
      <c r="F11">
        <v>3445.5498531479898</v>
      </c>
    </row>
    <row r="12" spans="1:30" x14ac:dyDescent="0.2">
      <c r="A12" s="3">
        <v>1960</v>
      </c>
      <c r="B12" s="5">
        <v>3933.3166147631</v>
      </c>
      <c r="E12" s="2">
        <v>3924</v>
      </c>
      <c r="F12">
        <v>3933.3166147631</v>
      </c>
      <c r="O12">
        <v>3746.1180124223602</v>
      </c>
      <c r="P12">
        <v>756.7780888954203</v>
      </c>
      <c r="U12" s="2">
        <v>4738</v>
      </c>
      <c r="X12">
        <v>1052.4642289348101</v>
      </c>
      <c r="AD12">
        <v>1052.4642289348101</v>
      </c>
    </row>
    <row r="13" spans="1:30" x14ac:dyDescent="0.2">
      <c r="A13" s="3">
        <v>1961</v>
      </c>
      <c r="B13" s="5">
        <v>4081.7108178051399</v>
      </c>
      <c r="E13" s="2">
        <v>4081</v>
      </c>
      <c r="F13">
        <v>4081.7108178051399</v>
      </c>
      <c r="O13">
        <v>3881.6008291886701</v>
      </c>
      <c r="P13">
        <v>679.20279541781019</v>
      </c>
      <c r="U13" s="2">
        <v>5050</v>
      </c>
      <c r="X13">
        <v>1240.0635930047699</v>
      </c>
      <c r="AD13">
        <v>1240.0635930047699</v>
      </c>
    </row>
    <row r="14" spans="1:30" x14ac:dyDescent="0.2">
      <c r="A14" s="3">
        <v>1962</v>
      </c>
      <c r="B14" s="5">
        <v>4219.4996283917799</v>
      </c>
      <c r="E14" s="2">
        <v>4216</v>
      </c>
      <c r="F14">
        <v>4145.26188120392</v>
      </c>
      <c r="O14">
        <v>4036.5499846589701</v>
      </c>
      <c r="P14">
        <v>659.81702930780011</v>
      </c>
      <c r="U14" s="2">
        <v>5048</v>
      </c>
      <c r="X14">
        <v>1240.0635930047699</v>
      </c>
      <c r="AD14">
        <v>1240.0635930047699</v>
      </c>
    </row>
    <row r="15" spans="1:30" x14ac:dyDescent="0.2">
      <c r="A15" s="3">
        <v>1963</v>
      </c>
      <c r="B15" s="5">
        <v>4283.0538183803101</v>
      </c>
      <c r="E15" s="2">
        <v>4286</v>
      </c>
      <c r="F15">
        <v>4198.2106787370403</v>
      </c>
      <c r="O15">
        <v>4172.0086296471</v>
      </c>
      <c r="P15">
        <v>834.57898563615981</v>
      </c>
      <c r="U15" s="2">
        <v>5500</v>
      </c>
      <c r="X15">
        <v>1211.4467408585001</v>
      </c>
      <c r="AD15">
        <v>1211.4467408585001</v>
      </c>
    </row>
    <row r="16" spans="1:30" x14ac:dyDescent="0.2">
      <c r="A16" s="3">
        <v>1964</v>
      </c>
      <c r="B16" s="5">
        <v>4442.0534138777502</v>
      </c>
      <c r="E16" s="2">
        <v>4443</v>
      </c>
      <c r="F16">
        <v>4325.39409686826</v>
      </c>
      <c r="O16">
        <v>4462.7870640378096</v>
      </c>
      <c r="P16">
        <v>737.53735345456062</v>
      </c>
      <c r="U16" s="2">
        <v>5995</v>
      </c>
      <c r="X16">
        <v>1825.1192368839399</v>
      </c>
      <c r="AD16">
        <v>1825.1192368839399</v>
      </c>
    </row>
    <row r="17" spans="1:30" x14ac:dyDescent="0.2">
      <c r="A17" s="3">
        <v>1965</v>
      </c>
      <c r="B17" s="5">
        <v>4770.7424152514996</v>
      </c>
      <c r="E17" s="2">
        <v>4769</v>
      </c>
      <c r="F17">
        <v>4643.4777057866004</v>
      </c>
      <c r="O17">
        <v>4675.9338041351102</v>
      </c>
      <c r="P17">
        <v>951.0788992623402</v>
      </c>
      <c r="U17" s="2">
        <v>6193</v>
      </c>
      <c r="X17">
        <v>1863.27503974562</v>
      </c>
      <c r="AD17">
        <v>1863.27503974562</v>
      </c>
    </row>
    <row r="18" spans="1:30" x14ac:dyDescent="0.2">
      <c r="A18" s="3">
        <v>1966</v>
      </c>
      <c r="B18" s="5">
        <v>4982.7689730259899</v>
      </c>
      <c r="E18" s="2">
        <v>4987</v>
      </c>
      <c r="F18">
        <v>4866.1096560164997</v>
      </c>
      <c r="O18">
        <v>5024.9742812280001</v>
      </c>
      <c r="P18">
        <v>951.10307104053027</v>
      </c>
      <c r="U18" s="2">
        <v>6445</v>
      </c>
      <c r="X18">
        <v>1875.99364069952</v>
      </c>
      <c r="AD18">
        <v>1875.99364069952</v>
      </c>
    </row>
    <row r="19" spans="1:30" x14ac:dyDescent="0.2">
      <c r="A19" s="3">
        <v>1967</v>
      </c>
      <c r="B19" s="5">
        <v>4749.36904767333</v>
      </c>
      <c r="E19" s="2">
        <v>4743</v>
      </c>
      <c r="F19">
        <v>4399.3910966448402</v>
      </c>
      <c r="O19">
        <v>4714.0446410845398</v>
      </c>
      <c r="P19">
        <v>1067.5465838509299</v>
      </c>
      <c r="U19" s="2">
        <v>6195</v>
      </c>
      <c r="X19">
        <v>1799.6820349761499</v>
      </c>
      <c r="AD19">
        <v>1799.6820349761499</v>
      </c>
    </row>
    <row r="20" spans="1:30" x14ac:dyDescent="0.2">
      <c r="A20" s="3">
        <v>1968</v>
      </c>
      <c r="B20" s="5">
        <v>5014.4256943146202</v>
      </c>
      <c r="E20" s="2">
        <v>5010</v>
      </c>
      <c r="F20">
        <v>4643.2369583753198</v>
      </c>
      <c r="O20">
        <v>5218.3807358018103</v>
      </c>
      <c r="P20">
        <v>1125.7683402561397</v>
      </c>
      <c r="U20" s="2">
        <v>6523</v>
      </c>
      <c r="X20">
        <v>1939.5866454689899</v>
      </c>
      <c r="AD20">
        <v>1939.5866454689899</v>
      </c>
    </row>
    <row r="21" spans="1:30" x14ac:dyDescent="0.2">
      <c r="A21" s="3">
        <v>1969</v>
      </c>
      <c r="B21" s="5">
        <v>5682.4841276716797</v>
      </c>
      <c r="E21" s="2">
        <v>5682</v>
      </c>
      <c r="F21">
        <v>5290.0846068215596</v>
      </c>
      <c r="O21">
        <v>5664.4870168544903</v>
      </c>
      <c r="P21">
        <v>1203.3758627713396</v>
      </c>
      <c r="U21" s="2">
        <v>7137</v>
      </c>
      <c r="X21">
        <v>2149.4435612082598</v>
      </c>
      <c r="AD21">
        <v>2149.4435612082598</v>
      </c>
    </row>
    <row r="22" spans="1:30" x14ac:dyDescent="0.2">
      <c r="A22" s="3">
        <v>1970</v>
      </c>
      <c r="B22" s="5">
        <v>5894.5106854461801</v>
      </c>
      <c r="E22" s="2">
        <v>5900</v>
      </c>
      <c r="F22">
        <v>5470.2949872298304</v>
      </c>
      <c r="O22">
        <v>5702.9765449956003</v>
      </c>
      <c r="P22">
        <v>1358.6875949145096</v>
      </c>
      <c r="U22" s="2">
        <v>7291</v>
      </c>
      <c r="X22">
        <v>1984.10174880763</v>
      </c>
      <c r="AD22">
        <v>1984.10174880763</v>
      </c>
    </row>
    <row r="23" spans="1:30" x14ac:dyDescent="0.2">
      <c r="A23" s="3">
        <v>1971</v>
      </c>
      <c r="B23" s="5">
        <v>5936.85096393413</v>
      </c>
      <c r="E23" s="2">
        <v>5941</v>
      </c>
      <c r="F23">
        <v>5491.4244808069698</v>
      </c>
      <c r="O23">
        <v>5663.7940925463199</v>
      </c>
      <c r="P23">
        <v>1106.3584023679305</v>
      </c>
      <c r="U23" s="2">
        <v>7296</v>
      </c>
      <c r="X23">
        <v>2054.0540540540501</v>
      </c>
      <c r="AD23">
        <v>2054.0540540540501</v>
      </c>
    </row>
    <row r="24" spans="1:30" x14ac:dyDescent="0.2">
      <c r="A24" s="3">
        <v>1972</v>
      </c>
      <c r="B24" s="5">
        <v>6541.2801691485001</v>
      </c>
      <c r="E24" s="2">
        <v>6541</v>
      </c>
      <c r="F24">
        <v>6042.8267237442997</v>
      </c>
      <c r="O24">
        <v>6342.7793419604004</v>
      </c>
      <c r="P24">
        <v>1145.2024499225199</v>
      </c>
      <c r="U24" s="2">
        <v>7942</v>
      </c>
      <c r="X24">
        <v>2143.0842607313198</v>
      </c>
      <c r="AD24">
        <v>2143.0842607313198</v>
      </c>
    </row>
    <row r="25" spans="1:30" x14ac:dyDescent="0.2">
      <c r="A25" s="3">
        <v>1973</v>
      </c>
      <c r="B25" s="5">
        <v>6912.3876137541301</v>
      </c>
      <c r="E25" s="2">
        <v>6915</v>
      </c>
      <c r="F25">
        <v>6392.7233834391</v>
      </c>
      <c r="O25">
        <v>6555.9583110952899</v>
      </c>
      <c r="P25">
        <v>1203.4403208465201</v>
      </c>
      <c r="U25" s="2">
        <v>8740</v>
      </c>
      <c r="X25">
        <v>2422.8934817170102</v>
      </c>
      <c r="AD25">
        <v>2422.8934817170102</v>
      </c>
    </row>
    <row r="26" spans="1:30" x14ac:dyDescent="0.2">
      <c r="A26" s="3">
        <v>1974</v>
      </c>
      <c r="B26" s="5">
        <v>7092.59799416239</v>
      </c>
      <c r="E26" s="2">
        <v>7097</v>
      </c>
      <c r="F26">
        <v>6583.5391563027797</v>
      </c>
      <c r="O26">
        <v>6846.77703178298</v>
      </c>
      <c r="P26">
        <v>1281.0559006211197</v>
      </c>
      <c r="U26" s="2">
        <v>8310</v>
      </c>
      <c r="X26">
        <v>2235.2941176470499</v>
      </c>
      <c r="AD26">
        <v>2235.2941176470499</v>
      </c>
    </row>
    <row r="27" spans="1:30" x14ac:dyDescent="0.2">
      <c r="A27" s="3">
        <v>1975</v>
      </c>
      <c r="B27" s="5">
        <v>6753.1441442556397</v>
      </c>
      <c r="E27" s="2">
        <v>6735</v>
      </c>
      <c r="F27">
        <v>6254.6906988514302</v>
      </c>
      <c r="O27">
        <v>6535.88767793651</v>
      </c>
      <c r="P27">
        <v>1009.30065566754</v>
      </c>
      <c r="U27" s="2">
        <v>7445</v>
      </c>
      <c r="X27">
        <v>1796.5023847376699</v>
      </c>
      <c r="AD27">
        <v>1796.5023847376699</v>
      </c>
    </row>
    <row r="28" spans="1:30" x14ac:dyDescent="0.2">
      <c r="A28" s="3">
        <v>1976</v>
      </c>
      <c r="B28" s="5">
        <v>7293.9409947375598</v>
      </c>
      <c r="E28" s="2">
        <v>7289</v>
      </c>
      <c r="F28">
        <v>6731.8551946009002</v>
      </c>
      <c r="O28">
        <v>6923.7238590276102</v>
      </c>
      <c r="P28">
        <v>1125.8730846282997</v>
      </c>
      <c r="U28" s="2">
        <v>8539</v>
      </c>
      <c r="X28">
        <v>2063.5930047694701</v>
      </c>
      <c r="AD28">
        <v>2063.5930047694701</v>
      </c>
    </row>
    <row r="29" spans="1:30" x14ac:dyDescent="0.2">
      <c r="A29" s="3">
        <v>1977</v>
      </c>
      <c r="B29" s="5">
        <v>7442.3351977796001</v>
      </c>
      <c r="E29" s="2">
        <v>7444</v>
      </c>
      <c r="F29">
        <v>6859.0386127321199</v>
      </c>
      <c r="O29">
        <v>7195.1245845677004</v>
      </c>
      <c r="P29">
        <v>1145.1702208849292</v>
      </c>
      <c r="U29" s="2">
        <v>9057</v>
      </c>
      <c r="X29">
        <v>2025.43720190779</v>
      </c>
      <c r="AD29">
        <v>2025.43720190779</v>
      </c>
    </row>
    <row r="30" spans="1:30" x14ac:dyDescent="0.2">
      <c r="A30" s="3">
        <v>1978</v>
      </c>
      <c r="B30" s="5">
        <v>7304.3838045256098</v>
      </c>
      <c r="E30" s="2">
        <v>7306</v>
      </c>
      <c r="F30">
        <v>6763.5087892997599</v>
      </c>
      <c r="O30">
        <v>7194.8103514512004</v>
      </c>
      <c r="P30">
        <v>1281.0075570647296</v>
      </c>
      <c r="U30" s="2">
        <v>9527</v>
      </c>
      <c r="X30">
        <v>2200.3179650238399</v>
      </c>
      <c r="AD30">
        <v>2200.3179650238399</v>
      </c>
    </row>
    <row r="31" spans="1:30" x14ac:dyDescent="0.2">
      <c r="A31" s="3">
        <v>1979</v>
      </c>
      <c r="B31" s="5">
        <v>7367.9348679243803</v>
      </c>
      <c r="E31" s="2">
        <v>7371</v>
      </c>
      <c r="F31">
        <v>6848.2706376093502</v>
      </c>
      <c r="O31">
        <v>7136.2340756325202</v>
      </c>
      <c r="P31">
        <v>1416.9496376166999</v>
      </c>
      <c r="U31" s="2">
        <v>9848</v>
      </c>
      <c r="X31">
        <v>2527.8219395866399</v>
      </c>
      <c r="AD31">
        <v>2527.8219395866399</v>
      </c>
    </row>
    <row r="32" spans="1:30" x14ac:dyDescent="0.2">
      <c r="A32" s="3">
        <v>1980</v>
      </c>
      <c r="B32" s="5">
        <v>7229.9866012601397</v>
      </c>
      <c r="E32" s="2">
        <v>7227</v>
      </c>
      <c r="F32">
        <v>6636.0846237572596</v>
      </c>
      <c r="J32" s="5">
        <v>7116.9208424110302</v>
      </c>
      <c r="K32" s="5">
        <v>7610.7541913702398</v>
      </c>
      <c r="O32">
        <v>7077.6255707762502</v>
      </c>
      <c r="P32">
        <v>1455.7453416149092</v>
      </c>
      <c r="U32" s="2">
        <v>9396</v>
      </c>
      <c r="X32">
        <v>2585.05564387917</v>
      </c>
      <c r="AD32">
        <v>2585.05564387917</v>
      </c>
    </row>
    <row r="33" spans="1:30" x14ac:dyDescent="0.2">
      <c r="A33" s="3">
        <v>1981</v>
      </c>
      <c r="B33" s="5">
        <v>7728.3587553306697</v>
      </c>
      <c r="E33" s="2">
        <v>7721</v>
      </c>
      <c r="F33">
        <v>7039.0082457291101</v>
      </c>
      <c r="J33" s="5">
        <v>7451.4259616643103</v>
      </c>
      <c r="K33" s="5">
        <v>7959.7712619425702</v>
      </c>
      <c r="O33">
        <v>7407.3125107967198</v>
      </c>
      <c r="P33">
        <v>1475.106935946721</v>
      </c>
      <c r="U33" s="2">
        <v>9522</v>
      </c>
      <c r="X33">
        <v>2597.77424483306</v>
      </c>
      <c r="AD33">
        <v>2597.77424483306</v>
      </c>
    </row>
    <row r="34" spans="1:30" x14ac:dyDescent="0.2">
      <c r="A34" s="3">
        <v>1982</v>
      </c>
      <c r="B34" s="5">
        <v>7749.48824890781</v>
      </c>
      <c r="E34" s="2">
        <v>7745</v>
      </c>
      <c r="F34">
        <v>7102.5593091278797</v>
      </c>
      <c r="J34" s="5">
        <v>7335.6397743809202</v>
      </c>
      <c r="K34" s="5">
        <v>7916.6129043736601</v>
      </c>
      <c r="O34">
        <v>7174.0145649466704</v>
      </c>
      <c r="P34">
        <v>1436.2951174297104</v>
      </c>
      <c r="U34" s="2">
        <v>9090</v>
      </c>
      <c r="X34">
        <v>2349.7615262321101</v>
      </c>
      <c r="AD34">
        <v>2349.7615262321101</v>
      </c>
    </row>
    <row r="35" spans="1:30" x14ac:dyDescent="0.2">
      <c r="A35" s="3">
        <v>1983</v>
      </c>
      <c r="B35" s="5">
        <v>7823.64783135175</v>
      </c>
      <c r="E35" s="2">
        <v>7824</v>
      </c>
      <c r="F35">
        <v>7176.7188915718198</v>
      </c>
      <c r="J35" s="5">
        <v>7481.2976840596502</v>
      </c>
      <c r="K35" s="5">
        <v>8076.7889538368299</v>
      </c>
      <c r="O35">
        <v>7406.5793001915599</v>
      </c>
      <c r="P35">
        <v>1494.5732746506992</v>
      </c>
      <c r="U35" s="2">
        <v>9510</v>
      </c>
      <c r="X35">
        <v>2372.0190779014301</v>
      </c>
      <c r="AD35">
        <v>2372.0190779014301</v>
      </c>
    </row>
    <row r="36" spans="1:30" x14ac:dyDescent="0.2">
      <c r="A36" s="3">
        <v>1984</v>
      </c>
      <c r="B36" s="5">
        <v>8141.7283136803298</v>
      </c>
      <c r="E36" s="2">
        <v>8135</v>
      </c>
      <c r="F36">
        <v>7484.1939814449897</v>
      </c>
      <c r="J36" s="5">
        <v>7612.44364241933</v>
      </c>
      <c r="K36" s="5">
        <v>8411.2569422978195</v>
      </c>
      <c r="O36">
        <v>7619.7743838452498</v>
      </c>
      <c r="P36">
        <v>1339.2293134699303</v>
      </c>
      <c r="U36" s="2">
        <v>9930</v>
      </c>
      <c r="X36">
        <v>2629.5707472178001</v>
      </c>
      <c r="AD36">
        <v>2629.5707472178001</v>
      </c>
    </row>
    <row r="37" spans="1:30" x14ac:dyDescent="0.2">
      <c r="A37" s="3">
        <v>1985</v>
      </c>
      <c r="B37" s="5">
        <v>8311.3333016331799</v>
      </c>
      <c r="E37" s="2">
        <v>8288</v>
      </c>
      <c r="F37">
        <v>7706.8259316748899</v>
      </c>
      <c r="J37" s="5">
        <v>7641.8883607033604</v>
      </c>
      <c r="K37" s="5">
        <v>8585.9511315454201</v>
      </c>
      <c r="O37">
        <v>7697.0273869469802</v>
      </c>
      <c r="P37">
        <v>1572.237197981689</v>
      </c>
      <c r="U37" s="2">
        <v>9798</v>
      </c>
      <c r="X37">
        <v>2658.1875993640701</v>
      </c>
      <c r="AD37">
        <v>2658.1875993640701</v>
      </c>
    </row>
    <row r="38" spans="1:30" x14ac:dyDescent="0.2">
      <c r="A38" s="3">
        <v>1986</v>
      </c>
      <c r="B38" s="5">
        <v>8300.6466178441005</v>
      </c>
      <c r="E38" s="2">
        <v>8295</v>
      </c>
      <c r="F38">
        <v>7590.0853233317202</v>
      </c>
      <c r="J38" s="5">
        <v>7772.9971882707496</v>
      </c>
      <c r="K38" s="5">
        <v>8731.6214181549094</v>
      </c>
      <c r="O38">
        <v>8181.99383007304</v>
      </c>
      <c r="P38">
        <v>1416.9012940603197</v>
      </c>
      <c r="U38" s="2">
        <v>10112</v>
      </c>
      <c r="X38">
        <v>2740.8585055643798</v>
      </c>
      <c r="AD38">
        <v>2740.8585055643798</v>
      </c>
    </row>
    <row r="39" spans="1:30" x14ac:dyDescent="0.2">
      <c r="A39" s="3">
        <v>1987</v>
      </c>
      <c r="B39" s="5">
        <v>8618.7302267624309</v>
      </c>
      <c r="E39" s="2">
        <v>8620</v>
      </c>
      <c r="F39">
        <v>7897.5604132048902</v>
      </c>
      <c r="J39" s="5">
        <v>7918.6736633456203</v>
      </c>
      <c r="K39" s="5">
        <v>8891.7974676180802</v>
      </c>
      <c r="O39">
        <v>8181.6715396971404</v>
      </c>
      <c r="P39">
        <v>1630.4025535711089</v>
      </c>
      <c r="U39" s="2">
        <v>10293</v>
      </c>
      <c r="X39">
        <v>2896.6613672496001</v>
      </c>
      <c r="AD39">
        <v>2896.6613672496001</v>
      </c>
    </row>
    <row r="40" spans="1:30" x14ac:dyDescent="0.2">
      <c r="A40" s="3">
        <v>1988</v>
      </c>
      <c r="B40" s="5">
        <v>8777.7298222598802</v>
      </c>
      <c r="E40" s="2">
        <v>8773</v>
      </c>
      <c r="F40">
        <v>8035.3523503812803</v>
      </c>
      <c r="J40" s="5">
        <v>8180.5200105575204</v>
      </c>
      <c r="K40" s="5">
        <v>9269.8322523631396</v>
      </c>
      <c r="O40">
        <v>8336.6045806486509</v>
      </c>
      <c r="P40">
        <v>1785.6498276390485</v>
      </c>
      <c r="U40" s="2">
        <v>10668</v>
      </c>
      <c r="X40">
        <v>2947.5357710651801</v>
      </c>
      <c r="AD40">
        <v>2947.5357710651801</v>
      </c>
    </row>
    <row r="41" spans="1:30" x14ac:dyDescent="0.2">
      <c r="A41" s="3">
        <v>1989</v>
      </c>
      <c r="B41" s="5">
        <v>9085.2080387228107</v>
      </c>
      <c r="E41" s="2">
        <v>9086</v>
      </c>
      <c r="F41">
        <v>8268.5896930665895</v>
      </c>
      <c r="J41" s="5">
        <v>8427.8667833811196</v>
      </c>
      <c r="K41" s="5">
        <v>9662.4284961502999</v>
      </c>
      <c r="O41">
        <v>8452.7016313049608</v>
      </c>
      <c r="P41">
        <v>1940.9857315604386</v>
      </c>
      <c r="U41" s="2">
        <v>11081</v>
      </c>
      <c r="X41">
        <v>2858.50556438791</v>
      </c>
      <c r="AD41">
        <v>2858.50556438791</v>
      </c>
    </row>
    <row r="42" spans="1:30" x14ac:dyDescent="0.2">
      <c r="A42" s="3">
        <v>1990</v>
      </c>
      <c r="B42" s="5">
        <v>9233.5991151750895</v>
      </c>
      <c r="E42" s="2">
        <v>9227</v>
      </c>
      <c r="F42">
        <v>8353.3515413761797</v>
      </c>
      <c r="J42" s="5">
        <v>8297.5686447786793</v>
      </c>
      <c r="K42" s="5">
        <v>9459.5025278333906</v>
      </c>
      <c r="O42">
        <v>8238.8619668994907</v>
      </c>
      <c r="P42">
        <v>1882.7398033770096</v>
      </c>
      <c r="U42" s="2">
        <v>10886</v>
      </c>
      <c r="X42">
        <v>2988.8712241653402</v>
      </c>
      <c r="AD42">
        <v>2988.8712241653402</v>
      </c>
    </row>
    <row r="43" spans="1:30" x14ac:dyDescent="0.2">
      <c r="A43" s="3">
        <v>1991</v>
      </c>
      <c r="B43" s="5">
        <v>9371.3910523514896</v>
      </c>
      <c r="E43" s="2">
        <v>9373</v>
      </c>
      <c r="F43">
        <v>8682.04054274993</v>
      </c>
      <c r="J43" s="5">
        <v>8181.7824574952901</v>
      </c>
      <c r="K43" s="5">
        <v>9358.2530457305893</v>
      </c>
      <c r="O43">
        <v>8122.05587741621</v>
      </c>
      <c r="P43">
        <v>1843.9763284164592</v>
      </c>
      <c r="U43" s="2">
        <v>10563</v>
      </c>
      <c r="X43">
        <v>3007.9491255961798</v>
      </c>
      <c r="AD43">
        <v>3007.9491255961798</v>
      </c>
    </row>
    <row r="44" spans="1:30" x14ac:dyDescent="0.2">
      <c r="A44" s="3">
        <v>1992</v>
      </c>
      <c r="B44" s="5">
        <v>9498.5744704827102</v>
      </c>
      <c r="E44" s="2">
        <v>9497</v>
      </c>
      <c r="F44">
        <v>8724.3839478276295</v>
      </c>
      <c r="J44" s="5">
        <v>8530.7809626714807</v>
      </c>
      <c r="K44" s="5">
        <v>9823.4461769053196</v>
      </c>
      <c r="O44">
        <v>8393.4324311781093</v>
      </c>
      <c r="P44">
        <v>1863.3459800075907</v>
      </c>
      <c r="U44" s="2">
        <v>10866</v>
      </c>
      <c r="X44">
        <v>3208.2670906200301</v>
      </c>
      <c r="AD44">
        <v>3208.2670906200301</v>
      </c>
    </row>
    <row r="45" spans="1:30" x14ac:dyDescent="0.2">
      <c r="A45" s="3">
        <v>1993</v>
      </c>
      <c r="B45" s="5">
        <v>9572.7340529266494</v>
      </c>
      <c r="E45" s="2">
        <v>9571</v>
      </c>
      <c r="F45">
        <v>8798.54040368182</v>
      </c>
      <c r="J45" s="5">
        <v>8618.3415593509399</v>
      </c>
      <c r="K45" s="5">
        <v>10056.250056082899</v>
      </c>
      <c r="O45">
        <v>8626.0052236824104</v>
      </c>
      <c r="P45">
        <v>1882.78008967399</v>
      </c>
      <c r="U45" s="2">
        <v>10992</v>
      </c>
      <c r="X45">
        <v>3160.57233704292</v>
      </c>
      <c r="AD45">
        <v>3160.57233704292</v>
      </c>
    </row>
    <row r="46" spans="1:30" x14ac:dyDescent="0.2">
      <c r="A46" s="3">
        <v>1994</v>
      </c>
      <c r="B46" s="5">
        <v>9540.8365842267394</v>
      </c>
      <c r="E46" s="2">
        <v>9539</v>
      </c>
      <c r="F46">
        <v>8713.6159727048707</v>
      </c>
      <c r="J46" s="5">
        <v>8575.1832017820198</v>
      </c>
      <c r="K46" s="5">
        <v>9984.0430420144094</v>
      </c>
      <c r="O46">
        <v>8470.4276019791105</v>
      </c>
      <c r="P46">
        <v>1785.65788489849</v>
      </c>
      <c r="U46" s="2">
        <v>11560</v>
      </c>
      <c r="X46">
        <v>3465.8187599364001</v>
      </c>
      <c r="AD46">
        <v>3465.8187599364001</v>
      </c>
    </row>
    <row r="47" spans="1:30" x14ac:dyDescent="0.2">
      <c r="A47" s="3">
        <v>1995</v>
      </c>
      <c r="B47" s="5">
        <v>10071.0249156635</v>
      </c>
      <c r="E47" s="2">
        <v>10070</v>
      </c>
      <c r="F47">
        <v>8999.8802776672201</v>
      </c>
      <c r="J47" s="5">
        <v>8648.2132817462807</v>
      </c>
      <c r="K47" s="5">
        <v>10231.3712494418</v>
      </c>
      <c r="O47">
        <v>8586.5085381166391</v>
      </c>
      <c r="P47">
        <v>2154.5353346275606</v>
      </c>
      <c r="U47" s="2">
        <v>12043</v>
      </c>
      <c r="X47">
        <v>3481.7170111287701</v>
      </c>
      <c r="AD47">
        <v>3481.7170111287701</v>
      </c>
    </row>
    <row r="48" spans="1:30" x14ac:dyDescent="0.2">
      <c r="A48" s="3">
        <v>1996</v>
      </c>
      <c r="B48" s="5">
        <v>11089.061300048999</v>
      </c>
      <c r="E48" s="2">
        <v>11084</v>
      </c>
      <c r="F48">
        <v>9625.5202677924099</v>
      </c>
      <c r="J48" s="5">
        <v>9142.4303155591297</v>
      </c>
      <c r="K48" s="5">
        <v>10841.795286184</v>
      </c>
      <c r="O48">
        <v>9187.9023795343001</v>
      </c>
      <c r="P48">
        <v>1979.8056073368007</v>
      </c>
      <c r="U48" s="2">
        <v>12489</v>
      </c>
      <c r="X48">
        <v>3809.2209856915701</v>
      </c>
      <c r="AD48">
        <v>3809.2209856915701</v>
      </c>
    </row>
    <row r="49" spans="1:30" x14ac:dyDescent="0.2">
      <c r="A49" s="3">
        <v>1997</v>
      </c>
      <c r="B49" s="5">
        <v>11523.801099387099</v>
      </c>
      <c r="E49" s="2">
        <v>11514</v>
      </c>
      <c r="F49">
        <v>9763.3090783790394</v>
      </c>
      <c r="J49" s="5">
        <v>9767.4219998087701</v>
      </c>
      <c r="K49" s="5">
        <v>11292.470277574301</v>
      </c>
      <c r="O49">
        <v>9536.9428566271908</v>
      </c>
      <c r="P49">
        <v>2135.036766886009</v>
      </c>
      <c r="U49" s="2">
        <v>13082</v>
      </c>
      <c r="X49">
        <v>4146.2639109697902</v>
      </c>
      <c r="AD49">
        <v>4146.2639109697902</v>
      </c>
    </row>
    <row r="50" spans="1:30" x14ac:dyDescent="0.2">
      <c r="A50" s="3">
        <v>1998</v>
      </c>
      <c r="B50" s="5">
        <v>12223.678836700101</v>
      </c>
      <c r="E50" s="2">
        <v>12228</v>
      </c>
      <c r="F50">
        <v>10219.259662627899</v>
      </c>
      <c r="J50" s="5">
        <v>10043.792675270401</v>
      </c>
      <c r="K50" s="5">
        <v>11568.840953036</v>
      </c>
      <c r="O50">
        <v>9905.3529853112905</v>
      </c>
      <c r="P50">
        <v>2115.6912870730102</v>
      </c>
      <c r="U50" s="2">
        <v>13440</v>
      </c>
      <c r="X50">
        <v>4435.6120826709002</v>
      </c>
      <c r="AD50">
        <v>4435.6120826709002</v>
      </c>
    </row>
    <row r="51" spans="1:30" x14ac:dyDescent="0.2">
      <c r="A51" s="3">
        <v>1999</v>
      </c>
      <c r="B51" s="5">
        <v>12764.475687181999</v>
      </c>
      <c r="E51" s="2">
        <v>12767</v>
      </c>
      <c r="F51">
        <v>10452.500131903</v>
      </c>
      <c r="J51" s="5">
        <v>10233.029758164001</v>
      </c>
      <c r="K51" s="5">
        <v>11903.321318427699</v>
      </c>
      <c r="O51">
        <v>10118.5238971867</v>
      </c>
      <c r="P51">
        <v>2115.6832298136997</v>
      </c>
      <c r="U51" s="2">
        <v>14223</v>
      </c>
      <c r="X51">
        <v>4906.2003179650201</v>
      </c>
      <c r="AD51">
        <v>4906.2003179650201</v>
      </c>
    </row>
    <row r="52" spans="1:30" x14ac:dyDescent="0.2">
      <c r="A52" s="3">
        <v>2000</v>
      </c>
      <c r="B52" s="5">
        <v>13199.2123599304</v>
      </c>
      <c r="E52" s="2">
        <v>13199</v>
      </c>
      <c r="F52">
        <v>10876.6314121959</v>
      </c>
      <c r="J52" s="5">
        <v>10335.108494627901</v>
      </c>
      <c r="K52" s="5">
        <v>12019.930571606799</v>
      </c>
      <c r="O52">
        <v>10389.9568517644</v>
      </c>
      <c r="P52">
        <v>2057.4292443709001</v>
      </c>
      <c r="U52" s="2">
        <v>15122</v>
      </c>
      <c r="X52">
        <v>5096.9793322734504</v>
      </c>
      <c r="Y52" s="2">
        <v>5654</v>
      </c>
      <c r="AD52" s="29">
        <v>5654</v>
      </c>
    </row>
    <row r="53" spans="1:30" x14ac:dyDescent="0.2">
      <c r="A53" s="3">
        <v>2001</v>
      </c>
      <c r="B53" s="5">
        <v>13633.9521592684</v>
      </c>
      <c r="E53" s="2">
        <v>13636</v>
      </c>
      <c r="F53">
        <v>11025.025615237901</v>
      </c>
      <c r="J53" s="5">
        <v>11105.312519048801</v>
      </c>
      <c r="K53" s="5">
        <v>12630.3731737451</v>
      </c>
      <c r="O53">
        <v>11165.975676100699</v>
      </c>
      <c r="P53">
        <v>1843.9440993789012</v>
      </c>
      <c r="U53" s="2">
        <v>14938</v>
      </c>
      <c r="X53">
        <v>5020.6677265500803</v>
      </c>
      <c r="Y53">
        <v>5129</v>
      </c>
      <c r="AD53" s="30">
        <v>5129</v>
      </c>
    </row>
    <row r="54" spans="1:30" x14ac:dyDescent="0.2">
      <c r="A54" s="3">
        <v>2002</v>
      </c>
      <c r="B54" s="5">
        <v>13496.0038926042</v>
      </c>
      <c r="E54" s="2">
        <v>13487</v>
      </c>
      <c r="F54">
        <v>10834.0503862966</v>
      </c>
      <c r="H54" s="9">
        <v>10809.58676650121</v>
      </c>
      <c r="J54" s="5">
        <v>10960.4838637312</v>
      </c>
      <c r="K54" s="5">
        <v>12456.483484997099</v>
      </c>
      <c r="N54" s="8">
        <v>10941.278744914807</v>
      </c>
      <c r="O54">
        <v>10816.2825609966</v>
      </c>
      <c r="P54">
        <v>1921.5838509317</v>
      </c>
      <c r="U54" s="2">
        <v>15133</v>
      </c>
      <c r="X54">
        <v>4979.3322734499197</v>
      </c>
      <c r="Y54">
        <v>5059</v>
      </c>
      <c r="Z54">
        <v>5159</v>
      </c>
      <c r="AD54" s="31">
        <v>5159</v>
      </c>
    </row>
    <row r="55" spans="1:30" x14ac:dyDescent="0.2">
      <c r="A55" s="3">
        <v>2003</v>
      </c>
      <c r="B55" s="5">
        <v>13708.030450378699</v>
      </c>
      <c r="E55" s="2">
        <v>13699</v>
      </c>
      <c r="F55">
        <v>10982.4445893387</v>
      </c>
      <c r="H55" s="9">
        <v>10866.733056392211</v>
      </c>
      <c r="J55" s="5">
        <v>11135.1904299095</v>
      </c>
      <c r="K55" s="5">
        <v>12485.959145608</v>
      </c>
      <c r="N55" s="8">
        <v>10960.979235500001</v>
      </c>
      <c r="O55">
        <v>10738.280232771</v>
      </c>
      <c r="P55">
        <v>1785.7465147517996</v>
      </c>
      <c r="U55" s="2">
        <v>15641</v>
      </c>
      <c r="X55">
        <v>4944.3561208267001</v>
      </c>
      <c r="Y55">
        <v>5167</v>
      </c>
      <c r="Z55">
        <v>5061</v>
      </c>
      <c r="AA55">
        <v>5062</v>
      </c>
      <c r="AD55" s="32">
        <v>5062</v>
      </c>
    </row>
    <row r="56" spans="1:30" x14ac:dyDescent="0.2">
      <c r="A56" s="3">
        <v>2004</v>
      </c>
      <c r="B56" s="5">
        <v>14598.8052518891</v>
      </c>
      <c r="E56" s="2">
        <v>14594</v>
      </c>
      <c r="F56">
        <v>11873.219390849101</v>
      </c>
      <c r="H56" s="9">
        <v>11708.63189590732</v>
      </c>
      <c r="J56" s="5">
        <v>11222.7572150544</v>
      </c>
      <c r="K56" s="5">
        <v>12834.951462318801</v>
      </c>
      <c r="N56" s="8">
        <v>11339.042038999998</v>
      </c>
      <c r="O56">
        <v>11165.0168622324</v>
      </c>
      <c r="P56">
        <v>2076.8311249997005</v>
      </c>
      <c r="U56" s="2">
        <v>16743</v>
      </c>
      <c r="X56">
        <v>5246.4228934817102</v>
      </c>
      <c r="Y56">
        <v>5451</v>
      </c>
      <c r="Z56">
        <v>5331</v>
      </c>
      <c r="AA56">
        <v>5394</v>
      </c>
      <c r="AD56" s="32">
        <v>5394</v>
      </c>
    </row>
    <row r="57" spans="1:30" x14ac:dyDescent="0.2">
      <c r="A57" s="3">
        <v>2005</v>
      </c>
      <c r="B57" s="5">
        <v>14938.096519128499</v>
      </c>
      <c r="C57" s="1">
        <v>14947</v>
      </c>
      <c r="E57" s="2">
        <v>14927</v>
      </c>
      <c r="F57">
        <v>12233.7183164095</v>
      </c>
      <c r="H57" s="9">
        <v>12116.306508800702</v>
      </c>
      <c r="J57" s="5">
        <v>11775.102504193401</v>
      </c>
      <c r="K57" s="5">
        <v>13488.9670492066</v>
      </c>
      <c r="N57" s="8">
        <v>11842.371557000002</v>
      </c>
      <c r="O57">
        <v>11746.9604794649</v>
      </c>
      <c r="P57">
        <v>2135.0528814048994</v>
      </c>
      <c r="Q57">
        <v>14389</v>
      </c>
      <c r="R57">
        <v>2115</v>
      </c>
      <c r="U57" s="2">
        <v>16558</v>
      </c>
      <c r="W57">
        <v>16460</v>
      </c>
      <c r="X57">
        <v>5224.1653418123997</v>
      </c>
      <c r="Y57">
        <v>5461</v>
      </c>
      <c r="Z57">
        <v>5375</v>
      </c>
      <c r="AA57">
        <v>5314</v>
      </c>
      <c r="AD57" s="32">
        <v>5314</v>
      </c>
    </row>
    <row r="58" spans="1:30" x14ac:dyDescent="0.2">
      <c r="A58" s="3">
        <v>2006</v>
      </c>
      <c r="B58" s="5">
        <v>14991.042190071899</v>
      </c>
      <c r="C58" s="1">
        <v>14993</v>
      </c>
      <c r="E58" s="2">
        <v>14983</v>
      </c>
      <c r="F58">
        <v>12159.4024044777</v>
      </c>
      <c r="H58" s="9">
        <v>12032.764959251204</v>
      </c>
      <c r="J58" s="5">
        <v>11964.3086447601</v>
      </c>
      <c r="K58" s="5">
        <v>13896.0319250552</v>
      </c>
      <c r="N58" s="8">
        <v>12108.665204999996</v>
      </c>
      <c r="O58">
        <v>11804.827716456601</v>
      </c>
      <c r="P58">
        <v>2639.7032092386999</v>
      </c>
      <c r="Q58">
        <v>14956</v>
      </c>
      <c r="R58">
        <v>2369</v>
      </c>
      <c r="U58" s="2">
        <v>16926</v>
      </c>
      <c r="W58">
        <v>16860</v>
      </c>
      <c r="X58">
        <v>5542.1303656597702</v>
      </c>
      <c r="Z58">
        <v>5812</v>
      </c>
      <c r="AA58">
        <v>5719</v>
      </c>
      <c r="AB58">
        <v>5083</v>
      </c>
      <c r="AD58" s="30">
        <v>5083</v>
      </c>
    </row>
    <row r="59" spans="1:30" x14ac:dyDescent="0.2">
      <c r="A59" s="3">
        <v>2007</v>
      </c>
      <c r="B59" s="5">
        <v>15521.2305215086</v>
      </c>
      <c r="C59" s="1">
        <v>15399</v>
      </c>
      <c r="E59" s="2">
        <v>15508</v>
      </c>
      <c r="F59">
        <v>12519.901330038199</v>
      </c>
      <c r="H59" s="9">
        <v>12290.122073197888</v>
      </c>
      <c r="J59" s="5">
        <v>12139.0213994038</v>
      </c>
      <c r="K59" s="5">
        <v>14186.9578710936</v>
      </c>
      <c r="N59" s="8">
        <v>12352.159975999999</v>
      </c>
      <c r="O59">
        <v>12173.2459024001</v>
      </c>
      <c r="P59">
        <v>2678.5875430901997</v>
      </c>
      <c r="Q59">
        <v>15460</v>
      </c>
      <c r="R59">
        <v>2706</v>
      </c>
      <c r="U59" s="2">
        <v>18036</v>
      </c>
      <c r="W59">
        <v>18248</v>
      </c>
      <c r="X59">
        <v>5497.6152623211401</v>
      </c>
      <c r="Z59">
        <v>5702</v>
      </c>
      <c r="AA59">
        <v>5710</v>
      </c>
      <c r="AB59">
        <v>5717</v>
      </c>
      <c r="AD59" s="30">
        <v>5717</v>
      </c>
    </row>
    <row r="60" spans="1:30" x14ac:dyDescent="0.2">
      <c r="A60" s="3">
        <v>2008</v>
      </c>
      <c r="B60" s="5">
        <v>15542.3600150857</v>
      </c>
      <c r="C60" s="1">
        <v>15612</v>
      </c>
      <c r="D60" s="2">
        <v>15537</v>
      </c>
      <c r="E60" s="2">
        <v>15537</v>
      </c>
      <c r="F60">
        <v>12456.1908105618</v>
      </c>
      <c r="G60" s="7">
        <v>12455.7</v>
      </c>
      <c r="H60" s="9">
        <v>12214.234572190644</v>
      </c>
      <c r="I60" s="7">
        <v>3081.7</v>
      </c>
      <c r="J60" s="5">
        <v>12415.398263330901</v>
      </c>
      <c r="K60" s="5">
        <v>14506.889154373999</v>
      </c>
      <c r="L60" s="7">
        <v>12428.7</v>
      </c>
      <c r="M60" s="7">
        <v>14518.9</v>
      </c>
      <c r="N60" s="8">
        <v>12458.037888000003</v>
      </c>
      <c r="O60">
        <v>12308.817349019801</v>
      </c>
      <c r="P60">
        <v>2756.2031228647993</v>
      </c>
      <c r="Q60">
        <v>15791</v>
      </c>
      <c r="R60">
        <v>2696</v>
      </c>
      <c r="S60" s="7">
        <v>12284.9</v>
      </c>
      <c r="T60" s="7">
        <v>2824.9</v>
      </c>
      <c r="U60" s="2">
        <v>17888</v>
      </c>
      <c r="V60">
        <v>17888</v>
      </c>
      <c r="W60">
        <v>17961</v>
      </c>
      <c r="X60">
        <v>5370.4292527821899</v>
      </c>
      <c r="Z60">
        <v>5407</v>
      </c>
      <c r="AA60">
        <v>5788</v>
      </c>
      <c r="AB60">
        <v>5257</v>
      </c>
      <c r="AD60" s="30">
        <v>5257</v>
      </c>
    </row>
    <row r="61" spans="1:30" x14ac:dyDescent="0.2">
      <c r="A61" s="3">
        <v>2009</v>
      </c>
      <c r="B61" s="5">
        <v>15955.8921561028</v>
      </c>
      <c r="C61" s="1">
        <v>15737</v>
      </c>
      <c r="D61" s="2">
        <v>15945</v>
      </c>
      <c r="E61" s="2">
        <v>15945</v>
      </c>
      <c r="F61">
        <v>12668.220494926099</v>
      </c>
      <c r="G61" s="7">
        <v>12680.5</v>
      </c>
      <c r="H61" s="9">
        <v>12511.266133154695</v>
      </c>
      <c r="I61" s="7">
        <v>3264.4</v>
      </c>
      <c r="J61" s="5">
        <v>12648.2021425085</v>
      </c>
      <c r="K61" s="5">
        <v>14725.1934591633</v>
      </c>
      <c r="L61" s="7">
        <v>12662.4</v>
      </c>
      <c r="M61" s="7">
        <v>14726.5</v>
      </c>
      <c r="N61" s="8">
        <v>12473.208410000001</v>
      </c>
      <c r="O61">
        <v>12094.937398317301</v>
      </c>
      <c r="P61">
        <v>2833.867046195799</v>
      </c>
      <c r="Q61">
        <v>15459</v>
      </c>
      <c r="R61">
        <v>2889</v>
      </c>
      <c r="S61" s="7">
        <v>12121.9</v>
      </c>
      <c r="T61" s="7">
        <v>2847.4</v>
      </c>
      <c r="U61" s="2">
        <v>17899</v>
      </c>
      <c r="V61">
        <v>17899</v>
      </c>
      <c r="W61">
        <v>18215</v>
      </c>
      <c r="AA61">
        <v>4594</v>
      </c>
      <c r="AB61">
        <v>5246</v>
      </c>
      <c r="AD61" s="30">
        <v>5246</v>
      </c>
    </row>
    <row r="62" spans="1:30" x14ac:dyDescent="0.2">
      <c r="A62" s="3">
        <v>2010</v>
      </c>
      <c r="B62" s="5">
        <v>16008.8378270461</v>
      </c>
      <c r="C62" s="1">
        <v>16076</v>
      </c>
      <c r="D62" s="2">
        <v>15990</v>
      </c>
      <c r="E62" s="2">
        <v>15990</v>
      </c>
      <c r="F62">
        <v>12668.1392035924</v>
      </c>
      <c r="G62" s="7">
        <v>12666.1</v>
      </c>
      <c r="H62" s="9">
        <v>12719.949931938118</v>
      </c>
      <c r="I62" s="7">
        <v>3324.4</v>
      </c>
      <c r="J62" s="5">
        <v>12939.115711616199</v>
      </c>
      <c r="K62" s="5">
        <v>15321.0993561211</v>
      </c>
      <c r="L62" s="7">
        <v>12939.7</v>
      </c>
      <c r="M62" s="7">
        <v>15324.1</v>
      </c>
      <c r="N62" s="8">
        <v>12534.391609999995</v>
      </c>
      <c r="O62">
        <v>12366.362295635599</v>
      </c>
      <c r="P62">
        <v>3260.8373361798003</v>
      </c>
      <c r="Q62">
        <v>15726</v>
      </c>
      <c r="R62">
        <v>3375</v>
      </c>
      <c r="S62" s="7">
        <v>12419.7</v>
      </c>
      <c r="T62" s="7">
        <v>3236.4</v>
      </c>
      <c r="U62" s="2">
        <v>19141</v>
      </c>
      <c r="V62" s="2">
        <v>19141</v>
      </c>
      <c r="W62">
        <v>19438</v>
      </c>
      <c r="AA62">
        <v>5192</v>
      </c>
      <c r="AB62">
        <v>5008</v>
      </c>
      <c r="AC62">
        <v>5053.5217316856397</v>
      </c>
      <c r="AD62" s="31">
        <v>5053.5217316856397</v>
      </c>
    </row>
    <row r="63" spans="1:30" x14ac:dyDescent="0.2">
      <c r="A63" s="3">
        <v>2011</v>
      </c>
      <c r="B63" s="5">
        <v>15976.943484936</v>
      </c>
      <c r="C63" s="1">
        <v>16059</v>
      </c>
      <c r="D63" s="2">
        <v>15965</v>
      </c>
      <c r="E63" s="2">
        <v>15965</v>
      </c>
      <c r="F63">
        <v>12508.980152017401</v>
      </c>
      <c r="G63" s="7">
        <v>12506.1</v>
      </c>
      <c r="H63" s="9">
        <v>12571.869195216097</v>
      </c>
      <c r="I63" s="7">
        <v>3458.9</v>
      </c>
      <c r="J63" s="5">
        <v>12779.7627280488</v>
      </c>
      <c r="K63" s="5">
        <v>15306.989655051801</v>
      </c>
      <c r="L63" s="7">
        <v>12781.7</v>
      </c>
      <c r="M63" s="7">
        <v>15311.4</v>
      </c>
      <c r="N63" s="8">
        <v>12963.65742</v>
      </c>
      <c r="O63">
        <v>12657.108500988699</v>
      </c>
      <c r="P63">
        <v>3493.8452206916008</v>
      </c>
      <c r="Q63">
        <v>16135</v>
      </c>
      <c r="R63">
        <v>3515</v>
      </c>
      <c r="S63" s="7">
        <v>12674.1</v>
      </c>
      <c r="T63" s="7">
        <v>3467.6</v>
      </c>
      <c r="U63" s="2">
        <v>19713</v>
      </c>
      <c r="V63" s="2">
        <v>19715</v>
      </c>
      <c r="W63">
        <v>19964</v>
      </c>
      <c r="AA63">
        <v>5173</v>
      </c>
      <c r="AB63">
        <v>5336</v>
      </c>
      <c r="AC63">
        <v>5374.2908995347098</v>
      </c>
      <c r="AD63" s="31">
        <v>5374.2908995347098</v>
      </c>
    </row>
    <row r="64" spans="1:30" x14ac:dyDescent="0.2">
      <c r="A64" s="3">
        <v>2012</v>
      </c>
      <c r="B64" s="5">
        <v>16698.028880570098</v>
      </c>
      <c r="C64" s="1">
        <v>16740</v>
      </c>
      <c r="D64" s="2">
        <v>16692</v>
      </c>
      <c r="E64" s="2">
        <v>16692</v>
      </c>
      <c r="F64">
        <v>13060.376141775199</v>
      </c>
      <c r="G64" s="7">
        <v>13047.6</v>
      </c>
      <c r="H64" s="9">
        <v>13050.538947059174</v>
      </c>
      <c r="I64" s="7">
        <v>3643.9</v>
      </c>
      <c r="J64" s="5">
        <v>13244.931105362</v>
      </c>
      <c r="K64" s="5">
        <v>15917.4013148632</v>
      </c>
      <c r="L64" s="7">
        <v>13269.8</v>
      </c>
      <c r="M64" s="7">
        <v>15955.3</v>
      </c>
      <c r="N64" s="8">
        <v>13008.89264</v>
      </c>
      <c r="O64">
        <v>12947.951393454599</v>
      </c>
      <c r="P64">
        <v>3629.6825568713994</v>
      </c>
      <c r="Q64">
        <v>16530</v>
      </c>
      <c r="R64">
        <v>3606</v>
      </c>
      <c r="S64" s="7">
        <v>12954.4</v>
      </c>
      <c r="T64" s="7">
        <v>3596.5</v>
      </c>
      <c r="U64" s="2">
        <v>20478</v>
      </c>
      <c r="V64" s="2">
        <v>20483</v>
      </c>
      <c r="W64">
        <v>20478</v>
      </c>
      <c r="AB64">
        <v>4799</v>
      </c>
      <c r="AC64">
        <v>4814.9755570491998</v>
      </c>
      <c r="AD64" s="31">
        <v>4814.9755570491998</v>
      </c>
    </row>
    <row r="65" spans="1:30" x14ac:dyDescent="0.2">
      <c r="A65" s="3">
        <v>2013</v>
      </c>
      <c r="B65" s="5">
        <v>18193.307925449</v>
      </c>
      <c r="C65" s="1">
        <v>18032</v>
      </c>
      <c r="D65" s="2">
        <v>18190</v>
      </c>
      <c r="E65" s="2">
        <v>18190</v>
      </c>
      <c r="F65">
        <v>14396.577426412699</v>
      </c>
      <c r="G65" s="7">
        <v>14398.7</v>
      </c>
      <c r="H65" s="9">
        <v>14230.405848390043</v>
      </c>
      <c r="I65" s="7">
        <v>3791.4</v>
      </c>
      <c r="J65" s="5">
        <v>13840.867944646599</v>
      </c>
      <c r="K65" s="5">
        <v>16644.063296861601</v>
      </c>
      <c r="L65" s="7">
        <v>13844.4</v>
      </c>
      <c r="M65" s="7">
        <v>16625.5</v>
      </c>
      <c r="N65" s="8">
        <v>13717.09456</v>
      </c>
      <c r="O65">
        <v>13432.8694930243</v>
      </c>
      <c r="P65">
        <v>3843.1918736414991</v>
      </c>
      <c r="Q65">
        <v>17269</v>
      </c>
      <c r="R65">
        <v>3954</v>
      </c>
      <c r="S65" s="7">
        <v>13463</v>
      </c>
      <c r="T65" s="7">
        <v>3803.5</v>
      </c>
      <c r="U65" s="2">
        <v>21413</v>
      </c>
      <c r="V65" s="2">
        <v>21417</v>
      </c>
      <c r="W65">
        <v>21540</v>
      </c>
      <c r="AB65">
        <v>4783</v>
      </c>
      <c r="AC65">
        <v>4842.7676237565302</v>
      </c>
      <c r="AD65" s="31">
        <v>4842.7676237565302</v>
      </c>
    </row>
    <row r="66" spans="1:30" x14ac:dyDescent="0.2">
      <c r="A66" s="3">
        <v>2014</v>
      </c>
      <c r="B66" s="5">
        <v>18447.756053045199</v>
      </c>
      <c r="C66" s="1">
        <v>18361</v>
      </c>
      <c r="D66" s="2">
        <v>18426</v>
      </c>
      <c r="E66" s="2">
        <v>18426</v>
      </c>
      <c r="F66">
        <v>14523.7639711337</v>
      </c>
      <c r="G66" s="7">
        <v>14520.5</v>
      </c>
      <c r="H66" s="9">
        <v>14420.430333935617</v>
      </c>
      <c r="I66" s="7">
        <v>3905.7</v>
      </c>
      <c r="J66" s="5">
        <v>15206.5694273101</v>
      </c>
      <c r="K66" s="5">
        <v>18067.862092524301</v>
      </c>
      <c r="L66" s="7">
        <v>15220.9</v>
      </c>
      <c r="M66" s="7">
        <v>18045.8</v>
      </c>
      <c r="N66" s="8">
        <v>14696.705820707002</v>
      </c>
      <c r="O66">
        <v>14635.955294457301</v>
      </c>
      <c r="P66">
        <v>3920.7913388974011</v>
      </c>
      <c r="Q66">
        <v>18616</v>
      </c>
      <c r="R66">
        <v>4148</v>
      </c>
      <c r="S66" s="7">
        <v>14669.8</v>
      </c>
      <c r="T66" s="7">
        <v>3915</v>
      </c>
      <c r="U66" s="2">
        <v>22922</v>
      </c>
      <c r="V66" s="2">
        <v>22927</v>
      </c>
      <c r="W66">
        <v>23211</v>
      </c>
      <c r="AB66">
        <v>4603</v>
      </c>
      <c r="AC66">
        <v>4967.8319239396405</v>
      </c>
      <c r="AD66" s="31">
        <v>4967.8319239396405</v>
      </c>
    </row>
    <row r="67" spans="1:30" x14ac:dyDescent="0.2">
      <c r="A67" s="3">
        <v>2015</v>
      </c>
      <c r="B67" s="5">
        <v>19147.630663768399</v>
      </c>
      <c r="C67" s="1">
        <v>19272</v>
      </c>
      <c r="D67" s="2">
        <v>19149</v>
      </c>
      <c r="E67" s="2">
        <v>19168</v>
      </c>
      <c r="F67">
        <v>15202.4277969462</v>
      </c>
      <c r="G67" s="7">
        <v>15234.4</v>
      </c>
      <c r="H67" s="9">
        <v>15060.121037994417</v>
      </c>
      <c r="I67" s="7">
        <v>3914.4</v>
      </c>
      <c r="J67" s="5">
        <v>15700.8112149845</v>
      </c>
      <c r="K67" s="5">
        <v>18576.634396913902</v>
      </c>
      <c r="L67" s="7">
        <v>15696.8</v>
      </c>
      <c r="M67" s="7">
        <v>18511.8</v>
      </c>
      <c r="N67" s="8">
        <v>15292.377624000001</v>
      </c>
      <c r="O67">
        <v>15004.3734804008</v>
      </c>
      <c r="P67">
        <v>3901.4539163438003</v>
      </c>
      <c r="Q67">
        <v>18817</v>
      </c>
      <c r="R67">
        <v>4110</v>
      </c>
      <c r="S67" s="7">
        <v>14982.7</v>
      </c>
      <c r="T67" s="7">
        <v>3945.5</v>
      </c>
      <c r="U67" s="2">
        <v>23077</v>
      </c>
      <c r="V67" s="2">
        <v>23081</v>
      </c>
      <c r="W67">
        <v>22882</v>
      </c>
      <c r="AC67">
        <v>4897.1937543917702</v>
      </c>
      <c r="AD67" s="31">
        <v>4897.1937543917702</v>
      </c>
    </row>
    <row r="68" spans="1:30" x14ac:dyDescent="0.2">
      <c r="A68" s="3">
        <v>2016</v>
      </c>
      <c r="B68" s="5">
        <v>20197.486352110001</v>
      </c>
      <c r="C68" s="1">
        <v>20088</v>
      </c>
      <c r="D68" s="2">
        <v>20357</v>
      </c>
      <c r="E68" s="2">
        <v>20357</v>
      </c>
      <c r="F68">
        <v>16390.150460618301</v>
      </c>
      <c r="G68" s="7">
        <v>16474.7</v>
      </c>
      <c r="H68" s="9">
        <v>16148.220232331854</v>
      </c>
      <c r="I68" s="7">
        <v>3881.8</v>
      </c>
      <c r="J68" s="5">
        <v>16093.370327979301</v>
      </c>
      <c r="K68" s="5">
        <v>19012.766494658201</v>
      </c>
      <c r="L68" s="7">
        <v>16062.1</v>
      </c>
      <c r="M68" s="7">
        <v>18951.900000000001</v>
      </c>
      <c r="N68" s="8">
        <v>16183.556444</v>
      </c>
      <c r="O68">
        <v>15566.9232742639</v>
      </c>
      <c r="P68">
        <v>3920.8316251942997</v>
      </c>
      <c r="Q68">
        <v>19341</v>
      </c>
      <c r="R68">
        <v>4112</v>
      </c>
      <c r="S68" s="7">
        <v>15589.9</v>
      </c>
      <c r="T68" s="7">
        <v>3866.1</v>
      </c>
      <c r="U68" s="2">
        <v>23600</v>
      </c>
      <c r="V68" s="2">
        <v>23605</v>
      </c>
      <c r="W68">
        <v>23299</v>
      </c>
      <c r="AC68">
        <v>4915.7217988633502</v>
      </c>
      <c r="AD68" s="31">
        <v>4915.7217988633502</v>
      </c>
    </row>
    <row r="69" spans="1:30" x14ac:dyDescent="0.2">
      <c r="A69" s="3">
        <v>2017</v>
      </c>
      <c r="B69" s="5">
        <v>19997</v>
      </c>
      <c r="C69" s="1">
        <v>20087</v>
      </c>
      <c r="D69" s="2">
        <v>20038</v>
      </c>
      <c r="E69" s="2">
        <v>20000</v>
      </c>
      <c r="F69">
        <v>16240</v>
      </c>
      <c r="G69" s="7">
        <v>16291</v>
      </c>
      <c r="H69" s="9">
        <v>15888.273756140754</v>
      </c>
      <c r="I69" s="7">
        <v>3747.4</v>
      </c>
      <c r="J69" s="5">
        <v>16142.502699999999</v>
      </c>
      <c r="K69" s="5">
        <v>19172.798900000002</v>
      </c>
      <c r="L69" s="7">
        <v>16209.3</v>
      </c>
      <c r="M69" s="7">
        <v>19230.7</v>
      </c>
      <c r="N69" s="8">
        <v>16150.639048035602</v>
      </c>
      <c r="O69">
        <v>15720.2628</v>
      </c>
      <c r="P69">
        <v>4057.7777000000001</v>
      </c>
      <c r="Q69">
        <v>19513</v>
      </c>
      <c r="R69">
        <v>4165</v>
      </c>
      <c r="S69" s="7">
        <v>15722.2</v>
      </c>
      <c r="T69" s="7">
        <v>4053.1</v>
      </c>
      <c r="U69" s="2">
        <v>23755</v>
      </c>
      <c r="V69" s="2">
        <v>23789</v>
      </c>
      <c r="W69">
        <v>23631</v>
      </c>
    </row>
    <row r="70" spans="1:30" x14ac:dyDescent="0.2">
      <c r="A70" s="3">
        <v>2018</v>
      </c>
      <c r="C70" s="1">
        <v>20539</v>
      </c>
      <c r="H70" s="9">
        <v>16304.162847032028</v>
      </c>
      <c r="N70" s="8">
        <v>16814.887597693334</v>
      </c>
      <c r="Q70">
        <v>19520</v>
      </c>
      <c r="R70">
        <v>4312</v>
      </c>
      <c r="W70">
        <v>22131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2"/>
  <sheetViews>
    <sheetView tabSelected="1" workbookViewId="0">
      <pane xSplit="1" ySplit="1" topLeftCell="B51" activePane="bottomRight" state="frozen"/>
      <selection pane="topRight" activeCell="B1" sqref="B1"/>
      <selection pane="bottomLeft" activeCell="A2" sqref="A2"/>
      <selection pane="bottomRight" activeCell="H70" sqref="H70:I70"/>
    </sheetView>
  </sheetViews>
  <sheetFormatPr baseColWidth="10" defaultColWidth="8.83203125" defaultRowHeight="15" x14ac:dyDescent="0.2"/>
  <cols>
    <col min="1" max="1" width="9.83203125" customWidth="1"/>
    <col min="2" max="3" width="19.5" bestFit="1" customWidth="1"/>
    <col min="4" max="4" width="15" bestFit="1" customWidth="1"/>
    <col min="5" max="5" width="21" bestFit="1" customWidth="1"/>
    <col min="6" max="6" width="23.1640625" bestFit="1" customWidth="1"/>
    <col min="7" max="7" width="25.33203125" bestFit="1" customWidth="1"/>
    <col min="8" max="8" width="23.1640625" bestFit="1" customWidth="1"/>
    <col min="9" max="9" width="28.33203125" bestFit="1" customWidth="1"/>
    <col min="10" max="10" width="13.6640625" bestFit="1" customWidth="1"/>
    <col min="11" max="11" width="12" bestFit="1" customWidth="1"/>
  </cols>
  <sheetData>
    <row r="1" spans="1:15" x14ac:dyDescent="0.2">
      <c r="B1" t="s">
        <v>6</v>
      </c>
      <c r="C1" t="s">
        <v>15</v>
      </c>
      <c r="D1" t="s">
        <v>18</v>
      </c>
      <c r="E1" t="s">
        <v>31</v>
      </c>
      <c r="F1" t="s">
        <v>39</v>
      </c>
      <c r="G1" t="s">
        <v>48</v>
      </c>
      <c r="H1" t="s">
        <v>55</v>
      </c>
      <c r="I1" t="s">
        <v>56</v>
      </c>
      <c r="J1" t="s">
        <v>57</v>
      </c>
      <c r="K1" t="s">
        <v>74</v>
      </c>
      <c r="L1" t="s">
        <v>558</v>
      </c>
      <c r="M1" t="s">
        <v>559</v>
      </c>
    </row>
    <row r="2" spans="1:15" x14ac:dyDescent="0.2">
      <c r="A2" s="3">
        <v>1950</v>
      </c>
      <c r="B2" s="5">
        <v>2385.7328498409602</v>
      </c>
      <c r="C2" s="5">
        <v>2385.7328498409602</v>
      </c>
      <c r="D2" s="5">
        <f>B2-C2</f>
        <v>0</v>
      </c>
      <c r="E2" s="5"/>
      <c r="F2" s="5"/>
      <c r="G2" s="5"/>
      <c r="H2" s="5"/>
      <c r="I2" s="5"/>
      <c r="J2" s="5"/>
    </row>
    <row r="3" spans="1:15" x14ac:dyDescent="0.2">
      <c r="A3" s="3">
        <v>1951</v>
      </c>
      <c r="B3" s="5">
        <v>2491.7023564716101</v>
      </c>
      <c r="C3" s="5">
        <v>2491.7023564716101</v>
      </c>
      <c r="D3" s="5">
        <f t="shared" ref="D3:D66" si="0">B3-C3</f>
        <v>0</v>
      </c>
      <c r="E3" s="5"/>
      <c r="F3" s="5"/>
      <c r="G3" s="5"/>
      <c r="H3" s="5"/>
      <c r="I3" s="5"/>
      <c r="J3" s="5"/>
    </row>
    <row r="4" spans="1:15" x14ac:dyDescent="0.2">
      <c r="A4" s="3">
        <v>1952</v>
      </c>
      <c r="B4" s="5">
        <v>2565.8650655053102</v>
      </c>
      <c r="C4" s="5">
        <v>2565.8650655053102</v>
      </c>
      <c r="D4" s="5">
        <f t="shared" si="0"/>
        <v>0</v>
      </c>
      <c r="E4" s="5"/>
      <c r="F4" s="5"/>
      <c r="G4" s="5"/>
      <c r="H4" s="5"/>
      <c r="I4" s="5"/>
      <c r="J4" s="5"/>
    </row>
    <row r="5" spans="1:15" x14ac:dyDescent="0.2">
      <c r="A5" s="3">
        <v>1953</v>
      </c>
      <c r="B5" s="5">
        <v>2586.99455908245</v>
      </c>
      <c r="C5" s="5">
        <v>2586.99455908245</v>
      </c>
      <c r="D5" s="5">
        <f t="shared" si="0"/>
        <v>0</v>
      </c>
      <c r="E5" s="5"/>
      <c r="F5" s="5"/>
      <c r="G5" s="5"/>
      <c r="H5" s="5"/>
      <c r="I5" s="5"/>
      <c r="J5" s="5"/>
    </row>
    <row r="6" spans="1:15" x14ac:dyDescent="0.2">
      <c r="A6" s="3">
        <v>1954</v>
      </c>
      <c r="B6" s="5">
        <v>2639.9402300258098</v>
      </c>
      <c r="C6" s="5">
        <v>2639.9402300258098</v>
      </c>
      <c r="D6" s="5">
        <f t="shared" si="0"/>
        <v>0</v>
      </c>
      <c r="E6" s="5"/>
      <c r="F6" s="5"/>
      <c r="G6" s="5"/>
      <c r="H6" s="5"/>
      <c r="I6" s="5"/>
      <c r="J6" s="5"/>
    </row>
    <row r="7" spans="1:15" x14ac:dyDescent="0.2">
      <c r="A7" s="3">
        <v>1955</v>
      </c>
      <c r="B7" s="5">
        <v>2926.20140839841</v>
      </c>
      <c r="C7" s="5">
        <v>2926.20140839841</v>
      </c>
      <c r="D7" s="5">
        <f t="shared" si="0"/>
        <v>0</v>
      </c>
      <c r="E7" s="5"/>
      <c r="F7" s="5"/>
      <c r="G7" s="5"/>
      <c r="H7" s="5"/>
      <c r="I7" s="5"/>
      <c r="J7" s="5"/>
    </row>
    <row r="8" spans="1:15" x14ac:dyDescent="0.2">
      <c r="A8" s="3">
        <v>1956</v>
      </c>
      <c r="B8" s="5">
        <v>3212.4719665402799</v>
      </c>
      <c r="C8" s="5">
        <v>3212.4719665402799</v>
      </c>
      <c r="D8" s="5">
        <f t="shared" si="0"/>
        <v>0</v>
      </c>
      <c r="E8" s="5"/>
      <c r="F8" s="5"/>
      <c r="G8" s="5"/>
      <c r="H8" s="5"/>
      <c r="I8" s="5"/>
      <c r="J8" s="5"/>
    </row>
    <row r="9" spans="1:15" x14ac:dyDescent="0.2">
      <c r="A9" s="3">
        <v>1957</v>
      </c>
      <c r="B9" s="5">
        <v>3286.6284223944599</v>
      </c>
      <c r="C9" s="5">
        <v>3286.6284223944599</v>
      </c>
      <c r="D9" s="5">
        <f t="shared" si="0"/>
        <v>0</v>
      </c>
      <c r="E9" s="5"/>
      <c r="F9" s="5"/>
      <c r="G9" s="5"/>
      <c r="H9" s="5"/>
      <c r="I9" s="5"/>
      <c r="J9" s="5"/>
    </row>
    <row r="10" spans="1:15" x14ac:dyDescent="0.2">
      <c r="A10" s="3">
        <v>1958</v>
      </c>
      <c r="B10" s="5">
        <v>3191.10172555186</v>
      </c>
      <c r="C10" s="5">
        <v>3191.10172555186</v>
      </c>
      <c r="D10" s="5">
        <f t="shared" si="0"/>
        <v>0</v>
      </c>
      <c r="E10" s="5"/>
      <c r="F10" s="5"/>
      <c r="G10" s="5"/>
      <c r="H10" s="5"/>
      <c r="I10" s="5"/>
      <c r="J10" s="5"/>
    </row>
    <row r="11" spans="1:15" x14ac:dyDescent="0.2">
      <c r="A11" s="3">
        <v>1959</v>
      </c>
      <c r="B11" s="5">
        <v>3445.5498531479898</v>
      </c>
      <c r="C11" s="5">
        <v>3445.5498531479898</v>
      </c>
      <c r="D11" s="5">
        <f t="shared" si="0"/>
        <v>0</v>
      </c>
      <c r="E11" s="5"/>
      <c r="F11" s="5"/>
      <c r="G11" s="5"/>
      <c r="H11" s="5"/>
      <c r="I11" s="5"/>
      <c r="J11" s="5"/>
    </row>
    <row r="12" spans="1:15" x14ac:dyDescent="0.2">
      <c r="A12" s="3">
        <v>1960</v>
      </c>
      <c r="B12" s="5">
        <v>3924</v>
      </c>
      <c r="C12" s="5">
        <v>3933.3166147631</v>
      </c>
      <c r="D12" s="5">
        <v>0</v>
      </c>
      <c r="E12" s="5"/>
      <c r="F12" s="5"/>
      <c r="G12" s="5"/>
      <c r="H12" s="5">
        <v>3746.1180124223602</v>
      </c>
      <c r="I12" s="5">
        <v>756.7780888954203</v>
      </c>
      <c r="J12" s="5">
        <v>4738</v>
      </c>
      <c r="K12">
        <v>1052.4642289348101</v>
      </c>
      <c r="L12" s="2">
        <f t="shared" ref="L12:L69" si="1">SUM(I12,H12,D12)</f>
        <v>4502.8961013177804</v>
      </c>
      <c r="M12" s="2">
        <f>L12-J12</f>
        <v>-235.10389868221955</v>
      </c>
      <c r="N12">
        <f>L12/J12</f>
        <v>0.95037908427981854</v>
      </c>
    </row>
    <row r="13" spans="1:15" x14ac:dyDescent="0.2">
      <c r="A13" s="3">
        <v>1961</v>
      </c>
      <c r="B13" s="5">
        <v>4081</v>
      </c>
      <c r="C13" s="5">
        <v>4081.7108178051399</v>
      </c>
      <c r="D13" s="5">
        <v>0</v>
      </c>
      <c r="E13" s="5"/>
      <c r="F13" s="5"/>
      <c r="G13" s="5"/>
      <c r="H13" s="5">
        <v>3881.6008291886701</v>
      </c>
      <c r="I13" s="5">
        <v>679.20279541781019</v>
      </c>
      <c r="J13" s="5">
        <v>5050</v>
      </c>
      <c r="K13">
        <v>1240.0635930047699</v>
      </c>
      <c r="L13" s="2">
        <f t="shared" si="1"/>
        <v>4560.8036246064803</v>
      </c>
      <c r="M13" s="2">
        <f t="shared" ref="M13:M69" si="2">L13-J13</f>
        <v>-489.1963753935197</v>
      </c>
      <c r="N13">
        <f t="shared" ref="N13:N70" si="3">L13/J13</f>
        <v>0.90312943061514461</v>
      </c>
      <c r="O13">
        <f>1-MIN(N12:N70)</f>
        <v>0.11293906244802165</v>
      </c>
    </row>
    <row r="14" spans="1:15" x14ac:dyDescent="0.2">
      <c r="A14" s="3">
        <v>1962</v>
      </c>
      <c r="B14" s="5">
        <v>4216</v>
      </c>
      <c r="C14" s="5">
        <v>4145.26188120392</v>
      </c>
      <c r="D14" s="5">
        <f t="shared" si="0"/>
        <v>70.738118796080016</v>
      </c>
      <c r="E14" s="5"/>
      <c r="F14" s="5"/>
      <c r="G14" s="5"/>
      <c r="H14" s="5">
        <v>4036.5499846589701</v>
      </c>
      <c r="I14" s="5">
        <v>659.81702930780011</v>
      </c>
      <c r="J14" s="5">
        <v>5048</v>
      </c>
      <c r="K14">
        <v>1240.0635930047699</v>
      </c>
      <c r="L14" s="2">
        <f t="shared" si="1"/>
        <v>4767.1051327628502</v>
      </c>
      <c r="M14" s="2">
        <f t="shared" si="2"/>
        <v>-280.89486723714981</v>
      </c>
      <c r="N14">
        <f t="shared" si="3"/>
        <v>0.94435521647441567</v>
      </c>
      <c r="O14">
        <f>MAX(N12:N70)-1</f>
        <v>7.797147545367622E-2</v>
      </c>
    </row>
    <row r="15" spans="1:15" x14ac:dyDescent="0.2">
      <c r="A15" s="3">
        <v>1963</v>
      </c>
      <c r="B15" s="5">
        <v>4286</v>
      </c>
      <c r="C15" s="5">
        <v>4198.2106787370403</v>
      </c>
      <c r="D15" s="5">
        <f t="shared" si="0"/>
        <v>87.789321262959675</v>
      </c>
      <c r="E15" s="5"/>
      <c r="F15" s="5"/>
      <c r="G15" s="5"/>
      <c r="H15" s="5">
        <v>4172.0086296471</v>
      </c>
      <c r="I15" s="5">
        <v>834.57898563615981</v>
      </c>
      <c r="J15" s="5">
        <v>5500</v>
      </c>
      <c r="K15">
        <v>1211.4467408585001</v>
      </c>
      <c r="L15" s="2">
        <f t="shared" si="1"/>
        <v>5094.3769365462194</v>
      </c>
      <c r="M15" s="2">
        <f t="shared" si="2"/>
        <v>-405.62306345378056</v>
      </c>
      <c r="N15">
        <f t="shared" si="3"/>
        <v>0.92625035209931261</v>
      </c>
    </row>
    <row r="16" spans="1:15" x14ac:dyDescent="0.2">
      <c r="A16" s="3">
        <v>1964</v>
      </c>
      <c r="B16" s="5">
        <v>4443</v>
      </c>
      <c r="C16" s="5">
        <v>4325.39409686826</v>
      </c>
      <c r="D16" s="5">
        <f t="shared" si="0"/>
        <v>117.60590313173998</v>
      </c>
      <c r="E16" s="5"/>
      <c r="F16" s="5"/>
      <c r="G16" s="5"/>
      <c r="H16" s="5">
        <v>4462.7870640378096</v>
      </c>
      <c r="I16" s="5">
        <v>737.53735345456062</v>
      </c>
      <c r="J16" s="5">
        <v>5995</v>
      </c>
      <c r="K16">
        <v>1825.1192368839399</v>
      </c>
      <c r="L16" s="2">
        <f t="shared" si="1"/>
        <v>5317.9303206241102</v>
      </c>
      <c r="M16" s="2">
        <f t="shared" si="2"/>
        <v>-677.06967937588979</v>
      </c>
      <c r="N16">
        <f t="shared" si="3"/>
        <v>0.88706093755197835</v>
      </c>
    </row>
    <row r="17" spans="1:14" x14ac:dyDescent="0.2">
      <c r="A17" s="3">
        <v>1965</v>
      </c>
      <c r="B17" s="5">
        <v>4769</v>
      </c>
      <c r="C17" s="5">
        <v>4643.4777057866004</v>
      </c>
      <c r="D17" s="5">
        <f t="shared" si="0"/>
        <v>125.52229421339962</v>
      </c>
      <c r="E17" s="5"/>
      <c r="F17" s="5"/>
      <c r="G17" s="5"/>
      <c r="H17" s="5">
        <v>4675.9338041351102</v>
      </c>
      <c r="I17" s="5">
        <v>951.0788992623402</v>
      </c>
      <c r="J17" s="5">
        <v>6193</v>
      </c>
      <c r="K17">
        <v>1863.27503974562</v>
      </c>
      <c r="L17" s="2">
        <f t="shared" si="1"/>
        <v>5752.53499761085</v>
      </c>
      <c r="M17" s="2">
        <f t="shared" si="2"/>
        <v>-440.46500238914996</v>
      </c>
      <c r="N17">
        <f t="shared" si="3"/>
        <v>0.9288769574698611</v>
      </c>
    </row>
    <row r="18" spans="1:14" x14ac:dyDescent="0.2">
      <c r="A18" s="3">
        <v>1966</v>
      </c>
      <c r="B18" s="5">
        <v>4987</v>
      </c>
      <c r="C18" s="5">
        <v>4866.1096560164997</v>
      </c>
      <c r="D18" s="5">
        <f t="shared" si="0"/>
        <v>120.89034398350032</v>
      </c>
      <c r="E18" s="5"/>
      <c r="F18" s="5"/>
      <c r="G18" s="5"/>
      <c r="H18" s="5">
        <v>5024.9742812280001</v>
      </c>
      <c r="I18" s="5">
        <v>951.10307104053027</v>
      </c>
      <c r="J18" s="5">
        <v>6445</v>
      </c>
      <c r="K18">
        <v>1875.99364069952</v>
      </c>
      <c r="L18" s="2">
        <f t="shared" si="1"/>
        <v>6096.9676962520307</v>
      </c>
      <c r="M18" s="2">
        <f t="shared" si="2"/>
        <v>-348.03230374796931</v>
      </c>
      <c r="N18">
        <f t="shared" si="3"/>
        <v>0.94599964255268121</v>
      </c>
    </row>
    <row r="19" spans="1:14" x14ac:dyDescent="0.2">
      <c r="A19" s="3">
        <v>1967</v>
      </c>
      <c r="B19" s="5">
        <v>4743</v>
      </c>
      <c r="C19" s="5">
        <v>4399.3910966448402</v>
      </c>
      <c r="D19" s="5">
        <f t="shared" si="0"/>
        <v>343.60890335515978</v>
      </c>
      <c r="E19" s="5"/>
      <c r="F19" s="5"/>
      <c r="G19" s="5"/>
      <c r="H19" s="5">
        <v>4714.0446410845398</v>
      </c>
      <c r="I19" s="5">
        <v>1067.5465838509299</v>
      </c>
      <c r="J19" s="5">
        <v>6195</v>
      </c>
      <c r="K19">
        <v>1799.6820349761499</v>
      </c>
      <c r="L19" s="2">
        <f t="shared" si="1"/>
        <v>6125.2001282906294</v>
      </c>
      <c r="M19" s="2">
        <f t="shared" si="2"/>
        <v>-69.799871709370564</v>
      </c>
      <c r="N19">
        <f t="shared" si="3"/>
        <v>0.98873286978056973</v>
      </c>
    </row>
    <row r="20" spans="1:14" x14ac:dyDescent="0.2">
      <c r="A20" s="3">
        <v>1968</v>
      </c>
      <c r="B20" s="5">
        <v>5010</v>
      </c>
      <c r="C20" s="5">
        <v>4643.2369583753198</v>
      </c>
      <c r="D20" s="5">
        <f t="shared" si="0"/>
        <v>366.76304162468023</v>
      </c>
      <c r="E20" s="5"/>
      <c r="F20" s="5"/>
      <c r="G20" s="5"/>
      <c r="H20" s="5">
        <v>5218.3807358018103</v>
      </c>
      <c r="I20" s="5">
        <v>1125.7683402561397</v>
      </c>
      <c r="J20" s="5">
        <v>6523</v>
      </c>
      <c r="K20">
        <v>1939.5866454689899</v>
      </c>
      <c r="L20" s="2">
        <f t="shared" si="1"/>
        <v>6710.9121176826302</v>
      </c>
      <c r="M20" s="2">
        <f t="shared" si="2"/>
        <v>187.9121176826302</v>
      </c>
      <c r="N20">
        <f t="shared" si="3"/>
        <v>1.0288076219044351</v>
      </c>
    </row>
    <row r="21" spans="1:14" x14ac:dyDescent="0.2">
      <c r="A21" s="3">
        <v>1969</v>
      </c>
      <c r="B21" s="5">
        <v>5682</v>
      </c>
      <c r="C21" s="5">
        <v>5290.0846068215596</v>
      </c>
      <c r="D21" s="5">
        <f t="shared" si="0"/>
        <v>391.91539317844035</v>
      </c>
      <c r="E21" s="5"/>
      <c r="F21" s="5"/>
      <c r="G21" s="5"/>
      <c r="H21" s="5">
        <v>5664.4870168544903</v>
      </c>
      <c r="I21" s="5">
        <v>1203.3758627713396</v>
      </c>
      <c r="J21" s="5">
        <v>7137</v>
      </c>
      <c r="K21">
        <v>2149.4435612082598</v>
      </c>
      <c r="L21" s="2">
        <f t="shared" si="1"/>
        <v>7259.7782728042703</v>
      </c>
      <c r="M21" s="2">
        <f t="shared" si="2"/>
        <v>122.77827280427027</v>
      </c>
      <c r="N21">
        <f t="shared" si="3"/>
        <v>1.0172030647056565</v>
      </c>
    </row>
    <row r="22" spans="1:14" x14ac:dyDescent="0.2">
      <c r="A22" s="3">
        <v>1970</v>
      </c>
      <c r="B22" s="5">
        <v>5900</v>
      </c>
      <c r="C22" s="5">
        <v>5470.2949872298304</v>
      </c>
      <c r="D22" s="5">
        <f t="shared" si="0"/>
        <v>429.70501277016956</v>
      </c>
      <c r="E22" s="5"/>
      <c r="F22" s="5"/>
      <c r="G22" s="5"/>
      <c r="H22" s="5">
        <v>5702.9765449956003</v>
      </c>
      <c r="I22" s="5">
        <v>1358.6875949145096</v>
      </c>
      <c r="J22" s="5">
        <v>7291</v>
      </c>
      <c r="K22">
        <v>1984.10174880763</v>
      </c>
      <c r="L22" s="2">
        <f t="shared" si="1"/>
        <v>7491.3691526802795</v>
      </c>
      <c r="M22" s="2">
        <f t="shared" si="2"/>
        <v>200.36915268027951</v>
      </c>
      <c r="N22">
        <f t="shared" si="3"/>
        <v>1.0274817106954162</v>
      </c>
    </row>
    <row r="23" spans="1:14" x14ac:dyDescent="0.2">
      <c r="A23" s="3">
        <v>1971</v>
      </c>
      <c r="B23" s="5">
        <v>5941</v>
      </c>
      <c r="C23" s="5">
        <v>5491.4244808069698</v>
      </c>
      <c r="D23" s="5">
        <f t="shared" si="0"/>
        <v>449.57551919303023</v>
      </c>
      <c r="E23" s="5"/>
      <c r="F23" s="5"/>
      <c r="G23" s="5"/>
      <c r="H23" s="5">
        <v>5663.7940925463199</v>
      </c>
      <c r="I23" s="5">
        <v>1106.3584023679305</v>
      </c>
      <c r="J23" s="5">
        <v>7296</v>
      </c>
      <c r="K23">
        <v>2054.0540540540501</v>
      </c>
      <c r="L23" s="2">
        <f t="shared" si="1"/>
        <v>7219.7280141072806</v>
      </c>
      <c r="M23" s="2">
        <f t="shared" si="2"/>
        <v>-76.271985892719385</v>
      </c>
      <c r="N23">
        <f t="shared" si="3"/>
        <v>0.98954605456514266</v>
      </c>
    </row>
    <row r="24" spans="1:14" x14ac:dyDescent="0.2">
      <c r="A24" s="3">
        <v>1972</v>
      </c>
      <c r="B24" s="5">
        <v>6541</v>
      </c>
      <c r="C24" s="5">
        <v>6042.8267237442997</v>
      </c>
      <c r="D24" s="5">
        <f t="shared" si="0"/>
        <v>498.17327625570033</v>
      </c>
      <c r="E24" s="5"/>
      <c r="F24" s="5"/>
      <c r="G24" s="5"/>
      <c r="H24" s="5">
        <v>6342.7793419604004</v>
      </c>
      <c r="I24" s="5">
        <v>1145.2024499225199</v>
      </c>
      <c r="J24" s="5">
        <v>7942</v>
      </c>
      <c r="K24">
        <v>2143.0842607313198</v>
      </c>
      <c r="L24" s="2">
        <f t="shared" si="1"/>
        <v>7986.1550681386207</v>
      </c>
      <c r="M24" s="2">
        <f t="shared" si="2"/>
        <v>44.155068138620663</v>
      </c>
      <c r="N24">
        <f t="shared" si="3"/>
        <v>1.0055596912791012</v>
      </c>
    </row>
    <row r="25" spans="1:14" x14ac:dyDescent="0.2">
      <c r="A25" s="3">
        <v>1973</v>
      </c>
      <c r="B25" s="5">
        <v>6915</v>
      </c>
      <c r="C25" s="5">
        <v>6392.7233834391</v>
      </c>
      <c r="D25" s="5">
        <f t="shared" si="0"/>
        <v>522.27661656090004</v>
      </c>
      <c r="E25" s="5"/>
      <c r="F25" s="5"/>
      <c r="G25" s="5"/>
      <c r="H25" s="5">
        <v>6555.9583110952899</v>
      </c>
      <c r="I25" s="5">
        <v>1203.4403208465201</v>
      </c>
      <c r="J25" s="5">
        <v>8740</v>
      </c>
      <c r="K25">
        <v>2422.8934817170102</v>
      </c>
      <c r="L25" s="2">
        <f t="shared" si="1"/>
        <v>8281.67524850271</v>
      </c>
      <c r="M25" s="2">
        <f t="shared" si="2"/>
        <v>-458.32475149728998</v>
      </c>
      <c r="N25">
        <f t="shared" si="3"/>
        <v>0.94756009708268996</v>
      </c>
    </row>
    <row r="26" spans="1:14" x14ac:dyDescent="0.2">
      <c r="A26" s="3">
        <v>1974</v>
      </c>
      <c r="B26" s="5">
        <v>7097</v>
      </c>
      <c r="C26" s="5">
        <v>6583.5391563027797</v>
      </c>
      <c r="D26" s="5">
        <f t="shared" si="0"/>
        <v>513.4608436972203</v>
      </c>
      <c r="E26" s="5"/>
      <c r="F26" s="5"/>
      <c r="G26" s="5"/>
      <c r="H26" s="5">
        <v>6846.77703178298</v>
      </c>
      <c r="I26" s="5">
        <v>1281.0559006211197</v>
      </c>
      <c r="J26" s="5">
        <v>8310</v>
      </c>
      <c r="K26">
        <v>2235.2941176470499</v>
      </c>
      <c r="L26" s="2">
        <f t="shared" si="1"/>
        <v>8641.29377610132</v>
      </c>
      <c r="M26" s="2">
        <f t="shared" si="2"/>
        <v>331.29377610131996</v>
      </c>
      <c r="N26">
        <f t="shared" si="3"/>
        <v>1.0398668803972708</v>
      </c>
    </row>
    <row r="27" spans="1:14" x14ac:dyDescent="0.2">
      <c r="A27" s="3">
        <v>1975</v>
      </c>
      <c r="B27" s="5">
        <v>6735</v>
      </c>
      <c r="C27" s="5">
        <v>6254.6906988514302</v>
      </c>
      <c r="D27" s="5">
        <f t="shared" si="0"/>
        <v>480.30930114856983</v>
      </c>
      <c r="E27" s="5"/>
      <c r="F27" s="5"/>
      <c r="G27" s="5"/>
      <c r="H27" s="5">
        <v>6535.88767793651</v>
      </c>
      <c r="I27" s="5">
        <v>1009.30065566754</v>
      </c>
      <c r="J27" s="5">
        <v>7445</v>
      </c>
      <c r="K27">
        <v>1796.5023847376699</v>
      </c>
      <c r="L27" s="2">
        <f t="shared" si="1"/>
        <v>8025.4976347526199</v>
      </c>
      <c r="M27" s="2">
        <f t="shared" si="2"/>
        <v>580.49763475261989</v>
      </c>
      <c r="N27">
        <f t="shared" si="3"/>
        <v>1.0779714754536762</v>
      </c>
    </row>
    <row r="28" spans="1:14" x14ac:dyDescent="0.2">
      <c r="A28" s="3">
        <v>1976</v>
      </c>
      <c r="B28" s="5">
        <v>7289</v>
      </c>
      <c r="C28" s="5">
        <v>6731.8551946009002</v>
      </c>
      <c r="D28" s="5">
        <f t="shared" si="0"/>
        <v>557.14480539909982</v>
      </c>
      <c r="E28" s="5"/>
      <c r="F28" s="5"/>
      <c r="G28" s="5"/>
      <c r="H28" s="5">
        <v>6923.7238590276102</v>
      </c>
      <c r="I28" s="5">
        <v>1125.8730846282997</v>
      </c>
      <c r="J28" s="5">
        <v>8539</v>
      </c>
      <c r="K28">
        <v>2063.5930047694701</v>
      </c>
      <c r="L28" s="2">
        <f t="shared" si="1"/>
        <v>8606.7417490550106</v>
      </c>
      <c r="M28" s="2">
        <f t="shared" si="2"/>
        <v>67.741749055010587</v>
      </c>
      <c r="N28">
        <f t="shared" si="3"/>
        <v>1.0079332180647629</v>
      </c>
    </row>
    <row r="29" spans="1:14" x14ac:dyDescent="0.2">
      <c r="A29" s="3">
        <v>1977</v>
      </c>
      <c r="B29" s="5">
        <v>7444</v>
      </c>
      <c r="C29" s="5">
        <v>6859.0386127321199</v>
      </c>
      <c r="D29" s="5">
        <f t="shared" si="0"/>
        <v>584.96138726788013</v>
      </c>
      <c r="E29" s="5"/>
      <c r="F29" s="5"/>
      <c r="G29" s="5"/>
      <c r="H29" s="5">
        <v>7195.1245845677004</v>
      </c>
      <c r="I29" s="5">
        <v>1145.1702208849292</v>
      </c>
      <c r="J29" s="5">
        <v>9057</v>
      </c>
      <c r="K29">
        <v>2025.43720190779</v>
      </c>
      <c r="L29" s="2">
        <f t="shared" si="1"/>
        <v>8925.2561927205097</v>
      </c>
      <c r="M29" s="2">
        <f t="shared" si="2"/>
        <v>-131.74380727949028</v>
      </c>
      <c r="N29">
        <f t="shared" si="3"/>
        <v>0.98545392433703316</v>
      </c>
    </row>
    <row r="30" spans="1:14" x14ac:dyDescent="0.2">
      <c r="A30" s="3">
        <v>1978</v>
      </c>
      <c r="B30" s="5">
        <v>7306</v>
      </c>
      <c r="C30" s="5">
        <v>6763.5087892997599</v>
      </c>
      <c r="D30" s="5">
        <f t="shared" si="0"/>
        <v>542.49121070024012</v>
      </c>
      <c r="E30" s="5"/>
      <c r="F30" s="5"/>
      <c r="G30" s="5"/>
      <c r="H30" s="5">
        <v>7194.8103514512004</v>
      </c>
      <c r="I30" s="5">
        <v>1281.0075570647296</v>
      </c>
      <c r="J30" s="5">
        <v>9527</v>
      </c>
      <c r="K30">
        <v>2200.3179650238399</v>
      </c>
      <c r="L30" s="2">
        <f t="shared" si="1"/>
        <v>9018.3091192161701</v>
      </c>
      <c r="M30" s="2">
        <f t="shared" si="2"/>
        <v>-508.69088078382993</v>
      </c>
      <c r="N30">
        <f t="shared" si="3"/>
        <v>0.94660534472721425</v>
      </c>
    </row>
    <row r="31" spans="1:14" x14ac:dyDescent="0.2">
      <c r="A31" s="3">
        <v>1979</v>
      </c>
      <c r="B31" s="5">
        <v>7371</v>
      </c>
      <c r="C31" s="5">
        <v>6848.2706376093502</v>
      </c>
      <c r="D31" s="5">
        <f t="shared" si="0"/>
        <v>522.72936239064984</v>
      </c>
      <c r="E31" s="5"/>
      <c r="F31" s="5"/>
      <c r="G31" s="5"/>
      <c r="H31" s="5">
        <v>7136.2340756325202</v>
      </c>
      <c r="I31" s="5">
        <v>1416.9496376166999</v>
      </c>
      <c r="J31" s="5">
        <v>9848</v>
      </c>
      <c r="K31">
        <v>2527.8219395866399</v>
      </c>
      <c r="L31" s="2">
        <f t="shared" si="1"/>
        <v>9075.9130756398699</v>
      </c>
      <c r="M31" s="2">
        <f t="shared" si="2"/>
        <v>-772.08692436013007</v>
      </c>
      <c r="N31">
        <f t="shared" si="3"/>
        <v>0.92159962181558386</v>
      </c>
    </row>
    <row r="32" spans="1:14" x14ac:dyDescent="0.2">
      <c r="A32" s="3">
        <v>1980</v>
      </c>
      <c r="B32" s="5">
        <v>7227</v>
      </c>
      <c r="C32" s="5">
        <v>6636.0846237572596</v>
      </c>
      <c r="D32" s="5">
        <f t="shared" si="0"/>
        <v>590.91537624274042</v>
      </c>
      <c r="E32" s="5">
        <v>7610.7541913702398</v>
      </c>
      <c r="F32" s="5">
        <v>7116.9208424110302</v>
      </c>
      <c r="G32" s="5">
        <f>E32-F32</f>
        <v>493.83334895920962</v>
      </c>
      <c r="H32" s="5">
        <v>7077.6255707762502</v>
      </c>
      <c r="I32" s="5">
        <v>1455.7453416149092</v>
      </c>
      <c r="J32" s="5">
        <v>9396</v>
      </c>
      <c r="K32">
        <v>2585.05564387917</v>
      </c>
      <c r="L32" s="2">
        <f t="shared" si="1"/>
        <v>9124.2862886338989</v>
      </c>
      <c r="M32" s="2">
        <f t="shared" si="2"/>
        <v>-271.71371136610105</v>
      </c>
      <c r="N32">
        <f t="shared" si="3"/>
        <v>0.97108198048466354</v>
      </c>
    </row>
    <row r="33" spans="1:14" x14ac:dyDescent="0.2">
      <c r="A33" s="3">
        <v>1981</v>
      </c>
      <c r="B33" s="5">
        <v>7721</v>
      </c>
      <c r="C33" s="5">
        <v>7039.0082457291101</v>
      </c>
      <c r="D33" s="5">
        <f t="shared" si="0"/>
        <v>681.99175427088994</v>
      </c>
      <c r="E33" s="5">
        <v>7959.7712619425702</v>
      </c>
      <c r="F33" s="5">
        <v>7451.4259616643103</v>
      </c>
      <c r="G33" s="5">
        <f t="shared" ref="G33:G69" si="4">E33-F33</f>
        <v>508.34530027825986</v>
      </c>
      <c r="H33" s="5">
        <v>7407.3125107967198</v>
      </c>
      <c r="I33" s="5">
        <v>1475.106935946721</v>
      </c>
      <c r="J33" s="5">
        <v>9522</v>
      </c>
      <c r="K33">
        <v>2597.77424483306</v>
      </c>
      <c r="L33" s="2">
        <f t="shared" si="1"/>
        <v>9564.4112010143308</v>
      </c>
      <c r="M33" s="2">
        <f t="shared" si="2"/>
        <v>42.4112010143308</v>
      </c>
      <c r="N33">
        <f t="shared" si="3"/>
        <v>1.0044540223707552</v>
      </c>
    </row>
    <row r="34" spans="1:14" x14ac:dyDescent="0.2">
      <c r="A34" s="3">
        <v>1982</v>
      </c>
      <c r="B34" s="5">
        <v>7745</v>
      </c>
      <c r="C34" s="5">
        <v>7102.5593091278797</v>
      </c>
      <c r="D34" s="5">
        <f t="shared" si="0"/>
        <v>642.44069087212029</v>
      </c>
      <c r="E34" s="5">
        <v>7916.6129043736601</v>
      </c>
      <c r="F34" s="5">
        <v>7335.6397743809202</v>
      </c>
      <c r="G34" s="5">
        <f t="shared" si="4"/>
        <v>580.97312999273981</v>
      </c>
      <c r="H34" s="5">
        <v>7174.0145649466704</v>
      </c>
      <c r="I34" s="5">
        <v>1436.2951174297104</v>
      </c>
      <c r="J34" s="5">
        <v>9090</v>
      </c>
      <c r="K34">
        <v>2349.7615262321101</v>
      </c>
      <c r="L34" s="2">
        <f t="shared" si="1"/>
        <v>9252.750373248502</v>
      </c>
      <c r="M34" s="2">
        <f t="shared" si="2"/>
        <v>162.750373248502</v>
      </c>
      <c r="N34">
        <f t="shared" si="3"/>
        <v>1.0179043314904843</v>
      </c>
    </row>
    <row r="35" spans="1:14" x14ac:dyDescent="0.2">
      <c r="A35" s="3">
        <v>1983</v>
      </c>
      <c r="B35" s="5">
        <v>7824</v>
      </c>
      <c r="C35" s="5">
        <v>7176.7188915718198</v>
      </c>
      <c r="D35" s="5">
        <f t="shared" si="0"/>
        <v>647.28110842818023</v>
      </c>
      <c r="E35" s="5">
        <v>8076.7889538368299</v>
      </c>
      <c r="F35" s="5">
        <v>7481.2976840596502</v>
      </c>
      <c r="G35" s="5">
        <f t="shared" si="4"/>
        <v>595.4912697771797</v>
      </c>
      <c r="H35" s="5">
        <v>7406.5793001915599</v>
      </c>
      <c r="I35" s="5">
        <v>1494.5732746506992</v>
      </c>
      <c r="J35" s="5">
        <v>9510</v>
      </c>
      <c r="K35">
        <v>2372.0190779014301</v>
      </c>
      <c r="L35" s="2">
        <f t="shared" si="1"/>
        <v>9548.4336832704394</v>
      </c>
      <c r="M35" s="2">
        <f t="shared" si="2"/>
        <v>38.43368327043936</v>
      </c>
      <c r="N35">
        <f t="shared" si="3"/>
        <v>1.0040413967687107</v>
      </c>
    </row>
    <row r="36" spans="1:14" x14ac:dyDescent="0.2">
      <c r="A36" s="3">
        <v>1984</v>
      </c>
      <c r="B36" s="5">
        <v>8135</v>
      </c>
      <c r="C36" s="5">
        <v>7484.1939814449897</v>
      </c>
      <c r="D36" s="5">
        <f t="shared" si="0"/>
        <v>650.80601855501027</v>
      </c>
      <c r="E36" s="5">
        <v>8411.2569422978195</v>
      </c>
      <c r="F36" s="5">
        <v>7612.44364241933</v>
      </c>
      <c r="G36" s="5">
        <f t="shared" si="4"/>
        <v>798.81329987848949</v>
      </c>
      <c r="H36" s="5">
        <v>7619.7743838452498</v>
      </c>
      <c r="I36" s="5">
        <v>1339.2293134699303</v>
      </c>
      <c r="J36" s="5">
        <v>9930</v>
      </c>
      <c r="K36">
        <v>2629.5707472178001</v>
      </c>
      <c r="L36" s="2">
        <f t="shared" si="1"/>
        <v>9609.8097158701894</v>
      </c>
      <c r="M36" s="2">
        <f t="shared" si="2"/>
        <v>-320.19028412981061</v>
      </c>
      <c r="N36">
        <f t="shared" si="3"/>
        <v>0.96775525839578946</v>
      </c>
    </row>
    <row r="37" spans="1:14" x14ac:dyDescent="0.2">
      <c r="A37" s="3">
        <v>1985</v>
      </c>
      <c r="B37" s="5">
        <v>8288</v>
      </c>
      <c r="C37" s="5">
        <v>7706.8259316748899</v>
      </c>
      <c r="D37" s="5">
        <f t="shared" si="0"/>
        <v>581.17406832511006</v>
      </c>
      <c r="E37" s="5">
        <v>8585.9511315454201</v>
      </c>
      <c r="F37" s="5">
        <v>7641.8883607033604</v>
      </c>
      <c r="G37" s="5">
        <f t="shared" si="4"/>
        <v>944.06277084205976</v>
      </c>
      <c r="H37" s="5">
        <v>7697.0273869469802</v>
      </c>
      <c r="I37" s="5">
        <v>1572.237197981689</v>
      </c>
      <c r="J37" s="5">
        <v>9798</v>
      </c>
      <c r="K37">
        <v>2658.1875993640701</v>
      </c>
      <c r="L37" s="2">
        <f t="shared" si="1"/>
        <v>9850.4386532537792</v>
      </c>
      <c r="M37" s="2">
        <f t="shared" si="2"/>
        <v>52.438653253779194</v>
      </c>
      <c r="N37">
        <f t="shared" si="3"/>
        <v>1.0053519752249214</v>
      </c>
    </row>
    <row r="38" spans="1:14" x14ac:dyDescent="0.2">
      <c r="A38" s="3">
        <v>1986</v>
      </c>
      <c r="B38" s="5">
        <v>8295</v>
      </c>
      <c r="C38" s="5">
        <v>7590.0853233317202</v>
      </c>
      <c r="D38" s="5">
        <f t="shared" si="0"/>
        <v>704.91467666827975</v>
      </c>
      <c r="E38" s="5">
        <v>8731.6214181549094</v>
      </c>
      <c r="F38" s="5">
        <v>7772.9971882707496</v>
      </c>
      <c r="G38" s="5">
        <f t="shared" si="4"/>
        <v>958.62422988415983</v>
      </c>
      <c r="H38" s="5">
        <v>8181.99383007304</v>
      </c>
      <c r="I38" s="5">
        <v>1416.9012940603197</v>
      </c>
      <c r="J38" s="5">
        <v>10112</v>
      </c>
      <c r="K38">
        <v>2740.8585055643798</v>
      </c>
      <c r="L38" s="2">
        <f t="shared" si="1"/>
        <v>10303.809800801639</v>
      </c>
      <c r="M38" s="2">
        <f t="shared" si="2"/>
        <v>191.80980080163863</v>
      </c>
      <c r="N38">
        <f t="shared" si="3"/>
        <v>1.0189685325159847</v>
      </c>
    </row>
    <row r="39" spans="1:14" x14ac:dyDescent="0.2">
      <c r="A39" s="3">
        <v>1987</v>
      </c>
      <c r="B39" s="5">
        <v>8620</v>
      </c>
      <c r="C39" s="5">
        <v>7897.5604132048902</v>
      </c>
      <c r="D39" s="5">
        <f t="shared" si="0"/>
        <v>722.43958679510979</v>
      </c>
      <c r="E39" s="5">
        <v>8891.7974676180802</v>
      </c>
      <c r="F39" s="5">
        <v>7918.6736633456203</v>
      </c>
      <c r="G39" s="5">
        <f t="shared" si="4"/>
        <v>973.12380427245989</v>
      </c>
      <c r="H39" s="5">
        <v>8181.6715396971404</v>
      </c>
      <c r="I39" s="5">
        <v>1630.4025535711089</v>
      </c>
      <c r="J39" s="5">
        <v>10293</v>
      </c>
      <c r="K39">
        <v>2896.6613672496001</v>
      </c>
      <c r="L39" s="2">
        <f t="shared" si="1"/>
        <v>10534.513680063359</v>
      </c>
      <c r="M39" s="2">
        <f t="shared" si="2"/>
        <v>241.51368006335906</v>
      </c>
      <c r="N39">
        <f t="shared" si="3"/>
        <v>1.0234638764270241</v>
      </c>
    </row>
    <row r="40" spans="1:14" x14ac:dyDescent="0.2">
      <c r="A40" s="3">
        <v>1988</v>
      </c>
      <c r="B40" s="5">
        <v>8773</v>
      </c>
      <c r="C40" s="5">
        <v>8035.3523503812803</v>
      </c>
      <c r="D40" s="5">
        <f t="shared" si="0"/>
        <v>737.6476496187197</v>
      </c>
      <c r="E40" s="5">
        <v>9269.8322523631396</v>
      </c>
      <c r="F40" s="5">
        <v>8180.5200105575204</v>
      </c>
      <c r="G40" s="5">
        <f t="shared" si="4"/>
        <v>1089.3122418056191</v>
      </c>
      <c r="H40" s="5">
        <v>8336.6045806486509</v>
      </c>
      <c r="I40" s="5">
        <v>1785.6498276390485</v>
      </c>
      <c r="J40" s="5">
        <v>10668</v>
      </c>
      <c r="K40">
        <v>2947.5357710651801</v>
      </c>
      <c r="L40" s="2">
        <f t="shared" si="1"/>
        <v>10859.90205790642</v>
      </c>
      <c r="M40" s="2">
        <f t="shared" si="2"/>
        <v>191.90205790641994</v>
      </c>
      <c r="N40">
        <f t="shared" si="3"/>
        <v>1.0179885693575572</v>
      </c>
    </row>
    <row r="41" spans="1:14" x14ac:dyDescent="0.2">
      <c r="A41" s="3">
        <v>1989</v>
      </c>
      <c r="B41" s="5">
        <v>9086</v>
      </c>
      <c r="C41" s="5">
        <v>8268.5896930665895</v>
      </c>
      <c r="D41" s="5">
        <f t="shared" si="0"/>
        <v>817.41030693341054</v>
      </c>
      <c r="E41" s="5">
        <v>9662.4284961502999</v>
      </c>
      <c r="F41" s="5">
        <v>8427.8667833811196</v>
      </c>
      <c r="G41" s="5">
        <f t="shared" si="4"/>
        <v>1234.5617127691803</v>
      </c>
      <c r="H41" s="5">
        <v>8452.7016313049608</v>
      </c>
      <c r="I41" s="5">
        <v>1940.9857315604386</v>
      </c>
      <c r="J41" s="5">
        <v>11081</v>
      </c>
      <c r="K41">
        <v>2858.50556438791</v>
      </c>
      <c r="L41" s="2">
        <f t="shared" si="1"/>
        <v>11211.09766979881</v>
      </c>
      <c r="M41" s="2">
        <f t="shared" si="2"/>
        <v>130.09766979880987</v>
      </c>
      <c r="N41">
        <f t="shared" si="3"/>
        <v>1.0117406073277511</v>
      </c>
    </row>
    <row r="42" spans="1:14" x14ac:dyDescent="0.2">
      <c r="A42" s="3">
        <v>1990</v>
      </c>
      <c r="B42" s="5">
        <v>9227</v>
      </c>
      <c r="C42" s="5">
        <v>8353.3515413761797</v>
      </c>
      <c r="D42" s="5">
        <f t="shared" si="0"/>
        <v>873.64845862382026</v>
      </c>
      <c r="E42" s="5">
        <v>9459.5025278333906</v>
      </c>
      <c r="F42" s="5">
        <v>8297.5686447786793</v>
      </c>
      <c r="G42" s="5">
        <f t="shared" si="4"/>
        <v>1161.9338830547113</v>
      </c>
      <c r="H42" s="5">
        <v>8238.8619668994907</v>
      </c>
      <c r="I42" s="5">
        <v>1882.7398033770096</v>
      </c>
      <c r="J42" s="5">
        <v>10886</v>
      </c>
      <c r="K42">
        <v>2988.8712241653402</v>
      </c>
      <c r="L42" s="2">
        <f t="shared" si="1"/>
        <v>10995.250228900321</v>
      </c>
      <c r="M42" s="2">
        <f t="shared" si="2"/>
        <v>109.25022890032051</v>
      </c>
      <c r="N42">
        <f t="shared" si="3"/>
        <v>1.0100358468583797</v>
      </c>
    </row>
    <row r="43" spans="1:14" x14ac:dyDescent="0.2">
      <c r="A43" s="3">
        <v>1991</v>
      </c>
      <c r="B43" s="5">
        <v>9373</v>
      </c>
      <c r="C43" s="5">
        <v>8682.04054274993</v>
      </c>
      <c r="D43" s="5">
        <f t="shared" si="0"/>
        <v>690.95945725007005</v>
      </c>
      <c r="E43" s="5">
        <v>9358.2530457305893</v>
      </c>
      <c r="F43" s="5">
        <v>8181.7824574952901</v>
      </c>
      <c r="G43" s="5">
        <f t="shared" si="4"/>
        <v>1176.4705882352991</v>
      </c>
      <c r="H43" s="5">
        <v>8122.05587741621</v>
      </c>
      <c r="I43" s="5">
        <v>1843.9763284164592</v>
      </c>
      <c r="J43" s="5">
        <v>10563</v>
      </c>
      <c r="K43">
        <v>3007.9491255961798</v>
      </c>
      <c r="L43" s="2">
        <f t="shared" si="1"/>
        <v>10656.991663082739</v>
      </c>
      <c r="M43" s="2">
        <f t="shared" si="2"/>
        <v>93.991663082739251</v>
      </c>
      <c r="N43">
        <f t="shared" si="3"/>
        <v>1.0088981977736191</v>
      </c>
    </row>
    <row r="44" spans="1:14" x14ac:dyDescent="0.2">
      <c r="A44" s="3">
        <v>1992</v>
      </c>
      <c r="B44" s="5">
        <v>9497</v>
      </c>
      <c r="C44" s="5">
        <v>8724.3839478276295</v>
      </c>
      <c r="D44" s="5">
        <f t="shared" si="0"/>
        <v>772.61605217237047</v>
      </c>
      <c r="E44" s="5">
        <v>9823.4461769053196</v>
      </c>
      <c r="F44" s="5">
        <v>8530.7809626714807</v>
      </c>
      <c r="G44" s="5">
        <f t="shared" si="4"/>
        <v>1292.6652142338389</v>
      </c>
      <c r="H44" s="5">
        <v>8393.4324311781093</v>
      </c>
      <c r="I44" s="5">
        <v>1863.3459800075907</v>
      </c>
      <c r="J44" s="5">
        <v>10866</v>
      </c>
      <c r="K44">
        <v>3208.2670906200301</v>
      </c>
      <c r="L44" s="2">
        <f t="shared" si="1"/>
        <v>11029.39446335807</v>
      </c>
      <c r="M44" s="2">
        <f t="shared" si="2"/>
        <v>163.39446335807042</v>
      </c>
      <c r="N44">
        <f t="shared" si="3"/>
        <v>1.0150372228380333</v>
      </c>
    </row>
    <row r="45" spans="1:14" x14ac:dyDescent="0.2">
      <c r="A45" s="3">
        <v>1993</v>
      </c>
      <c r="B45" s="5">
        <v>9571</v>
      </c>
      <c r="C45" s="5">
        <v>8798.54040368182</v>
      </c>
      <c r="D45" s="5">
        <f t="shared" si="0"/>
        <v>772.45959631818005</v>
      </c>
      <c r="E45" s="5">
        <v>10056.250056082899</v>
      </c>
      <c r="F45" s="5">
        <v>8618.3415593509399</v>
      </c>
      <c r="G45" s="5">
        <f t="shared" si="4"/>
        <v>1437.9084967319595</v>
      </c>
      <c r="H45" s="5">
        <v>8626.0052236824104</v>
      </c>
      <c r="I45" s="5">
        <v>1882.78008967399</v>
      </c>
      <c r="J45" s="5">
        <v>10992</v>
      </c>
      <c r="K45">
        <v>3160.57233704292</v>
      </c>
      <c r="L45" s="2">
        <f t="shared" si="1"/>
        <v>11281.24490967458</v>
      </c>
      <c r="M45" s="2">
        <f t="shared" si="2"/>
        <v>289.24490967458041</v>
      </c>
      <c r="N45">
        <f t="shared" si="3"/>
        <v>1.0263141293372071</v>
      </c>
    </row>
    <row r="46" spans="1:14" x14ac:dyDescent="0.2">
      <c r="A46" s="3">
        <v>1994</v>
      </c>
      <c r="B46" s="5">
        <v>9539</v>
      </c>
      <c r="C46" s="5">
        <v>8713.6159727048707</v>
      </c>
      <c r="D46" s="5">
        <f t="shared" si="0"/>
        <v>825.38402729512927</v>
      </c>
      <c r="E46" s="5">
        <v>9984.0430420144094</v>
      </c>
      <c r="F46" s="5">
        <v>8575.1832017820198</v>
      </c>
      <c r="G46" s="5">
        <f t="shared" si="4"/>
        <v>1408.8598402323896</v>
      </c>
      <c r="H46" s="5">
        <v>8470.4276019791105</v>
      </c>
      <c r="I46" s="5">
        <v>1785.65788489849</v>
      </c>
      <c r="J46" s="5">
        <v>11560</v>
      </c>
      <c r="K46">
        <v>3465.8187599364001</v>
      </c>
      <c r="L46" s="2">
        <f t="shared" si="1"/>
        <v>11081.46951417273</v>
      </c>
      <c r="M46" s="2">
        <f t="shared" si="2"/>
        <v>-478.53048582727024</v>
      </c>
      <c r="N46">
        <f t="shared" si="3"/>
        <v>0.95860462925369638</v>
      </c>
    </row>
    <row r="47" spans="1:14" x14ac:dyDescent="0.2">
      <c r="A47" s="3">
        <v>1995</v>
      </c>
      <c r="B47" s="5">
        <v>10070</v>
      </c>
      <c r="C47" s="5">
        <v>8999.8802776672201</v>
      </c>
      <c r="D47" s="5">
        <f t="shared" si="0"/>
        <v>1070.1197223327799</v>
      </c>
      <c r="E47" s="5">
        <v>10231.3712494418</v>
      </c>
      <c r="F47" s="5">
        <v>8648.2132817462807</v>
      </c>
      <c r="G47" s="5">
        <f t="shared" si="4"/>
        <v>1583.1579676955189</v>
      </c>
      <c r="H47" s="5">
        <v>8586.5085381166391</v>
      </c>
      <c r="I47" s="5">
        <v>2154.5353346275606</v>
      </c>
      <c r="J47" s="5">
        <v>12043</v>
      </c>
      <c r="K47">
        <v>3481.7170111287701</v>
      </c>
      <c r="L47" s="2">
        <f t="shared" si="1"/>
        <v>11811.16359507698</v>
      </c>
      <c r="M47" s="2">
        <f t="shared" si="2"/>
        <v>-231.83640492302038</v>
      </c>
      <c r="N47">
        <f t="shared" si="3"/>
        <v>0.9807492813316433</v>
      </c>
    </row>
    <row r="48" spans="1:14" x14ac:dyDescent="0.2">
      <c r="A48" s="3">
        <v>1996</v>
      </c>
      <c r="B48" s="5">
        <v>11084</v>
      </c>
      <c r="C48" s="5">
        <v>9625.5202677924099</v>
      </c>
      <c r="D48" s="5">
        <f t="shared" si="0"/>
        <v>1458.4797322075901</v>
      </c>
      <c r="E48" s="5">
        <v>10841.795286184</v>
      </c>
      <c r="F48" s="5">
        <v>9142.4303155591297</v>
      </c>
      <c r="G48" s="5">
        <f t="shared" si="4"/>
        <v>1699.3649706248707</v>
      </c>
      <c r="H48" s="5">
        <v>9187.9023795343001</v>
      </c>
      <c r="I48" s="5">
        <v>1979.8056073368007</v>
      </c>
      <c r="J48" s="5">
        <v>12489</v>
      </c>
      <c r="K48">
        <v>3809.2209856915701</v>
      </c>
      <c r="L48" s="2">
        <f t="shared" si="1"/>
        <v>12626.187719078691</v>
      </c>
      <c r="M48" s="2">
        <f t="shared" si="2"/>
        <v>137.18771907869086</v>
      </c>
      <c r="N48">
        <f t="shared" si="3"/>
        <v>1.0109846840482577</v>
      </c>
    </row>
    <row r="49" spans="1:14" x14ac:dyDescent="0.2">
      <c r="A49" s="3">
        <v>1997</v>
      </c>
      <c r="B49" s="5">
        <v>11514</v>
      </c>
      <c r="C49" s="5">
        <v>9763.3090783790394</v>
      </c>
      <c r="D49" s="5">
        <f t="shared" si="0"/>
        <v>1750.6909216209606</v>
      </c>
      <c r="E49" s="5">
        <v>11292.470277574301</v>
      </c>
      <c r="F49" s="5">
        <v>9767.4219998087701</v>
      </c>
      <c r="G49" s="5">
        <f t="shared" si="4"/>
        <v>1525.0482777655307</v>
      </c>
      <c r="H49" s="5">
        <v>9536.9428566271908</v>
      </c>
      <c r="I49" s="5">
        <v>2135.036766886009</v>
      </c>
      <c r="J49" s="5">
        <v>13082</v>
      </c>
      <c r="K49">
        <v>4146.2639109697902</v>
      </c>
      <c r="L49" s="2">
        <f t="shared" si="1"/>
        <v>13422.67054513416</v>
      </c>
      <c r="M49" s="2">
        <f t="shared" si="2"/>
        <v>340.67054513416042</v>
      </c>
      <c r="N49">
        <f t="shared" si="3"/>
        <v>1.0260411668807645</v>
      </c>
    </row>
    <row r="50" spans="1:14" x14ac:dyDescent="0.2">
      <c r="A50" s="3">
        <v>1998</v>
      </c>
      <c r="B50" s="5">
        <v>12228</v>
      </c>
      <c r="C50" s="5">
        <v>10219.259662627899</v>
      </c>
      <c r="D50" s="5">
        <f t="shared" si="0"/>
        <v>2008.7403373721008</v>
      </c>
      <c r="E50" s="5">
        <v>11568.840953036</v>
      </c>
      <c r="F50" s="5">
        <v>10043.792675270401</v>
      </c>
      <c r="G50" s="5">
        <f t="shared" si="4"/>
        <v>1525.0482777655998</v>
      </c>
      <c r="H50" s="5">
        <v>9905.3529853112905</v>
      </c>
      <c r="I50" s="5">
        <v>2115.6912870730102</v>
      </c>
      <c r="J50" s="5">
        <v>13440</v>
      </c>
      <c r="K50">
        <v>4435.6120826709002</v>
      </c>
      <c r="L50" s="2">
        <f t="shared" si="1"/>
        <v>14029.784609756402</v>
      </c>
      <c r="M50" s="2">
        <f t="shared" si="2"/>
        <v>589.78460975640155</v>
      </c>
      <c r="N50">
        <f t="shared" si="3"/>
        <v>1.0438827834640181</v>
      </c>
    </row>
    <row r="51" spans="1:14" x14ac:dyDescent="0.2">
      <c r="A51" s="3">
        <v>1999</v>
      </c>
      <c r="B51" s="5">
        <v>12767</v>
      </c>
      <c r="C51" s="5">
        <v>10452.500131903</v>
      </c>
      <c r="D51" s="5">
        <f t="shared" si="0"/>
        <v>2314.4998680970002</v>
      </c>
      <c r="E51" s="5">
        <v>11903.321318427699</v>
      </c>
      <c r="F51" s="5">
        <v>10233.029758164001</v>
      </c>
      <c r="G51" s="5">
        <f t="shared" si="4"/>
        <v>1670.2915602636986</v>
      </c>
      <c r="H51" s="5">
        <v>10118.5238971867</v>
      </c>
      <c r="I51" s="5">
        <v>2115.6832298136997</v>
      </c>
      <c r="J51" s="5">
        <v>14223</v>
      </c>
      <c r="K51">
        <v>4906.2003179650201</v>
      </c>
      <c r="L51" s="2">
        <f t="shared" si="1"/>
        <v>14548.7069950974</v>
      </c>
      <c r="M51" s="2">
        <f t="shared" si="2"/>
        <v>325.70699509740007</v>
      </c>
      <c r="N51">
        <f t="shared" si="3"/>
        <v>1.0229000207479013</v>
      </c>
    </row>
    <row r="52" spans="1:14" x14ac:dyDescent="0.2">
      <c r="A52" s="3">
        <v>2000</v>
      </c>
      <c r="B52" s="5">
        <v>13199</v>
      </c>
      <c r="C52" s="5">
        <v>10876.6314121959</v>
      </c>
      <c r="D52" s="5">
        <f t="shared" si="0"/>
        <v>2322.3685878040997</v>
      </c>
      <c r="E52" s="5">
        <v>12019.930571606799</v>
      </c>
      <c r="F52" s="5">
        <v>10335.108494627901</v>
      </c>
      <c r="G52" s="5">
        <f t="shared" si="4"/>
        <v>1684.8220769788986</v>
      </c>
      <c r="H52" s="5">
        <v>10389.9568517644</v>
      </c>
      <c r="I52" s="5">
        <v>2057.4292443709001</v>
      </c>
      <c r="J52" s="5">
        <v>15122</v>
      </c>
      <c r="K52" s="29">
        <v>5654</v>
      </c>
      <c r="L52" s="2">
        <f t="shared" si="1"/>
        <v>14769.7546839394</v>
      </c>
      <c r="M52" s="2">
        <f t="shared" si="2"/>
        <v>-352.24531606060009</v>
      </c>
      <c r="N52">
        <f t="shared" si="3"/>
        <v>0.97670643327201423</v>
      </c>
    </row>
    <row r="53" spans="1:14" x14ac:dyDescent="0.2">
      <c r="A53" s="3">
        <v>2001</v>
      </c>
      <c r="B53" s="5">
        <v>13636</v>
      </c>
      <c r="C53" s="5">
        <v>11025.025615237901</v>
      </c>
      <c r="D53" s="5">
        <f t="shared" si="0"/>
        <v>2610.9743847620994</v>
      </c>
      <c r="E53" s="5">
        <v>12630.3731737451</v>
      </c>
      <c r="F53" s="5">
        <v>11105.312519048801</v>
      </c>
      <c r="G53" s="5">
        <f t="shared" si="4"/>
        <v>1525.060654696299</v>
      </c>
      <c r="H53" s="5">
        <v>11165.975676100699</v>
      </c>
      <c r="I53" s="5">
        <v>1843.9440993789012</v>
      </c>
      <c r="J53" s="5">
        <v>14938</v>
      </c>
      <c r="K53" s="30">
        <v>5129</v>
      </c>
      <c r="L53" s="2">
        <f t="shared" si="1"/>
        <v>15620.8941602417</v>
      </c>
      <c r="M53" s="2">
        <f t="shared" si="2"/>
        <v>682.89416024169986</v>
      </c>
      <c r="N53">
        <f t="shared" si="3"/>
        <v>1.0457152336485271</v>
      </c>
    </row>
    <row r="54" spans="1:14" x14ac:dyDescent="0.2">
      <c r="A54" s="3">
        <v>2002</v>
      </c>
      <c r="B54" s="5">
        <v>13487</v>
      </c>
      <c r="C54" s="5">
        <v>10834.0503862966</v>
      </c>
      <c r="D54" s="5">
        <f t="shared" si="0"/>
        <v>2652.9496137034002</v>
      </c>
      <c r="E54" s="5">
        <v>12456.483484997099</v>
      </c>
      <c r="F54" s="5">
        <v>10960.4838637312</v>
      </c>
      <c r="G54" s="5">
        <f t="shared" si="4"/>
        <v>1495.9996212658989</v>
      </c>
      <c r="H54" s="5">
        <v>10816.2825609966</v>
      </c>
      <c r="I54" s="5">
        <v>1921.5838509317</v>
      </c>
      <c r="J54" s="5">
        <v>15133</v>
      </c>
      <c r="K54" s="31">
        <v>5159</v>
      </c>
      <c r="L54" s="2">
        <f t="shared" si="1"/>
        <v>15390.816025631701</v>
      </c>
      <c r="M54" s="2">
        <f t="shared" si="2"/>
        <v>257.81602563170054</v>
      </c>
      <c r="N54">
        <f t="shared" si="3"/>
        <v>1.017036676510388</v>
      </c>
    </row>
    <row r="55" spans="1:14" x14ac:dyDescent="0.2">
      <c r="A55" s="3">
        <v>2003</v>
      </c>
      <c r="B55" s="5">
        <v>13699</v>
      </c>
      <c r="C55" s="5">
        <v>10982.4445893387</v>
      </c>
      <c r="D55" s="5">
        <f t="shared" si="0"/>
        <v>2716.5554106612999</v>
      </c>
      <c r="E55" s="5">
        <v>12485.959145608</v>
      </c>
      <c r="F55" s="5">
        <v>11135.1904299095</v>
      </c>
      <c r="G55" s="5">
        <f t="shared" si="4"/>
        <v>1350.7687156984994</v>
      </c>
      <c r="H55" s="5">
        <v>10738.280232771</v>
      </c>
      <c r="I55" s="5">
        <v>1785.7465147517996</v>
      </c>
      <c r="J55" s="5">
        <v>15641</v>
      </c>
      <c r="K55" s="32">
        <v>5062</v>
      </c>
      <c r="L55" s="2">
        <f t="shared" si="1"/>
        <v>15240.582158184099</v>
      </c>
      <c r="M55" s="2">
        <f t="shared" si="2"/>
        <v>-400.41784181590083</v>
      </c>
      <c r="N55">
        <f t="shared" si="3"/>
        <v>0.9743994730633655</v>
      </c>
    </row>
    <row r="56" spans="1:14" x14ac:dyDescent="0.2">
      <c r="A56" s="3">
        <v>2004</v>
      </c>
      <c r="B56" s="5">
        <v>14594</v>
      </c>
      <c r="C56" s="5">
        <v>11873.219390849101</v>
      </c>
      <c r="D56" s="5">
        <f t="shared" si="0"/>
        <v>2720.7806091508992</v>
      </c>
      <c r="E56" s="5">
        <v>12834.951462318801</v>
      </c>
      <c r="F56" s="5">
        <v>11222.7572150544</v>
      </c>
      <c r="G56" s="5">
        <f t="shared" si="4"/>
        <v>1612.1942472644005</v>
      </c>
      <c r="H56" s="5">
        <v>11165.0168622324</v>
      </c>
      <c r="I56" s="5">
        <v>2076.8311249997005</v>
      </c>
      <c r="J56" s="5">
        <v>16743</v>
      </c>
      <c r="K56" s="32">
        <v>5394</v>
      </c>
      <c r="L56" s="2">
        <f t="shared" si="1"/>
        <v>15962.628596383</v>
      </c>
      <c r="M56" s="2">
        <f t="shared" si="2"/>
        <v>-780.3714036170004</v>
      </c>
      <c r="N56">
        <f t="shared" si="3"/>
        <v>0.95339118415952928</v>
      </c>
    </row>
    <row r="57" spans="1:14" x14ac:dyDescent="0.2">
      <c r="A57" s="3">
        <v>2005</v>
      </c>
      <c r="B57" s="5">
        <v>14927</v>
      </c>
      <c r="C57" s="5">
        <v>12233.7183164095</v>
      </c>
      <c r="D57" s="5">
        <f t="shared" si="0"/>
        <v>2693.2816835904996</v>
      </c>
      <c r="E57" s="5">
        <v>13488.9670492066</v>
      </c>
      <c r="F57" s="5">
        <v>11775.102504193401</v>
      </c>
      <c r="G57" s="5">
        <f t="shared" si="4"/>
        <v>1713.8645450131989</v>
      </c>
      <c r="H57" s="5">
        <v>11746.9604794649</v>
      </c>
      <c r="I57" s="5">
        <v>2135.0528814048994</v>
      </c>
      <c r="J57" s="5">
        <v>16558</v>
      </c>
      <c r="K57" s="32">
        <v>5314</v>
      </c>
      <c r="L57" s="2">
        <f t="shared" si="1"/>
        <v>16575.295044460298</v>
      </c>
      <c r="M57" s="2">
        <f t="shared" si="2"/>
        <v>17.295044460297504</v>
      </c>
      <c r="N57">
        <f t="shared" si="3"/>
        <v>1.0010445128916716</v>
      </c>
    </row>
    <row r="58" spans="1:14" x14ac:dyDescent="0.2">
      <c r="A58" s="3">
        <v>2006</v>
      </c>
      <c r="B58" s="5">
        <v>14983</v>
      </c>
      <c r="C58" s="5">
        <v>12159.4024044777</v>
      </c>
      <c r="D58" s="5">
        <f t="shared" si="0"/>
        <v>2823.5975955223003</v>
      </c>
      <c r="E58" s="5">
        <v>13896.0319250552</v>
      </c>
      <c r="F58" s="5">
        <v>11964.3086447601</v>
      </c>
      <c r="G58" s="5">
        <f t="shared" si="4"/>
        <v>1931.7232802951003</v>
      </c>
      <c r="H58" s="5">
        <v>11804.827716456601</v>
      </c>
      <c r="I58" s="5">
        <v>2639.7032092386999</v>
      </c>
      <c r="J58" s="5">
        <v>16926</v>
      </c>
      <c r="K58" s="30">
        <v>5083</v>
      </c>
      <c r="L58" s="2">
        <f t="shared" si="1"/>
        <v>17268.128521217601</v>
      </c>
      <c r="M58" s="2">
        <f t="shared" si="2"/>
        <v>342.12852121760079</v>
      </c>
      <c r="N58">
        <f t="shared" si="3"/>
        <v>1.020213193974808</v>
      </c>
    </row>
    <row r="59" spans="1:14" x14ac:dyDescent="0.2">
      <c r="A59" s="3">
        <v>2007</v>
      </c>
      <c r="B59" s="5">
        <v>15508</v>
      </c>
      <c r="C59" s="5">
        <v>12519.901330038199</v>
      </c>
      <c r="D59" s="5">
        <f t="shared" si="0"/>
        <v>2988.0986699618006</v>
      </c>
      <c r="E59" s="5">
        <v>14186.9578710936</v>
      </c>
      <c r="F59" s="5">
        <v>12139.0213994038</v>
      </c>
      <c r="G59" s="5">
        <f t="shared" si="4"/>
        <v>2047.9364716897999</v>
      </c>
      <c r="H59" s="5">
        <v>12173.2459024001</v>
      </c>
      <c r="I59" s="5">
        <v>2678.5875430901997</v>
      </c>
      <c r="J59" s="5">
        <v>18036</v>
      </c>
      <c r="K59" s="30">
        <v>5717</v>
      </c>
      <c r="L59" s="2">
        <f t="shared" si="1"/>
        <v>17839.932115452102</v>
      </c>
      <c r="M59" s="2">
        <f t="shared" si="2"/>
        <v>-196.06788454789785</v>
      </c>
      <c r="N59">
        <f t="shared" si="3"/>
        <v>0.98912908158417068</v>
      </c>
    </row>
    <row r="60" spans="1:14" x14ac:dyDescent="0.2">
      <c r="A60" s="3">
        <v>2008</v>
      </c>
      <c r="B60" s="5">
        <v>15537</v>
      </c>
      <c r="C60" s="5">
        <v>12455.7</v>
      </c>
      <c r="D60" s="5">
        <f t="shared" si="0"/>
        <v>3081.2999999999993</v>
      </c>
      <c r="E60" s="5">
        <v>14518.9</v>
      </c>
      <c r="F60" s="5">
        <v>12428.7</v>
      </c>
      <c r="G60" s="5">
        <f t="shared" si="4"/>
        <v>2090.1999999999989</v>
      </c>
      <c r="H60" s="5">
        <v>12284.9</v>
      </c>
      <c r="I60" s="5">
        <v>2824.9</v>
      </c>
      <c r="J60" s="5">
        <v>17888</v>
      </c>
      <c r="K60" s="30">
        <v>5257</v>
      </c>
      <c r="L60" s="2">
        <f t="shared" si="1"/>
        <v>18191.099999999999</v>
      </c>
      <c r="M60" s="2">
        <f t="shared" si="2"/>
        <v>303.09999999999854</v>
      </c>
      <c r="N60">
        <f t="shared" si="3"/>
        <v>1.0169443202146691</v>
      </c>
    </row>
    <row r="61" spans="1:14" x14ac:dyDescent="0.2">
      <c r="A61" s="3">
        <v>2009</v>
      </c>
      <c r="B61" s="5">
        <v>15945</v>
      </c>
      <c r="C61" s="5">
        <v>12680.5</v>
      </c>
      <c r="D61" s="5">
        <f t="shared" si="0"/>
        <v>3264.5</v>
      </c>
      <c r="E61" s="5">
        <v>14726.5</v>
      </c>
      <c r="F61" s="5">
        <v>12662.4</v>
      </c>
      <c r="G61" s="5">
        <f t="shared" si="4"/>
        <v>2064.1000000000004</v>
      </c>
      <c r="H61" s="5">
        <v>12121.9</v>
      </c>
      <c r="I61" s="5">
        <v>2847.4</v>
      </c>
      <c r="J61" s="5">
        <v>17899</v>
      </c>
      <c r="K61" s="30">
        <v>5246</v>
      </c>
      <c r="L61" s="2">
        <f t="shared" si="1"/>
        <v>18233.8</v>
      </c>
      <c r="M61" s="2">
        <f t="shared" si="2"/>
        <v>334.79999999999927</v>
      </c>
      <c r="N61">
        <f t="shared" si="3"/>
        <v>1.0187049555841108</v>
      </c>
    </row>
    <row r="62" spans="1:14" x14ac:dyDescent="0.2">
      <c r="A62" s="3">
        <v>2010</v>
      </c>
      <c r="B62" s="5">
        <v>15990</v>
      </c>
      <c r="C62" s="5">
        <v>12666.1</v>
      </c>
      <c r="D62" s="5">
        <f t="shared" si="0"/>
        <v>3323.8999999999996</v>
      </c>
      <c r="E62" s="5">
        <v>15324.1</v>
      </c>
      <c r="F62" s="5">
        <v>12939.7</v>
      </c>
      <c r="G62" s="5">
        <f t="shared" si="4"/>
        <v>2384.3999999999996</v>
      </c>
      <c r="H62" s="5">
        <v>12419.7</v>
      </c>
      <c r="I62" s="5">
        <v>3236.4</v>
      </c>
      <c r="J62" s="5">
        <v>19141</v>
      </c>
      <c r="K62" s="31">
        <v>5053.5217316856397</v>
      </c>
      <c r="L62" s="2">
        <f t="shared" si="1"/>
        <v>18980</v>
      </c>
      <c r="M62" s="2">
        <f t="shared" si="2"/>
        <v>-161</v>
      </c>
      <c r="N62">
        <f t="shared" si="3"/>
        <v>0.99158873622067811</v>
      </c>
    </row>
    <row r="63" spans="1:14" x14ac:dyDescent="0.2">
      <c r="A63" s="3">
        <v>2011</v>
      </c>
      <c r="B63" s="5">
        <v>15965</v>
      </c>
      <c r="C63" s="5">
        <v>12506.1</v>
      </c>
      <c r="D63" s="5">
        <f t="shared" si="0"/>
        <v>3458.8999999999996</v>
      </c>
      <c r="E63" s="5">
        <v>15311.4</v>
      </c>
      <c r="F63" s="5">
        <v>12781.7</v>
      </c>
      <c r="G63" s="5">
        <f t="shared" si="4"/>
        <v>2529.6999999999989</v>
      </c>
      <c r="H63" s="5">
        <v>12674.1</v>
      </c>
      <c r="I63" s="5">
        <v>3467.6</v>
      </c>
      <c r="J63" s="5">
        <v>19715</v>
      </c>
      <c r="K63" s="31">
        <v>5374.2908995347098</v>
      </c>
      <c r="L63" s="2">
        <f t="shared" si="1"/>
        <v>19600.599999999999</v>
      </c>
      <c r="M63" s="2">
        <f t="shared" si="2"/>
        <v>-114.40000000000146</v>
      </c>
      <c r="N63">
        <f t="shared" si="3"/>
        <v>0.9941973116916053</v>
      </c>
    </row>
    <row r="64" spans="1:14" x14ac:dyDescent="0.2">
      <c r="A64" s="3">
        <v>2012</v>
      </c>
      <c r="B64" s="5">
        <v>16692</v>
      </c>
      <c r="C64" s="5">
        <v>13047.6</v>
      </c>
      <c r="D64" s="5">
        <f t="shared" si="0"/>
        <v>3644.3999999999996</v>
      </c>
      <c r="E64" s="5">
        <v>15955.3</v>
      </c>
      <c r="F64" s="5">
        <v>13269.8</v>
      </c>
      <c r="G64" s="5">
        <f t="shared" si="4"/>
        <v>2685.5</v>
      </c>
      <c r="H64" s="5">
        <v>12954.4</v>
      </c>
      <c r="I64" s="5">
        <v>3596.5</v>
      </c>
      <c r="J64" s="5">
        <v>20483</v>
      </c>
      <c r="K64" s="31">
        <v>4814.9755570491998</v>
      </c>
      <c r="L64" s="2">
        <f t="shared" si="1"/>
        <v>20195.300000000003</v>
      </c>
      <c r="M64" s="2">
        <f t="shared" si="2"/>
        <v>-287.69999999999709</v>
      </c>
      <c r="N64">
        <f t="shared" si="3"/>
        <v>0.98595420592686633</v>
      </c>
    </row>
    <row r="65" spans="1:14" x14ac:dyDescent="0.2">
      <c r="A65" s="3">
        <v>2013</v>
      </c>
      <c r="B65" s="5">
        <v>18190</v>
      </c>
      <c r="C65" s="5">
        <v>14398.7</v>
      </c>
      <c r="D65" s="5">
        <f t="shared" si="0"/>
        <v>3791.2999999999993</v>
      </c>
      <c r="E65" s="5">
        <v>16625.5</v>
      </c>
      <c r="F65" s="5">
        <v>13844.4</v>
      </c>
      <c r="G65" s="5">
        <f t="shared" si="4"/>
        <v>2781.1000000000004</v>
      </c>
      <c r="H65" s="5">
        <v>13463</v>
      </c>
      <c r="I65" s="5">
        <v>3803.5</v>
      </c>
      <c r="J65" s="5">
        <v>21417</v>
      </c>
      <c r="K65" s="31">
        <v>4842.7676237565302</v>
      </c>
      <c r="L65" s="2">
        <f t="shared" si="1"/>
        <v>21057.8</v>
      </c>
      <c r="M65" s="2">
        <f t="shared" si="2"/>
        <v>-359.20000000000073</v>
      </c>
      <c r="N65">
        <f t="shared" si="3"/>
        <v>0.98322827660269874</v>
      </c>
    </row>
    <row r="66" spans="1:14" x14ac:dyDescent="0.2">
      <c r="A66" s="3">
        <v>2014</v>
      </c>
      <c r="B66" s="5">
        <v>18426</v>
      </c>
      <c r="C66" s="5">
        <v>14520.5</v>
      </c>
      <c r="D66" s="5">
        <f t="shared" si="0"/>
        <v>3905.5</v>
      </c>
      <c r="E66" s="5">
        <v>18045.8</v>
      </c>
      <c r="F66" s="5">
        <v>15220.9</v>
      </c>
      <c r="G66" s="5">
        <f t="shared" si="4"/>
        <v>2824.8999999999996</v>
      </c>
      <c r="H66" s="5">
        <v>14669.8</v>
      </c>
      <c r="I66" s="5">
        <v>3915</v>
      </c>
      <c r="J66" s="5">
        <v>22927</v>
      </c>
      <c r="K66" s="31">
        <v>4967.8319239396405</v>
      </c>
      <c r="L66" s="2">
        <f t="shared" si="1"/>
        <v>22490.3</v>
      </c>
      <c r="M66" s="2">
        <f t="shared" si="2"/>
        <v>-436.70000000000073</v>
      </c>
      <c r="N66">
        <f t="shared" si="3"/>
        <v>0.9809525886509356</v>
      </c>
    </row>
    <row r="67" spans="1:14" x14ac:dyDescent="0.2">
      <c r="A67" s="3">
        <v>2015</v>
      </c>
      <c r="B67" s="5">
        <v>19149</v>
      </c>
      <c r="C67" s="5">
        <v>15234.4</v>
      </c>
      <c r="D67" s="5">
        <f t="shared" ref="D67:D69" si="5">B67-C67</f>
        <v>3914.6000000000004</v>
      </c>
      <c r="E67" s="5">
        <v>18511.8</v>
      </c>
      <c r="F67" s="5">
        <v>15696.8</v>
      </c>
      <c r="G67" s="5">
        <f t="shared" si="4"/>
        <v>2815</v>
      </c>
      <c r="H67" s="5">
        <v>14982.7</v>
      </c>
      <c r="I67" s="5">
        <v>3945.5</v>
      </c>
      <c r="J67" s="5">
        <v>23081</v>
      </c>
      <c r="K67" s="31">
        <v>4897.1937543917702</v>
      </c>
      <c r="L67" s="2">
        <f t="shared" si="1"/>
        <v>22842.800000000003</v>
      </c>
      <c r="M67" s="2">
        <f t="shared" si="2"/>
        <v>-238.19999999999709</v>
      </c>
      <c r="N67">
        <f t="shared" si="3"/>
        <v>0.98967982323122927</v>
      </c>
    </row>
    <row r="68" spans="1:14" x14ac:dyDescent="0.2">
      <c r="A68" s="3">
        <v>2016</v>
      </c>
      <c r="B68" s="5">
        <v>20357</v>
      </c>
      <c r="C68" s="5">
        <v>16474.7</v>
      </c>
      <c r="D68" s="5">
        <f t="shared" si="5"/>
        <v>3882.2999999999993</v>
      </c>
      <c r="E68" s="5">
        <v>18951.900000000001</v>
      </c>
      <c r="F68" s="5">
        <v>16062.1</v>
      </c>
      <c r="G68" s="5">
        <f t="shared" si="4"/>
        <v>2889.8000000000011</v>
      </c>
      <c r="H68" s="5">
        <v>15589.9</v>
      </c>
      <c r="I68" s="5">
        <v>3866.1</v>
      </c>
      <c r="J68" s="5">
        <v>23605</v>
      </c>
      <c r="K68" s="31">
        <v>4915.7217988633502</v>
      </c>
      <c r="L68" s="2">
        <f t="shared" si="1"/>
        <v>23338.3</v>
      </c>
      <c r="M68" s="2">
        <f t="shared" si="2"/>
        <v>-266.70000000000073</v>
      </c>
      <c r="N68">
        <f t="shared" si="3"/>
        <v>0.98870154628256723</v>
      </c>
    </row>
    <row r="69" spans="1:14" x14ac:dyDescent="0.2">
      <c r="A69" s="3">
        <v>2017</v>
      </c>
      <c r="B69" s="5">
        <v>20038</v>
      </c>
      <c r="C69" s="5">
        <v>16291</v>
      </c>
      <c r="D69" s="5">
        <f t="shared" si="5"/>
        <v>3747</v>
      </c>
      <c r="E69" s="5">
        <v>19230.7</v>
      </c>
      <c r="F69" s="5">
        <v>16209.3</v>
      </c>
      <c r="G69" s="5">
        <f t="shared" si="4"/>
        <v>3021.4000000000015</v>
      </c>
      <c r="H69" s="5">
        <v>15722.2</v>
      </c>
      <c r="I69" s="5">
        <v>4053.1</v>
      </c>
      <c r="J69" s="5">
        <v>23789</v>
      </c>
      <c r="L69" s="2">
        <f t="shared" si="1"/>
        <v>23522.3</v>
      </c>
      <c r="M69" s="2">
        <f t="shared" si="2"/>
        <v>-266.70000000000073</v>
      </c>
      <c r="N69">
        <f t="shared" si="3"/>
        <v>0.9887889360628862</v>
      </c>
    </row>
    <row r="70" spans="1:14" x14ac:dyDescent="0.2">
      <c r="A70" s="3">
        <v>2018</v>
      </c>
      <c r="B70" s="23">
        <v>20539</v>
      </c>
      <c r="C70" s="22">
        <v>16304.162847032028</v>
      </c>
      <c r="D70" s="22">
        <f>B70-C70</f>
        <v>4234.8371529679716</v>
      </c>
      <c r="E70" s="22"/>
      <c r="F70" s="22">
        <v>16814.887597693301</v>
      </c>
      <c r="G70" s="22"/>
      <c r="H70" s="22">
        <v>15285.162847032028</v>
      </c>
      <c r="I70" s="23">
        <v>4312</v>
      </c>
      <c r="J70" s="23">
        <v>24216</v>
      </c>
      <c r="L70" s="2">
        <f>SUM(I70,H70,D70)</f>
        <v>23832</v>
      </c>
      <c r="M70" s="2">
        <f>L70-J70</f>
        <v>-384</v>
      </c>
      <c r="N70">
        <f t="shared" si="3"/>
        <v>0.98414271555996036</v>
      </c>
    </row>
    <row r="71" spans="1:14" x14ac:dyDescent="0.2">
      <c r="H71" s="5"/>
    </row>
    <row r="72" spans="1:14" x14ac:dyDescent="0.2">
      <c r="B72">
        <f>1706/B69</f>
        <v>8.5138237349036833E-2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
  <sheetViews>
    <sheetView topLeftCell="A15" workbookViewId="0">
      <selection activeCell="B49" sqref="B49"/>
    </sheetView>
  </sheetViews>
  <sheetFormatPr baseColWidth="10" defaultColWidth="8.83203125" defaultRowHeight="15" x14ac:dyDescent="0.2"/>
  <cols>
    <col min="1" max="1" width="8.83203125" style="13"/>
    <col min="2" max="2" width="36.1640625" style="13" customWidth="1"/>
    <col min="3" max="3" width="30.1640625" style="13" bestFit="1" customWidth="1"/>
    <col min="4" max="4" width="28.5" style="10" bestFit="1" customWidth="1"/>
    <col min="5" max="5" width="29.1640625" style="10" bestFit="1" customWidth="1"/>
    <col min="6" max="6" width="30.5" style="10" bestFit="1" customWidth="1"/>
    <col min="7" max="7" width="26.1640625" style="10" bestFit="1" customWidth="1"/>
    <col min="8" max="8" width="33.5" style="19" bestFit="1" customWidth="1"/>
    <col min="9" max="10" width="29.1640625" style="10" bestFit="1" customWidth="1"/>
    <col min="11" max="16384" width="8.83203125" style="10"/>
  </cols>
  <sheetData>
    <row r="1" spans="1:9" ht="16" x14ac:dyDescent="0.2">
      <c r="A1" s="13" t="s">
        <v>61</v>
      </c>
      <c r="B1" s="13" t="s">
        <v>0</v>
      </c>
      <c r="C1" s="16" t="s">
        <v>1</v>
      </c>
      <c r="E1" s="11" t="s">
        <v>61</v>
      </c>
      <c r="F1" s="11" t="s">
        <v>0</v>
      </c>
      <c r="G1" s="15" t="s">
        <v>1</v>
      </c>
      <c r="H1" s="19" t="s">
        <v>62</v>
      </c>
    </row>
    <row r="2" spans="1:9" ht="176" x14ac:dyDescent="0.2">
      <c r="A2" s="13" t="s">
        <v>7</v>
      </c>
      <c r="B2" s="17" t="s">
        <v>20</v>
      </c>
      <c r="C2" s="16" t="s">
        <v>4</v>
      </c>
      <c r="E2" s="14" t="s">
        <v>7</v>
      </c>
      <c r="F2" s="20" t="s">
        <v>6</v>
      </c>
      <c r="G2" s="12" t="s">
        <v>85</v>
      </c>
      <c r="H2" s="21" t="s">
        <v>63</v>
      </c>
      <c r="I2" s="10" t="s">
        <v>72</v>
      </c>
    </row>
    <row r="3" spans="1:9" ht="64" x14ac:dyDescent="0.2">
      <c r="A3" s="13" t="s">
        <v>8</v>
      </c>
      <c r="B3" s="17" t="s">
        <v>21</v>
      </c>
      <c r="C3" s="16" t="s">
        <v>2</v>
      </c>
      <c r="E3" s="14" t="s">
        <v>8</v>
      </c>
      <c r="F3" s="20" t="s">
        <v>15</v>
      </c>
      <c r="G3" s="12" t="s">
        <v>86</v>
      </c>
      <c r="H3" s="21" t="s">
        <v>64</v>
      </c>
      <c r="I3" s="10" t="s">
        <v>70</v>
      </c>
    </row>
    <row r="4" spans="1:9" ht="64" x14ac:dyDescent="0.2">
      <c r="A4" s="13" t="s">
        <v>9</v>
      </c>
      <c r="B4" s="17" t="s">
        <v>19</v>
      </c>
      <c r="C4" s="16" t="s">
        <v>3</v>
      </c>
      <c r="E4" s="14" t="s">
        <v>9</v>
      </c>
      <c r="F4" s="20" t="s">
        <v>18</v>
      </c>
      <c r="G4" s="12" t="s">
        <v>538</v>
      </c>
      <c r="H4" s="21" t="s">
        <v>65</v>
      </c>
      <c r="I4" s="10" t="s">
        <v>71</v>
      </c>
    </row>
    <row r="5" spans="1:9" ht="128" x14ac:dyDescent="0.2">
      <c r="A5" s="13" t="s">
        <v>10</v>
      </c>
      <c r="B5" s="17" t="s">
        <v>22</v>
      </c>
      <c r="C5" s="16" t="s">
        <v>25</v>
      </c>
      <c r="E5" s="14" t="s">
        <v>10</v>
      </c>
      <c r="F5" s="20" t="s">
        <v>31</v>
      </c>
      <c r="G5" s="12" t="s">
        <v>99</v>
      </c>
    </row>
    <row r="6" spans="1:9" ht="48" x14ac:dyDescent="0.2">
      <c r="A6" s="13" t="s">
        <v>11</v>
      </c>
      <c r="B6" s="17" t="s">
        <v>23</v>
      </c>
      <c r="C6" s="16" t="s">
        <v>4</v>
      </c>
      <c r="E6" s="14" t="s">
        <v>11</v>
      </c>
      <c r="F6" s="20" t="s">
        <v>39</v>
      </c>
      <c r="G6" s="12" t="s">
        <v>98</v>
      </c>
      <c r="H6" s="21" t="s">
        <v>66</v>
      </c>
    </row>
    <row r="7" spans="1:9" ht="16" x14ac:dyDescent="0.2">
      <c r="A7" s="13" t="s">
        <v>12</v>
      </c>
      <c r="B7" s="17" t="s">
        <v>24</v>
      </c>
      <c r="C7" s="16" t="s">
        <v>3</v>
      </c>
      <c r="E7" s="14" t="s">
        <v>12</v>
      </c>
      <c r="F7" s="20" t="s">
        <v>48</v>
      </c>
      <c r="G7" s="14" t="s">
        <v>97</v>
      </c>
      <c r="H7" s="21"/>
    </row>
    <row r="8" spans="1:9" ht="64" x14ac:dyDescent="0.2">
      <c r="A8" s="13" t="s">
        <v>13</v>
      </c>
      <c r="B8" s="17" t="s">
        <v>5</v>
      </c>
      <c r="C8" s="16" t="s">
        <v>33</v>
      </c>
      <c r="E8" s="14" t="s">
        <v>13</v>
      </c>
      <c r="F8" s="20" t="s">
        <v>55</v>
      </c>
      <c r="G8" s="12" t="s">
        <v>536</v>
      </c>
      <c r="H8" s="21" t="s">
        <v>69</v>
      </c>
      <c r="I8" s="10" t="s">
        <v>73</v>
      </c>
    </row>
    <row r="9" spans="1:9" ht="96" x14ac:dyDescent="0.2">
      <c r="A9" s="13" t="s">
        <v>14</v>
      </c>
      <c r="B9" s="17" t="s">
        <v>26</v>
      </c>
      <c r="C9" s="16" t="s">
        <v>3</v>
      </c>
      <c r="E9" s="14" t="s">
        <v>14</v>
      </c>
      <c r="F9" s="20" t="s">
        <v>56</v>
      </c>
      <c r="G9" s="12" t="s">
        <v>537</v>
      </c>
      <c r="H9" s="21" t="s">
        <v>67</v>
      </c>
    </row>
    <row r="10" spans="1:9" ht="64" x14ac:dyDescent="0.2">
      <c r="A10" s="13" t="s">
        <v>16</v>
      </c>
      <c r="B10" s="17" t="s">
        <v>27</v>
      </c>
      <c r="C10" s="16" t="s">
        <v>4</v>
      </c>
      <c r="E10" s="14" t="s">
        <v>16</v>
      </c>
      <c r="F10" s="14" t="s">
        <v>57</v>
      </c>
      <c r="G10" s="12" t="s">
        <v>530</v>
      </c>
      <c r="H10" s="21" t="s">
        <v>68</v>
      </c>
    </row>
    <row r="11" spans="1:9" ht="64" x14ac:dyDescent="0.2">
      <c r="A11" s="13" t="s">
        <v>17</v>
      </c>
      <c r="B11" s="17" t="s">
        <v>28</v>
      </c>
      <c r="C11" s="16" t="s">
        <v>4</v>
      </c>
      <c r="E11" s="10" t="s">
        <v>17</v>
      </c>
      <c r="F11" s="12" t="s">
        <v>534</v>
      </c>
      <c r="G11" s="12" t="s">
        <v>531</v>
      </c>
    </row>
    <row r="12" spans="1:9" ht="64" x14ac:dyDescent="0.2">
      <c r="A12" s="13" t="s">
        <v>35</v>
      </c>
      <c r="B12" s="17" t="s">
        <v>29</v>
      </c>
      <c r="C12" s="16" t="s">
        <v>3</v>
      </c>
      <c r="E12" s="10" t="s">
        <v>16</v>
      </c>
      <c r="F12" s="12" t="s">
        <v>535</v>
      </c>
      <c r="G12" s="12" t="s">
        <v>533</v>
      </c>
    </row>
    <row r="13" spans="1:9" ht="16" x14ac:dyDescent="0.2">
      <c r="A13" s="13" t="s">
        <v>36</v>
      </c>
      <c r="B13" s="17" t="s">
        <v>30</v>
      </c>
      <c r="C13" s="16" t="s">
        <v>3</v>
      </c>
    </row>
    <row r="14" spans="1:9" ht="16" x14ac:dyDescent="0.2">
      <c r="A14" s="13" t="s">
        <v>37</v>
      </c>
      <c r="B14" s="17" t="s">
        <v>32</v>
      </c>
      <c r="C14" s="16" t="s">
        <v>34</v>
      </c>
    </row>
    <row r="15" spans="1:9" ht="32" x14ac:dyDescent="0.2">
      <c r="A15" s="13" t="s">
        <v>38</v>
      </c>
      <c r="B15" s="17" t="s">
        <v>49</v>
      </c>
      <c r="C15" s="16" t="s">
        <v>4</v>
      </c>
    </row>
    <row r="16" spans="1:9" ht="32" x14ac:dyDescent="0.2">
      <c r="A16" s="13" t="s">
        <v>40</v>
      </c>
      <c r="B16" s="17" t="s">
        <v>50</v>
      </c>
      <c r="C16" s="16" t="s">
        <v>4</v>
      </c>
    </row>
    <row r="17" spans="1:3" ht="32" x14ac:dyDescent="0.2">
      <c r="A17" s="13" t="s">
        <v>41</v>
      </c>
      <c r="B17" s="17" t="s">
        <v>51</v>
      </c>
      <c r="C17" s="16" t="s">
        <v>2</v>
      </c>
    </row>
    <row r="18" spans="1:3" ht="32" x14ac:dyDescent="0.2">
      <c r="A18" s="13" t="s">
        <v>42</v>
      </c>
      <c r="B18" s="17" t="s">
        <v>52</v>
      </c>
      <c r="C18" s="16" t="s">
        <v>2</v>
      </c>
    </row>
    <row r="19" spans="1:3" ht="16" x14ac:dyDescent="0.2">
      <c r="A19" s="13" t="s">
        <v>43</v>
      </c>
      <c r="B19" s="17" t="s">
        <v>53</v>
      </c>
      <c r="C19" s="16" t="s">
        <v>3</v>
      </c>
    </row>
    <row r="20" spans="1:3" ht="16" x14ac:dyDescent="0.2">
      <c r="A20" s="13" t="s">
        <v>44</v>
      </c>
      <c r="B20" s="17" t="s">
        <v>54</v>
      </c>
      <c r="C20" s="16" t="s">
        <v>3</v>
      </c>
    </row>
    <row r="21" spans="1:3" ht="32" x14ac:dyDescent="0.2">
      <c r="A21" s="13" t="s">
        <v>45</v>
      </c>
      <c r="B21" s="18" t="s">
        <v>58</v>
      </c>
      <c r="C21" s="16" t="s">
        <v>25</v>
      </c>
    </row>
    <row r="22" spans="1:3" ht="16" x14ac:dyDescent="0.2">
      <c r="A22" s="13" t="s">
        <v>46</v>
      </c>
      <c r="B22" s="18" t="s">
        <v>60</v>
      </c>
      <c r="C22" s="16" t="s">
        <v>3</v>
      </c>
    </row>
    <row r="23" spans="1:3" ht="32" x14ac:dyDescent="0.2">
      <c r="A23" s="13" t="s">
        <v>47</v>
      </c>
      <c r="B23" s="18" t="s">
        <v>59</v>
      </c>
      <c r="C23" s="16" t="s">
        <v>2</v>
      </c>
    </row>
    <row r="24" spans="1:3" ht="32" x14ac:dyDescent="0.2">
      <c r="A24" s="13" t="s">
        <v>77</v>
      </c>
      <c r="B24" s="28" t="s">
        <v>75</v>
      </c>
      <c r="C24" s="27" t="s">
        <v>78</v>
      </c>
    </row>
    <row r="25" spans="1:3" ht="48" x14ac:dyDescent="0.2">
      <c r="A25" s="13" t="s">
        <v>79</v>
      </c>
      <c r="B25" s="28" t="s">
        <v>80</v>
      </c>
      <c r="C25" s="16" t="s">
        <v>81</v>
      </c>
    </row>
    <row r="40" spans="1:7" x14ac:dyDescent="0.2">
      <c r="B40" s="13" t="s">
        <v>564</v>
      </c>
      <c r="C40" s="13" t="s">
        <v>565</v>
      </c>
      <c r="D40" s="13" t="s">
        <v>562</v>
      </c>
      <c r="E40" s="13" t="s">
        <v>563</v>
      </c>
      <c r="F40" s="10" t="s">
        <v>560</v>
      </c>
      <c r="G40" s="10" t="s">
        <v>561</v>
      </c>
    </row>
    <row r="41" spans="1:7" x14ac:dyDescent="0.2">
      <c r="A41" s="13">
        <v>2017</v>
      </c>
      <c r="B41" s="13">
        <v>2.74</v>
      </c>
      <c r="C41" s="13">
        <f>B41*0.378*1000</f>
        <v>1035.7200000000003</v>
      </c>
      <c r="D41" s="13">
        <v>3.05</v>
      </c>
      <c r="E41" s="13">
        <f>D41*0.378*1000</f>
        <v>1152.9000000000001</v>
      </c>
      <c r="F41" s="10">
        <v>3.36</v>
      </c>
      <c r="G41" s="10">
        <f>F41*0.378*1000</f>
        <v>1270.08</v>
      </c>
    </row>
    <row r="42" spans="1:7" x14ac:dyDescent="0.2">
      <c r="A42" s="13">
        <v>2018</v>
      </c>
      <c r="B42" s="13">
        <v>2.19</v>
      </c>
      <c r="C42" s="13">
        <f t="shared" ref="C42:C64" si="0">B42*0.378*1000</f>
        <v>827.82</v>
      </c>
      <c r="D42" s="13">
        <v>2.74</v>
      </c>
      <c r="E42" s="13">
        <f t="shared" ref="E42:E64" si="1">D42*0.378*1000</f>
        <v>1035.7200000000003</v>
      </c>
      <c r="F42" s="10">
        <v>3.29</v>
      </c>
      <c r="G42" s="10">
        <f t="shared" ref="G42:G64" si="2">F42*0.378*1000</f>
        <v>1243.6199999999999</v>
      </c>
    </row>
    <row r="43" spans="1:7" x14ac:dyDescent="0.2">
      <c r="A43" s="13">
        <v>2019</v>
      </c>
      <c r="B43" s="13">
        <v>1.7</v>
      </c>
      <c r="C43" s="13">
        <f t="shared" si="0"/>
        <v>642.59999999999991</v>
      </c>
      <c r="D43" s="13">
        <v>2.4300000000000002</v>
      </c>
      <c r="E43" s="13">
        <f t="shared" si="1"/>
        <v>918.54000000000008</v>
      </c>
      <c r="F43" s="10">
        <v>3.16</v>
      </c>
      <c r="G43" s="10">
        <f t="shared" si="2"/>
        <v>1194.48</v>
      </c>
    </row>
    <row r="44" spans="1:7" x14ac:dyDescent="0.2">
      <c r="A44" s="13">
        <v>2020</v>
      </c>
      <c r="B44" s="13">
        <v>1.28</v>
      </c>
      <c r="C44" s="13">
        <f t="shared" si="0"/>
        <v>483.84</v>
      </c>
      <c r="D44" s="13">
        <v>2.13</v>
      </c>
      <c r="E44" s="13">
        <f t="shared" si="1"/>
        <v>805.14</v>
      </c>
      <c r="F44" s="10">
        <v>2.98</v>
      </c>
      <c r="G44" s="10">
        <f t="shared" si="2"/>
        <v>1126.44</v>
      </c>
    </row>
    <row r="45" spans="1:7" x14ac:dyDescent="0.2">
      <c r="A45" s="13">
        <v>2021</v>
      </c>
      <c r="B45" s="13">
        <v>0.91</v>
      </c>
      <c r="C45" s="13">
        <f t="shared" si="0"/>
        <v>343.98</v>
      </c>
      <c r="D45" s="13">
        <v>1.82</v>
      </c>
      <c r="E45" s="13">
        <f t="shared" si="1"/>
        <v>687.96</v>
      </c>
      <c r="F45" s="10">
        <v>2.73</v>
      </c>
      <c r="G45" s="10">
        <f t="shared" si="2"/>
        <v>1031.94</v>
      </c>
    </row>
    <row r="46" spans="1:7" x14ac:dyDescent="0.2">
      <c r="A46" s="13">
        <v>2022</v>
      </c>
      <c r="B46" s="13">
        <v>0.6</v>
      </c>
      <c r="C46" s="13">
        <f t="shared" si="0"/>
        <v>226.8</v>
      </c>
      <c r="D46" s="13">
        <v>1.51</v>
      </c>
      <c r="E46" s="13">
        <f t="shared" si="1"/>
        <v>570.78</v>
      </c>
      <c r="F46" s="10">
        <v>2.42</v>
      </c>
      <c r="G46" s="10">
        <f t="shared" si="2"/>
        <v>914.76</v>
      </c>
    </row>
    <row r="47" spans="1:7" x14ac:dyDescent="0.2">
      <c r="A47" s="13">
        <v>2023</v>
      </c>
      <c r="B47" s="13">
        <v>0.36</v>
      </c>
      <c r="C47" s="13">
        <f t="shared" si="0"/>
        <v>136.08000000000001</v>
      </c>
      <c r="D47" s="13">
        <v>1.2</v>
      </c>
      <c r="E47" s="13">
        <f t="shared" si="1"/>
        <v>453.6</v>
      </c>
      <c r="F47" s="10">
        <v>2.04</v>
      </c>
      <c r="G47" s="10">
        <f t="shared" si="2"/>
        <v>771.12</v>
      </c>
    </row>
    <row r="48" spans="1:7" x14ac:dyDescent="0.2">
      <c r="A48" s="13">
        <v>2024</v>
      </c>
      <c r="B48" s="13">
        <v>0.18</v>
      </c>
      <c r="C48" s="13">
        <f t="shared" si="0"/>
        <v>68.040000000000006</v>
      </c>
      <c r="D48" s="13">
        <v>0.89</v>
      </c>
      <c r="E48" s="13">
        <f t="shared" si="1"/>
        <v>336.42</v>
      </c>
      <c r="F48" s="10">
        <v>1.6</v>
      </c>
      <c r="G48" s="10">
        <f t="shared" si="2"/>
        <v>604.79999999999995</v>
      </c>
    </row>
    <row r="49" spans="1:7" x14ac:dyDescent="0.2">
      <c r="A49" s="13">
        <v>2025</v>
      </c>
      <c r="B49" s="13">
        <v>0.06</v>
      </c>
      <c r="C49" s="13">
        <f t="shared" si="0"/>
        <v>22.68</v>
      </c>
      <c r="D49" s="13">
        <v>0.57999999999999996</v>
      </c>
      <c r="E49" s="13">
        <f t="shared" si="1"/>
        <v>219.23999999999998</v>
      </c>
      <c r="F49" s="10">
        <v>1.1000000000000001</v>
      </c>
      <c r="G49" s="10">
        <f t="shared" si="2"/>
        <v>415.80000000000007</v>
      </c>
    </row>
    <row r="50" spans="1:7" x14ac:dyDescent="0.2">
      <c r="A50" s="13">
        <v>2026</v>
      </c>
      <c r="B50" s="13">
        <v>0</v>
      </c>
      <c r="C50" s="13">
        <f t="shared" si="0"/>
        <v>0</v>
      </c>
      <c r="D50" s="13">
        <v>0.27</v>
      </c>
      <c r="E50" s="13">
        <f t="shared" si="1"/>
        <v>102.06000000000002</v>
      </c>
      <c r="F50" s="10">
        <v>0.54</v>
      </c>
      <c r="G50" s="10">
        <f t="shared" si="2"/>
        <v>204.12000000000003</v>
      </c>
    </row>
    <row r="51" spans="1:7" x14ac:dyDescent="0.2">
      <c r="A51" s="13">
        <v>2027</v>
      </c>
      <c r="B51" s="13">
        <v>0</v>
      </c>
      <c r="C51" s="13">
        <f t="shared" si="0"/>
        <v>0</v>
      </c>
      <c r="D51" s="13">
        <v>0</v>
      </c>
      <c r="E51" s="13">
        <f t="shared" si="1"/>
        <v>0</v>
      </c>
      <c r="F51" s="10">
        <v>0.27</v>
      </c>
      <c r="G51" s="10">
        <f t="shared" si="2"/>
        <v>102.06000000000002</v>
      </c>
    </row>
    <row r="52" spans="1:7" x14ac:dyDescent="0.2">
      <c r="A52" s="13">
        <v>2028</v>
      </c>
      <c r="B52" s="13">
        <v>0</v>
      </c>
      <c r="C52" s="13">
        <f t="shared" si="0"/>
        <v>0</v>
      </c>
      <c r="D52" s="13">
        <v>0</v>
      </c>
      <c r="E52" s="13">
        <f t="shared" si="1"/>
        <v>0</v>
      </c>
      <c r="F52" s="10">
        <v>0.27</v>
      </c>
      <c r="G52" s="10">
        <f t="shared" si="2"/>
        <v>102.06000000000002</v>
      </c>
    </row>
    <row r="53" spans="1:7" x14ac:dyDescent="0.2">
      <c r="A53" s="13">
        <v>2029</v>
      </c>
      <c r="B53" s="13">
        <v>0</v>
      </c>
      <c r="C53" s="13">
        <f t="shared" si="0"/>
        <v>0</v>
      </c>
      <c r="D53" s="13">
        <v>0</v>
      </c>
      <c r="E53" s="13">
        <f t="shared" si="1"/>
        <v>0</v>
      </c>
      <c r="F53" s="10">
        <v>0.27</v>
      </c>
      <c r="G53" s="10">
        <f t="shared" si="2"/>
        <v>102.06000000000002</v>
      </c>
    </row>
    <row r="54" spans="1:7" x14ac:dyDescent="0.2">
      <c r="A54" s="13">
        <v>2030</v>
      </c>
      <c r="B54" s="13">
        <v>0</v>
      </c>
      <c r="C54" s="13">
        <f t="shared" si="0"/>
        <v>0</v>
      </c>
      <c r="D54" s="13">
        <v>0</v>
      </c>
      <c r="E54" s="13">
        <f t="shared" si="1"/>
        <v>0</v>
      </c>
      <c r="F54" s="10">
        <v>0.27</v>
      </c>
      <c r="G54" s="10">
        <f t="shared" si="2"/>
        <v>102.06000000000002</v>
      </c>
    </row>
    <row r="55" spans="1:7" x14ac:dyDescent="0.2">
      <c r="A55" s="13">
        <v>2031</v>
      </c>
      <c r="B55" s="13">
        <v>0</v>
      </c>
      <c r="C55" s="13">
        <f t="shared" si="0"/>
        <v>0</v>
      </c>
      <c r="D55" s="13">
        <v>0</v>
      </c>
      <c r="E55" s="13">
        <f t="shared" si="1"/>
        <v>0</v>
      </c>
      <c r="F55" s="10">
        <v>0.27</v>
      </c>
      <c r="G55" s="10">
        <f t="shared" si="2"/>
        <v>102.06000000000002</v>
      </c>
    </row>
    <row r="56" spans="1:7" x14ac:dyDescent="0.2">
      <c r="A56" s="13">
        <v>2032</v>
      </c>
      <c r="B56" s="13">
        <v>0</v>
      </c>
      <c r="C56" s="13">
        <f t="shared" si="0"/>
        <v>0</v>
      </c>
      <c r="D56" s="13">
        <v>0</v>
      </c>
      <c r="E56" s="13">
        <f t="shared" si="1"/>
        <v>0</v>
      </c>
      <c r="F56" s="10">
        <v>0.27</v>
      </c>
      <c r="G56" s="10">
        <f t="shared" si="2"/>
        <v>102.06000000000002</v>
      </c>
    </row>
    <row r="57" spans="1:7" x14ac:dyDescent="0.2">
      <c r="A57" s="13">
        <v>2033</v>
      </c>
      <c r="B57" s="13">
        <v>0</v>
      </c>
      <c r="C57" s="13">
        <f t="shared" si="0"/>
        <v>0</v>
      </c>
      <c r="D57" s="13">
        <v>0</v>
      </c>
      <c r="E57" s="13">
        <f t="shared" si="1"/>
        <v>0</v>
      </c>
      <c r="F57" s="10">
        <v>0.27</v>
      </c>
      <c r="G57" s="10">
        <f t="shared" si="2"/>
        <v>102.06000000000002</v>
      </c>
    </row>
    <row r="58" spans="1:7" x14ac:dyDescent="0.2">
      <c r="A58" s="13">
        <v>2034</v>
      </c>
      <c r="B58" s="13">
        <v>0</v>
      </c>
      <c r="C58" s="13">
        <f t="shared" si="0"/>
        <v>0</v>
      </c>
      <c r="D58" s="13">
        <v>0</v>
      </c>
      <c r="E58" s="13">
        <f t="shared" si="1"/>
        <v>0</v>
      </c>
      <c r="F58" s="10">
        <v>0.27</v>
      </c>
      <c r="G58" s="10">
        <f t="shared" si="2"/>
        <v>102.06000000000002</v>
      </c>
    </row>
    <row r="59" spans="1:7" x14ac:dyDescent="0.2">
      <c r="A59" s="13">
        <v>2035</v>
      </c>
      <c r="B59" s="13">
        <v>0</v>
      </c>
      <c r="C59" s="13">
        <f t="shared" si="0"/>
        <v>0</v>
      </c>
      <c r="D59" s="13">
        <v>0</v>
      </c>
      <c r="E59" s="13">
        <f t="shared" si="1"/>
        <v>0</v>
      </c>
      <c r="F59" s="10">
        <v>0.27</v>
      </c>
      <c r="G59" s="10">
        <f t="shared" si="2"/>
        <v>102.06000000000002</v>
      </c>
    </row>
    <row r="60" spans="1:7" x14ac:dyDescent="0.2">
      <c r="A60" s="13">
        <v>2036</v>
      </c>
      <c r="B60" s="13">
        <v>0</v>
      </c>
      <c r="C60" s="13">
        <f t="shared" si="0"/>
        <v>0</v>
      </c>
      <c r="D60" s="13">
        <v>0</v>
      </c>
      <c r="E60" s="13">
        <f t="shared" si="1"/>
        <v>0</v>
      </c>
      <c r="F60" s="10">
        <v>0.27</v>
      </c>
      <c r="G60" s="10">
        <f t="shared" si="2"/>
        <v>102.06000000000002</v>
      </c>
    </row>
    <row r="61" spans="1:7" x14ac:dyDescent="0.2">
      <c r="A61" s="13">
        <v>2037</v>
      </c>
      <c r="B61" s="13">
        <v>0</v>
      </c>
      <c r="C61" s="13">
        <f t="shared" si="0"/>
        <v>0</v>
      </c>
      <c r="D61" s="13">
        <v>0</v>
      </c>
      <c r="E61" s="13">
        <f t="shared" si="1"/>
        <v>0</v>
      </c>
      <c r="F61" s="10">
        <v>0.27</v>
      </c>
      <c r="G61" s="10">
        <f t="shared" si="2"/>
        <v>102.06000000000002</v>
      </c>
    </row>
    <row r="62" spans="1:7" x14ac:dyDescent="0.2">
      <c r="A62" s="13">
        <v>2038</v>
      </c>
      <c r="B62" s="13">
        <v>0</v>
      </c>
      <c r="C62" s="13">
        <f t="shared" si="0"/>
        <v>0</v>
      </c>
      <c r="D62" s="13">
        <v>0</v>
      </c>
      <c r="E62" s="13">
        <f t="shared" si="1"/>
        <v>0</v>
      </c>
      <c r="F62" s="10">
        <v>0.27</v>
      </c>
      <c r="G62" s="10">
        <f t="shared" si="2"/>
        <v>102.06000000000002</v>
      </c>
    </row>
    <row r="63" spans="1:7" x14ac:dyDescent="0.2">
      <c r="A63" s="13">
        <v>2039</v>
      </c>
      <c r="B63" s="13">
        <v>0</v>
      </c>
      <c r="C63" s="13">
        <f t="shared" si="0"/>
        <v>0</v>
      </c>
      <c r="D63" s="13">
        <v>0</v>
      </c>
      <c r="E63" s="13">
        <f t="shared" si="1"/>
        <v>0</v>
      </c>
      <c r="F63" s="10">
        <v>0.27</v>
      </c>
      <c r="G63" s="10">
        <f t="shared" si="2"/>
        <v>102.06000000000002</v>
      </c>
    </row>
    <row r="64" spans="1:7" x14ac:dyDescent="0.2">
      <c r="A64" s="13">
        <v>2040</v>
      </c>
      <c r="B64" s="13">
        <v>0</v>
      </c>
      <c r="C64" s="13">
        <f t="shared" si="0"/>
        <v>0</v>
      </c>
      <c r="D64" s="13">
        <v>0</v>
      </c>
      <c r="E64" s="13">
        <f t="shared" si="1"/>
        <v>0</v>
      </c>
      <c r="F64" s="10">
        <v>0.27</v>
      </c>
      <c r="G64" s="10">
        <f t="shared" si="2"/>
        <v>102.06000000000002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DCDA7-FB0E-4A81-A49C-34E8F3F205F3}">
  <dimension ref="A1:AJ129"/>
  <sheetViews>
    <sheetView zoomScale="103" zoomScaleNormal="100" workbookViewId="0">
      <pane ySplit="1" topLeftCell="A46" activePane="bottomLeft" state="frozen"/>
      <selection pane="bottomLeft" activeCell="I70" sqref="H70:I70"/>
    </sheetView>
  </sheetViews>
  <sheetFormatPr baseColWidth="10" defaultColWidth="8.83203125" defaultRowHeight="15" x14ac:dyDescent="0.2"/>
  <cols>
    <col min="1" max="1" width="10.1640625" customWidth="1"/>
    <col min="2" max="2" width="22.1640625" customWidth="1"/>
    <col min="3" max="3" width="14" customWidth="1"/>
    <col min="4" max="4" width="16.1640625" customWidth="1"/>
    <col min="5" max="5" width="18.5" customWidth="1"/>
    <col min="6" max="6" width="12.83203125" customWidth="1"/>
    <col min="7" max="7" width="15.33203125" customWidth="1"/>
    <col min="8" max="8" width="12" customWidth="1"/>
    <col min="9" max="9" width="15.83203125" customWidth="1"/>
    <col min="10" max="10" width="14.1640625" customWidth="1"/>
    <col min="11" max="11" width="11.83203125" customWidth="1"/>
    <col min="12" max="17" width="8.83203125" customWidth="1"/>
    <col min="18" max="18" width="17.5" customWidth="1"/>
    <col min="19" max="20" width="15.83203125" customWidth="1"/>
    <col min="21" max="22" width="15" customWidth="1"/>
    <col min="23" max="23" width="21" customWidth="1"/>
    <col min="24" max="24" width="8.83203125" customWidth="1"/>
    <col min="25" max="25" width="12.6640625" customWidth="1"/>
    <col min="26" max="26" width="12.5" customWidth="1"/>
    <col min="27" max="27" width="11.83203125" customWidth="1"/>
    <col min="28" max="28" width="23.33203125" customWidth="1"/>
    <col min="29" max="29" width="19.6640625" customWidth="1"/>
    <col min="30" max="30" width="15.33203125" customWidth="1"/>
    <col min="31" max="32" width="9" bestFit="1" customWidth="1"/>
    <col min="33" max="33" width="13.5" bestFit="1" customWidth="1"/>
    <col min="34" max="34" width="9" bestFit="1" customWidth="1"/>
    <col min="35" max="36" width="13.5" bestFit="1" customWidth="1"/>
  </cols>
  <sheetData>
    <row r="1" spans="1:32" x14ac:dyDescent="0.2">
      <c r="A1" t="s">
        <v>83</v>
      </c>
      <c r="B1" t="s">
        <v>6</v>
      </c>
      <c r="C1" t="s">
        <v>15</v>
      </c>
      <c r="D1" t="s">
        <v>18</v>
      </c>
      <c r="E1" t="s">
        <v>31</v>
      </c>
      <c r="F1" t="s">
        <v>39</v>
      </c>
      <c r="G1" t="s">
        <v>48</v>
      </c>
      <c r="H1" t="s">
        <v>55</v>
      </c>
      <c r="I1" t="s">
        <v>56</v>
      </c>
      <c r="J1" t="s">
        <v>532</v>
      </c>
      <c r="K1" t="s">
        <v>539</v>
      </c>
      <c r="L1" t="s">
        <v>57</v>
      </c>
      <c r="M1" t="s">
        <v>549</v>
      </c>
      <c r="N1" t="s">
        <v>74</v>
      </c>
      <c r="O1" t="s">
        <v>540</v>
      </c>
      <c r="P1" t="s">
        <v>541</v>
      </c>
      <c r="Q1" t="s">
        <v>542</v>
      </c>
      <c r="R1" t="s">
        <v>546</v>
      </c>
      <c r="S1" t="s">
        <v>543</v>
      </c>
      <c r="T1" t="s">
        <v>529</v>
      </c>
      <c r="U1" t="s">
        <v>545</v>
      </c>
      <c r="V1" t="s">
        <v>547</v>
      </c>
      <c r="W1" t="s">
        <v>544</v>
      </c>
      <c r="X1" t="s">
        <v>548</v>
      </c>
      <c r="Y1" t="s">
        <v>550</v>
      </c>
      <c r="Z1" t="s">
        <v>551</v>
      </c>
      <c r="AA1" t="s">
        <v>552</v>
      </c>
      <c r="AB1" t="s">
        <v>553</v>
      </c>
      <c r="AC1" t="s">
        <v>554</v>
      </c>
      <c r="AD1" t="s">
        <v>555</v>
      </c>
      <c r="AE1" t="s">
        <v>557</v>
      </c>
      <c r="AF1" t="s">
        <v>591</v>
      </c>
    </row>
    <row r="2" spans="1:32" x14ac:dyDescent="0.2">
      <c r="A2" s="3">
        <v>1950</v>
      </c>
      <c r="B2">
        <f>Table1[[#This Row],[Concentrate production]]+Table1[[#This Row],[SX-EW production]]</f>
        <v>39.725205924786323</v>
      </c>
      <c r="C2">
        <f t="shared" ref="C2:C34" si="0">C3/1.0543</f>
        <v>39.725205924786323</v>
      </c>
      <c r="D2">
        <v>0</v>
      </c>
      <c r="E2">
        <f t="shared" ref="E2:E41" si="1">3*C2</f>
        <v>119.17561777435897</v>
      </c>
      <c r="K2" s="5">
        <f>Table1[[#This Row],[Refined Imports, WoodMac]]-Table1[[#This Row],[Refined Exports, WoodMac]]</f>
        <v>0</v>
      </c>
      <c r="M2" s="5">
        <f>Table1[[#This Row],[Refined usage]]-Table1[[#This Row],[Refined production, WoodMac]]</f>
        <v>0</v>
      </c>
    </row>
    <row r="3" spans="1:32" x14ac:dyDescent="0.2">
      <c r="A3" s="3">
        <v>1951</v>
      </c>
      <c r="B3">
        <f>Table1[[#This Row],[Concentrate production]]+Table1[[#This Row],[SX-EW production]]</f>
        <v>41.882284606502218</v>
      </c>
      <c r="C3">
        <f t="shared" si="0"/>
        <v>41.882284606502218</v>
      </c>
      <c r="D3">
        <v>0</v>
      </c>
      <c r="E3">
        <f t="shared" si="1"/>
        <v>125.64685381950665</v>
      </c>
      <c r="K3" s="5">
        <f>Table1[[#This Row],[Refined Imports, WoodMac]]-Table1[[#This Row],[Refined Exports, WoodMac]]</f>
        <v>0</v>
      </c>
      <c r="M3" s="5">
        <f>Table1[[#This Row],[Refined usage]]-Table1[[#This Row],[Refined production, WoodMac]]</f>
        <v>0</v>
      </c>
    </row>
    <row r="4" spans="1:32" x14ac:dyDescent="0.2">
      <c r="A4" s="3">
        <v>1952</v>
      </c>
      <c r="B4">
        <f>Table1[[#This Row],[Concentrate production]]+Table1[[#This Row],[SX-EW production]]</f>
        <v>44.156492660635287</v>
      </c>
      <c r="C4">
        <f t="shared" si="0"/>
        <v>44.156492660635287</v>
      </c>
      <c r="D4">
        <v>0</v>
      </c>
      <c r="E4">
        <f t="shared" si="1"/>
        <v>132.46947798190587</v>
      </c>
      <c r="K4" s="5">
        <f>Table1[[#This Row],[Refined Imports, WoodMac]]-Table1[[#This Row],[Refined Exports, WoodMac]]</f>
        <v>0</v>
      </c>
      <c r="M4" s="5">
        <f>Table1[[#This Row],[Refined usage]]-Table1[[#This Row],[Refined production, WoodMac]]</f>
        <v>0</v>
      </c>
    </row>
    <row r="5" spans="1:32" x14ac:dyDescent="0.2">
      <c r="A5" s="3">
        <v>1953</v>
      </c>
      <c r="B5">
        <f>Table1[[#This Row],[Concentrate production]]+Table1[[#This Row],[SX-EW production]]</f>
        <v>46.554190212107784</v>
      </c>
      <c r="C5">
        <f t="shared" si="0"/>
        <v>46.554190212107784</v>
      </c>
      <c r="D5">
        <v>0</v>
      </c>
      <c r="E5">
        <f t="shared" si="1"/>
        <v>139.66257063632335</v>
      </c>
      <c r="K5" s="5">
        <f>Table1[[#This Row],[Refined Imports, WoodMac]]-Table1[[#This Row],[Refined Exports, WoodMac]]</f>
        <v>0</v>
      </c>
      <c r="M5" s="5">
        <f>Table1[[#This Row],[Refined usage]]-Table1[[#This Row],[Refined production, WoodMac]]</f>
        <v>0</v>
      </c>
    </row>
    <row r="6" spans="1:32" x14ac:dyDescent="0.2">
      <c r="A6" s="3">
        <v>1954</v>
      </c>
      <c r="B6">
        <f>Table1[[#This Row],[Concentrate production]]+Table1[[#This Row],[SX-EW production]]</f>
        <v>49.082082740625239</v>
      </c>
      <c r="C6">
        <f t="shared" si="0"/>
        <v>49.082082740625239</v>
      </c>
      <c r="D6">
        <v>0</v>
      </c>
      <c r="E6">
        <f t="shared" si="1"/>
        <v>147.2462482218757</v>
      </c>
      <c r="K6" s="5">
        <f>Table1[[#This Row],[Refined Imports, WoodMac]]-Table1[[#This Row],[Refined Exports, WoodMac]]</f>
        <v>0</v>
      </c>
      <c r="M6" s="5">
        <f>Table1[[#This Row],[Refined usage]]-Table1[[#This Row],[Refined production, WoodMac]]</f>
        <v>0</v>
      </c>
    </row>
    <row r="7" spans="1:32" x14ac:dyDescent="0.2">
      <c r="A7" s="3">
        <v>1955</v>
      </c>
      <c r="B7">
        <f>Table1[[#This Row],[Concentrate production]]+Table1[[#This Row],[SX-EW production]]</f>
        <v>51.747239833441192</v>
      </c>
      <c r="C7">
        <f t="shared" si="0"/>
        <v>51.747239833441192</v>
      </c>
      <c r="D7">
        <v>0</v>
      </c>
      <c r="E7">
        <f t="shared" si="1"/>
        <v>155.24171950032357</v>
      </c>
      <c r="K7" s="5">
        <f>Table1[[#This Row],[Refined Imports, WoodMac]]-Table1[[#This Row],[Refined Exports, WoodMac]]</f>
        <v>0</v>
      </c>
      <c r="M7" s="5">
        <f>Table1[[#This Row],[Refined usage]]-Table1[[#This Row],[Refined production, WoodMac]]</f>
        <v>0</v>
      </c>
    </row>
    <row r="8" spans="1:32" x14ac:dyDescent="0.2">
      <c r="A8" s="3">
        <v>1956</v>
      </c>
      <c r="B8">
        <f>Table1[[#This Row],[Concentrate production]]+Table1[[#This Row],[SX-EW production]]</f>
        <v>54.557114956397051</v>
      </c>
      <c r="C8">
        <f t="shared" si="0"/>
        <v>54.557114956397051</v>
      </c>
      <c r="D8">
        <v>0</v>
      </c>
      <c r="E8">
        <f t="shared" si="1"/>
        <v>163.67134486919116</v>
      </c>
      <c r="K8" s="5">
        <f>Table1[[#This Row],[Refined Imports, WoodMac]]-Table1[[#This Row],[Refined Exports, WoodMac]]</f>
        <v>0</v>
      </c>
      <c r="M8" s="5">
        <f>Table1[[#This Row],[Refined usage]]-Table1[[#This Row],[Refined production, WoodMac]]</f>
        <v>0</v>
      </c>
    </row>
    <row r="9" spans="1:32" x14ac:dyDescent="0.2">
      <c r="A9" s="3">
        <v>1957</v>
      </c>
      <c r="B9">
        <f>Table1[[#This Row],[Concentrate production]]+Table1[[#This Row],[SX-EW production]]</f>
        <v>57.519566298529412</v>
      </c>
      <c r="C9">
        <f t="shared" si="0"/>
        <v>57.519566298529412</v>
      </c>
      <c r="D9">
        <v>0</v>
      </c>
      <c r="E9">
        <f t="shared" si="1"/>
        <v>172.55869889558824</v>
      </c>
      <c r="K9" s="5">
        <f>Table1[[#This Row],[Refined Imports, WoodMac]]-Table1[[#This Row],[Refined Exports, WoodMac]]</f>
        <v>0</v>
      </c>
      <c r="M9" s="5">
        <f>Table1[[#This Row],[Refined usage]]-Table1[[#This Row],[Refined production, WoodMac]]</f>
        <v>0</v>
      </c>
      <c r="X9" s="7"/>
      <c r="Y9" s="7"/>
      <c r="Z9" s="7"/>
      <c r="AA9" s="7"/>
      <c r="AB9" s="7"/>
      <c r="AC9" s="7"/>
      <c r="AD9" s="7"/>
      <c r="AE9" s="7"/>
    </row>
    <row r="10" spans="1:32" x14ac:dyDescent="0.2">
      <c r="A10" s="3">
        <v>1958</v>
      </c>
      <c r="B10">
        <f>Table1[[#This Row],[Concentrate production]]+Table1[[#This Row],[SX-EW production]]</f>
        <v>60.642878748539559</v>
      </c>
      <c r="C10">
        <f t="shared" si="0"/>
        <v>60.642878748539559</v>
      </c>
      <c r="D10">
        <v>0</v>
      </c>
      <c r="E10">
        <f t="shared" si="1"/>
        <v>181.92863624561869</v>
      </c>
      <c r="K10" s="5">
        <f>Table1[[#This Row],[Refined Imports, WoodMac]]-Table1[[#This Row],[Refined Exports, WoodMac]]</f>
        <v>0</v>
      </c>
      <c r="M10" s="5">
        <f>Table1[[#This Row],[Refined usage]]-Table1[[#This Row],[Refined production, WoodMac]]</f>
        <v>0</v>
      </c>
    </row>
    <row r="11" spans="1:32" x14ac:dyDescent="0.2">
      <c r="A11" s="3">
        <v>1959</v>
      </c>
      <c r="B11">
        <f>Table1[[#This Row],[Concentrate production]]+Table1[[#This Row],[SX-EW production]]</f>
        <v>63.935787064585256</v>
      </c>
      <c r="C11">
        <f t="shared" si="0"/>
        <v>63.935787064585256</v>
      </c>
      <c r="D11">
        <v>0</v>
      </c>
      <c r="E11">
        <f t="shared" si="1"/>
        <v>191.80736119375575</v>
      </c>
      <c r="K11" s="5">
        <f>Table1[[#This Row],[Refined Imports, WoodMac]]-Table1[[#This Row],[Refined Exports, WoodMac]]</f>
        <v>0</v>
      </c>
      <c r="M11" s="5">
        <f>Table1[[#This Row],[Refined usage]]-Table1[[#This Row],[Refined production, WoodMac]]</f>
        <v>0</v>
      </c>
    </row>
    <row r="12" spans="1:32" x14ac:dyDescent="0.2">
      <c r="A12" s="3">
        <v>1960</v>
      </c>
      <c r="B12">
        <f>Table1[[#This Row],[Concentrate production]]+Table1[[#This Row],[SX-EW production]]</f>
        <v>67.407500302192233</v>
      </c>
      <c r="C12">
        <f t="shared" si="0"/>
        <v>67.407500302192233</v>
      </c>
      <c r="D12">
        <v>0</v>
      </c>
      <c r="E12">
        <f t="shared" si="1"/>
        <v>202.2225009065767</v>
      </c>
      <c r="H12">
        <f>Table1[[#This Row],[Refined production, WoodMac]]-Table1[[#This Row],[Secondary refining production]]-Table1[[#This Row],[SX-EW production]]</f>
        <v>137.98802167577691</v>
      </c>
      <c r="I12">
        <f t="shared" ref="I12:I42" si="2">I13/1.1195</f>
        <v>4.8530923330902338</v>
      </c>
      <c r="J12">
        <f t="shared" ref="J12:J30" si="3">J13/1.05</f>
        <v>142.84111400886715</v>
      </c>
      <c r="K12" s="5">
        <f>Table1[[#This Row],[Refined Imports, WoodMac]]-Table1[[#This Row],[Refined Exports, WoodMac]]</f>
        <v>0</v>
      </c>
      <c r="L12" s="34">
        <v>110</v>
      </c>
      <c r="M12" s="34">
        <f>Table1[[#This Row],[Refined usage]]-Table1[[#This Row],[Refined production, WoodMac]]</f>
        <v>-32.841114008867152</v>
      </c>
      <c r="N12">
        <f>Table1[[#This Row],[Refined usage]]*0.208</f>
        <v>22.88</v>
      </c>
      <c r="X12">
        <f t="shared" ref="X12:X43" si="4">X13/1.2225</f>
        <v>0.22585194454156216</v>
      </c>
      <c r="AA12">
        <f t="shared" ref="AA12:AA42" si="5">AA13/1.193</f>
        <v>0.33761170311373678</v>
      </c>
      <c r="AE12">
        <f t="shared" ref="AE12:AF42" si="6">AE13/1.11</f>
        <v>14.353702740074407</v>
      </c>
      <c r="AF12">
        <f t="shared" si="6"/>
        <v>4.0320871121228361</v>
      </c>
    </row>
    <row r="13" spans="1:32" x14ac:dyDescent="0.2">
      <c r="A13" s="3">
        <v>1961</v>
      </c>
      <c r="B13">
        <f>Table1[[#This Row],[Concentrate production]]+Table1[[#This Row],[SX-EW production]]</f>
        <v>71.067727568601271</v>
      </c>
      <c r="C13">
        <f t="shared" si="0"/>
        <v>71.067727568601271</v>
      </c>
      <c r="D13">
        <v>0</v>
      </c>
      <c r="E13">
        <f t="shared" si="1"/>
        <v>213.20318270580381</v>
      </c>
      <c r="H13">
        <f>Table1[[#This Row],[Refined production, WoodMac]]-Table1[[#This Row],[Secondary refining production]]-Table1[[#This Row],[SX-EW production]]</f>
        <v>144.55013284241599</v>
      </c>
      <c r="I13">
        <f t="shared" si="2"/>
        <v>5.4330368668945166</v>
      </c>
      <c r="J13">
        <f t="shared" si="3"/>
        <v>149.98316970931052</v>
      </c>
      <c r="K13" s="5">
        <f>Table1[[#This Row],[Refined Imports, WoodMac]]-Table1[[#This Row],[Refined Exports, WoodMac]]</f>
        <v>0</v>
      </c>
      <c r="L13" s="34">
        <v>120</v>
      </c>
      <c r="M13" s="34">
        <f>Table1[[#This Row],[Refined usage]]-Table1[[#This Row],[Refined production, WoodMac]]</f>
        <v>-29.983169709310516</v>
      </c>
      <c r="N13">
        <f>Table1[[#This Row],[Refined usage]]*0.208</f>
        <v>24.959999999999997</v>
      </c>
      <c r="X13">
        <f t="shared" si="4"/>
        <v>0.27610400220205972</v>
      </c>
      <c r="AA13">
        <f t="shared" si="5"/>
        <v>0.40277076181468802</v>
      </c>
      <c r="AE13">
        <f t="shared" si="6"/>
        <v>15.932610041482594</v>
      </c>
      <c r="AF13">
        <f t="shared" si="6"/>
        <v>4.475616694456348</v>
      </c>
    </row>
    <row r="14" spans="1:32" x14ac:dyDescent="0.2">
      <c r="A14" s="3">
        <v>1962</v>
      </c>
      <c r="B14">
        <f>Table1[[#This Row],[Concentrate production]]+Table1[[#This Row],[SX-EW production]]</f>
        <v>74.926705175576316</v>
      </c>
      <c r="C14">
        <f t="shared" si="0"/>
        <v>74.926705175576316</v>
      </c>
      <c r="D14">
        <v>0</v>
      </c>
      <c r="E14">
        <f t="shared" si="1"/>
        <v>224.78011552672893</v>
      </c>
      <c r="H14">
        <f>Table1[[#This Row],[Refined production, WoodMac]]-Table1[[#This Row],[Secondary refining production]]-Table1[[#This Row],[SX-EW production]]</f>
        <v>151.40004342228764</v>
      </c>
      <c r="I14">
        <f t="shared" si="2"/>
        <v>6.0822847724884106</v>
      </c>
      <c r="J14">
        <f t="shared" si="3"/>
        <v>157.48232819477604</v>
      </c>
      <c r="K14" s="5">
        <f>Table1[[#This Row],[Refined Imports, WoodMac]]-Table1[[#This Row],[Refined Exports, WoodMac]]</f>
        <v>0</v>
      </c>
      <c r="L14" s="34">
        <v>120</v>
      </c>
      <c r="M14" s="34">
        <f>Table1[[#This Row],[Refined usage]]-Table1[[#This Row],[Refined production, WoodMac]]</f>
        <v>-37.482328194776045</v>
      </c>
      <c r="N14">
        <f>Table1[[#This Row],[Refined usage]]*0.208</f>
        <v>24.959999999999997</v>
      </c>
      <c r="X14">
        <f t="shared" si="4"/>
        <v>0.33753714269201801</v>
      </c>
      <c r="AA14">
        <f t="shared" si="5"/>
        <v>0.48050551884492282</v>
      </c>
      <c r="AE14">
        <f t="shared" si="6"/>
        <v>17.685197146045681</v>
      </c>
      <c r="AF14">
        <f t="shared" si="6"/>
        <v>4.9679345308465468</v>
      </c>
    </row>
    <row r="15" spans="1:32" x14ac:dyDescent="0.2">
      <c r="A15" s="3">
        <v>1963</v>
      </c>
      <c r="B15">
        <f>Table1[[#This Row],[Concentrate production]]+Table1[[#This Row],[SX-EW production]]</f>
        <v>78.995225266610106</v>
      </c>
      <c r="C15">
        <f t="shared" si="0"/>
        <v>78.995225266610106</v>
      </c>
      <c r="D15">
        <v>0</v>
      </c>
      <c r="E15">
        <f t="shared" si="1"/>
        <v>236.98567579983032</v>
      </c>
      <c r="H15">
        <f>Table1[[#This Row],[Refined production, WoodMac]]-Table1[[#This Row],[Secondary refining production]]-Table1[[#This Row],[SX-EW production]]</f>
        <v>158.54732680171406</v>
      </c>
      <c r="I15">
        <f t="shared" si="2"/>
        <v>6.8091178028007757</v>
      </c>
      <c r="J15">
        <f t="shared" si="3"/>
        <v>165.35644460451485</v>
      </c>
      <c r="K15" s="5">
        <f>Table1[[#This Row],[Refined Imports, WoodMac]]-Table1[[#This Row],[Refined Exports, WoodMac]]</f>
        <v>0</v>
      </c>
      <c r="L15" s="34">
        <v>120</v>
      </c>
      <c r="M15" s="34">
        <f>Table1[[#This Row],[Refined usage]]-Table1[[#This Row],[Refined production, WoodMac]]</f>
        <v>-45.356444604514849</v>
      </c>
      <c r="N15">
        <f>Table1[[#This Row],[Refined usage]]*0.208</f>
        <v>24.959999999999997</v>
      </c>
      <c r="X15">
        <f t="shared" si="4"/>
        <v>0.41263915694099201</v>
      </c>
      <c r="Y15" s="7"/>
      <c r="Z15" s="7"/>
      <c r="AA15">
        <f t="shared" si="5"/>
        <v>0.57324308398199297</v>
      </c>
      <c r="AB15" s="7"/>
      <c r="AC15" s="7"/>
      <c r="AD15" s="7"/>
      <c r="AE15">
        <f t="shared" si="6"/>
        <v>19.630568832110708</v>
      </c>
      <c r="AF15">
        <f t="shared" si="6"/>
        <v>5.5144073292396678</v>
      </c>
    </row>
    <row r="16" spans="1:32" x14ac:dyDescent="0.2">
      <c r="A16" s="3">
        <v>1964</v>
      </c>
      <c r="B16">
        <f>Table1[[#This Row],[Concentrate production]]+Table1[[#This Row],[SX-EW production]]</f>
        <v>83.28466599858703</v>
      </c>
      <c r="C16">
        <f t="shared" si="0"/>
        <v>83.28466599858703</v>
      </c>
      <c r="D16">
        <v>0</v>
      </c>
      <c r="E16">
        <f t="shared" si="1"/>
        <v>249.85399799576109</v>
      </c>
      <c r="H16">
        <f>Table1[[#This Row],[Refined production, WoodMac]]-Table1[[#This Row],[Secondary refining production]]-Table1[[#This Row],[SX-EW production]]</f>
        <v>166.00145945450515</v>
      </c>
      <c r="I16">
        <f t="shared" si="2"/>
        <v>7.6228073802354679</v>
      </c>
      <c r="J16">
        <f t="shared" si="3"/>
        <v>173.62426683474061</v>
      </c>
      <c r="K16" s="5">
        <f>Table1[[#This Row],[Refined Imports, WoodMac]]-Table1[[#This Row],[Refined Exports, WoodMac]]</f>
        <v>0</v>
      </c>
      <c r="L16" s="34">
        <v>120</v>
      </c>
      <c r="M16" s="34">
        <f>Table1[[#This Row],[Refined usage]]-Table1[[#This Row],[Refined production, WoodMac]]</f>
        <v>-53.62426683474061</v>
      </c>
      <c r="N16">
        <f>Table1[[#This Row],[Refined usage]]*0.208</f>
        <v>24.959999999999997</v>
      </c>
      <c r="X16">
        <f t="shared" si="4"/>
        <v>0.50445136936036272</v>
      </c>
      <c r="AA16">
        <f t="shared" si="5"/>
        <v>0.68387899919051764</v>
      </c>
      <c r="AE16">
        <f t="shared" si="6"/>
        <v>21.789931403642885</v>
      </c>
      <c r="AF16">
        <f t="shared" si="6"/>
        <v>6.1209921354560315</v>
      </c>
    </row>
    <row r="17" spans="1:32" x14ac:dyDescent="0.2">
      <c r="A17" s="3">
        <v>1965</v>
      </c>
      <c r="B17">
        <f>Table1[[#This Row],[Concentrate production]]+Table1[[#This Row],[SX-EW production]]</f>
        <v>87.807023362310304</v>
      </c>
      <c r="C17">
        <f t="shared" si="0"/>
        <v>87.807023362310304</v>
      </c>
      <c r="D17">
        <v>0</v>
      </c>
      <c r="E17">
        <f t="shared" si="1"/>
        <v>263.42107008693091</v>
      </c>
      <c r="H17">
        <f>Table1[[#This Row],[Refined production, WoodMac]]-Table1[[#This Row],[Secondary refining production]]-Table1[[#This Row],[SX-EW production]]</f>
        <v>173.77174731430406</v>
      </c>
      <c r="I17">
        <f t="shared" si="2"/>
        <v>8.5337328621736059</v>
      </c>
      <c r="J17">
        <f t="shared" si="3"/>
        <v>182.30548017647766</v>
      </c>
      <c r="K17" s="5">
        <f>Table1[[#This Row],[Refined Imports, WoodMac]]-Table1[[#This Row],[Refined Exports, WoodMac]]</f>
        <v>0</v>
      </c>
      <c r="L17" s="34">
        <v>120</v>
      </c>
      <c r="M17" s="34">
        <f>Table1[[#This Row],[Refined usage]]-Table1[[#This Row],[Refined production, WoodMac]]</f>
        <v>-62.305480176477658</v>
      </c>
      <c r="N17">
        <f>Table1[[#This Row],[Refined usage]]*0.208</f>
        <v>24.959999999999997</v>
      </c>
      <c r="X17">
        <f t="shared" si="4"/>
        <v>0.61669179904304339</v>
      </c>
      <c r="AA17">
        <f t="shared" si="5"/>
        <v>0.81586764603428763</v>
      </c>
      <c r="AE17">
        <f t="shared" si="6"/>
        <v>24.186823858043606</v>
      </c>
      <c r="AF17">
        <f t="shared" si="6"/>
        <v>6.7943012703561951</v>
      </c>
    </row>
    <row r="18" spans="1:32" x14ac:dyDescent="0.2">
      <c r="A18" s="3">
        <v>1966</v>
      </c>
      <c r="B18">
        <f>Table1[[#This Row],[Concentrate production]]+Table1[[#This Row],[SX-EW production]]</f>
        <v>92.574944730883757</v>
      </c>
      <c r="C18">
        <f t="shared" si="0"/>
        <v>92.574944730883757</v>
      </c>
      <c r="D18">
        <v>0</v>
      </c>
      <c r="E18">
        <f t="shared" si="1"/>
        <v>277.72483419265126</v>
      </c>
      <c r="H18">
        <f>Table1[[#This Row],[Refined production, WoodMac]]-Table1[[#This Row],[Secondary refining production]]-Table1[[#This Row],[SX-EW production]]</f>
        <v>181.86724024609819</v>
      </c>
      <c r="I18">
        <f t="shared" si="2"/>
        <v>9.5535139392033503</v>
      </c>
      <c r="J18">
        <f t="shared" si="3"/>
        <v>191.42075418530155</v>
      </c>
      <c r="K18" s="5">
        <f>Table1[[#This Row],[Refined Imports, WoodMac]]-Table1[[#This Row],[Refined Exports, WoodMac]]</f>
        <v>0</v>
      </c>
      <c r="L18" s="34">
        <v>130</v>
      </c>
      <c r="M18" s="34">
        <f>Table1[[#This Row],[Refined usage]]-Table1[[#This Row],[Refined production, WoodMac]]</f>
        <v>-61.420754185301547</v>
      </c>
      <c r="N18">
        <f>Table1[[#This Row],[Refined usage]]*0.208</f>
        <v>27.04</v>
      </c>
      <c r="X18">
        <f t="shared" si="4"/>
        <v>0.75390572433012049</v>
      </c>
      <c r="AA18">
        <f t="shared" si="5"/>
        <v>0.97333010171890522</v>
      </c>
      <c r="AE18">
        <f t="shared" si="6"/>
        <v>26.847374482428407</v>
      </c>
      <c r="AF18">
        <f t="shared" si="6"/>
        <v>7.5416744100953776</v>
      </c>
    </row>
    <row r="19" spans="1:32" x14ac:dyDescent="0.2">
      <c r="A19" s="3">
        <v>1967</v>
      </c>
      <c r="B19">
        <f>Table1[[#This Row],[Concentrate production]]+Table1[[#This Row],[SX-EW production]]</f>
        <v>97.601764229770751</v>
      </c>
      <c r="C19">
        <f t="shared" si="0"/>
        <v>97.601764229770751</v>
      </c>
      <c r="D19">
        <v>0</v>
      </c>
      <c r="E19">
        <f t="shared" si="1"/>
        <v>292.80529268931224</v>
      </c>
      <c r="H19">
        <f>Table1[[#This Row],[Refined production, WoodMac]]-Table1[[#This Row],[Secondary refining production]]-Table1[[#This Row],[SX-EW production]]</f>
        <v>190.29663303962849</v>
      </c>
      <c r="I19">
        <f t="shared" si="2"/>
        <v>10.69515885493815</v>
      </c>
      <c r="J19">
        <f t="shared" si="3"/>
        <v>200.99179189456663</v>
      </c>
      <c r="K19" s="5">
        <f>Table1[[#This Row],[Refined Imports, WoodMac]]-Table1[[#This Row],[Refined Exports, WoodMac]]</f>
        <v>0</v>
      </c>
      <c r="L19" s="34">
        <v>140</v>
      </c>
      <c r="M19" s="34">
        <f>Table1[[#This Row],[Refined usage]]-Table1[[#This Row],[Refined production, WoodMac]]</f>
        <v>-60.991791894566632</v>
      </c>
      <c r="N19">
        <f>Table1[[#This Row],[Refined usage]]*0.208</f>
        <v>29.119999999999997</v>
      </c>
      <c r="X19">
        <f t="shared" si="4"/>
        <v>0.92164974799357224</v>
      </c>
      <c r="AA19">
        <f t="shared" si="5"/>
        <v>1.1611828113506539</v>
      </c>
      <c r="AE19">
        <f t="shared" si="6"/>
        <v>29.800585675495533</v>
      </c>
      <c r="AF19">
        <f t="shared" si="6"/>
        <v>8.3712585952058696</v>
      </c>
    </row>
    <row r="20" spans="1:32" x14ac:dyDescent="0.2">
      <c r="A20" s="3">
        <v>1968</v>
      </c>
      <c r="B20">
        <f>Table1[[#This Row],[Concentrate production]]+Table1[[#This Row],[SX-EW production]]</f>
        <v>102.90154002744731</v>
      </c>
      <c r="C20">
        <f t="shared" si="0"/>
        <v>102.90154002744731</v>
      </c>
      <c r="D20">
        <v>0</v>
      </c>
      <c r="E20">
        <f t="shared" si="1"/>
        <v>308.70462008234193</v>
      </c>
      <c r="H20">
        <f>Table1[[#This Row],[Refined production, WoodMac]]-Table1[[#This Row],[Secondary refining production]]-Table1[[#This Row],[SX-EW production]]</f>
        <v>199.0681511511917</v>
      </c>
      <c r="I20">
        <f t="shared" si="2"/>
        <v>11.973230338103258</v>
      </c>
      <c r="J20">
        <f t="shared" si="3"/>
        <v>211.04138148929496</v>
      </c>
      <c r="K20" s="5">
        <f>Table1[[#This Row],[Refined Imports, WoodMac]]-Table1[[#This Row],[Refined Exports, WoodMac]]</f>
        <v>0</v>
      </c>
      <c r="L20" s="34">
        <v>150</v>
      </c>
      <c r="M20" s="34">
        <f>Table1[[#This Row],[Refined usage]]-Table1[[#This Row],[Refined production, WoodMac]]</f>
        <v>-61.041381489294963</v>
      </c>
      <c r="N20">
        <f>Table1[[#This Row],[Refined usage]]*0.208</f>
        <v>31.2</v>
      </c>
      <c r="X20">
        <f t="shared" si="4"/>
        <v>1.126716816922142</v>
      </c>
      <c r="AA20">
        <f t="shared" si="5"/>
        <v>1.3852910939413301</v>
      </c>
      <c r="AE20">
        <f t="shared" si="6"/>
        <v>33.078650099800043</v>
      </c>
      <c r="AF20">
        <f t="shared" si="6"/>
        <v>9.2920970406785166</v>
      </c>
    </row>
    <row r="21" spans="1:32" x14ac:dyDescent="0.2">
      <c r="A21" s="3">
        <v>1969</v>
      </c>
      <c r="B21">
        <f>Table1[[#This Row],[Concentrate production]]+Table1[[#This Row],[SX-EW production]]</f>
        <v>108.4890936509377</v>
      </c>
      <c r="C21">
        <f t="shared" si="0"/>
        <v>108.4890936509377</v>
      </c>
      <c r="D21">
        <v>0</v>
      </c>
      <c r="E21">
        <f t="shared" si="1"/>
        <v>325.4672809528131</v>
      </c>
      <c r="H21">
        <f>Table1[[#This Row],[Refined production, WoodMac]]-Table1[[#This Row],[Secondary refining production]]-Table1[[#This Row],[SX-EW production]]</f>
        <v>208.18941920025313</v>
      </c>
      <c r="I21">
        <f t="shared" si="2"/>
        <v>13.404031363506597</v>
      </c>
      <c r="J21">
        <f t="shared" si="3"/>
        <v>221.59345056375972</v>
      </c>
      <c r="K21" s="5">
        <f>Table1[[#This Row],[Refined Imports, WoodMac]]-Table1[[#This Row],[Refined Exports, WoodMac]]</f>
        <v>0</v>
      </c>
      <c r="L21" s="34">
        <v>180</v>
      </c>
      <c r="M21" s="34">
        <f>Table1[[#This Row],[Refined usage]]-Table1[[#This Row],[Refined production, WoodMac]]</f>
        <v>-41.593450563759717</v>
      </c>
      <c r="N21">
        <f>Table1[[#This Row],[Refined usage]]*0.208</f>
        <v>37.44</v>
      </c>
      <c r="X21">
        <f t="shared" si="4"/>
        <v>1.3774113086873185</v>
      </c>
      <c r="AA21">
        <f t="shared" si="5"/>
        <v>1.652652275072007</v>
      </c>
      <c r="AE21">
        <f t="shared" si="6"/>
        <v>36.717301610778051</v>
      </c>
      <c r="AF21">
        <f t="shared" si="6"/>
        <v>10.314227715153155</v>
      </c>
    </row>
    <row r="22" spans="1:32" x14ac:dyDescent="0.2">
      <c r="A22" s="3">
        <v>1970</v>
      </c>
      <c r="B22">
        <f>Table1[[#This Row],[Concentrate production]]+Table1[[#This Row],[SX-EW production]]</f>
        <v>114.38005143618362</v>
      </c>
      <c r="C22">
        <f t="shared" si="0"/>
        <v>114.38005143618362</v>
      </c>
      <c r="D22">
        <v>0</v>
      </c>
      <c r="E22">
        <f t="shared" si="1"/>
        <v>343.14015430855085</v>
      </c>
      <c r="H22">
        <f>Table1[[#This Row],[Refined production, WoodMac]]-Table1[[#This Row],[Secondary refining production]]-Table1[[#This Row],[SX-EW production]]</f>
        <v>217.66730998050207</v>
      </c>
      <c r="I22">
        <f t="shared" si="2"/>
        <v>15.005813111445635</v>
      </c>
      <c r="J22">
        <f t="shared" si="3"/>
        <v>232.6731230919477</v>
      </c>
      <c r="K22" s="5">
        <f>Table1[[#This Row],[Refined Imports, WoodMac]]-Table1[[#This Row],[Refined Exports, WoodMac]]</f>
        <v>0</v>
      </c>
      <c r="L22" s="34">
        <v>180</v>
      </c>
      <c r="M22" s="34">
        <f>Table1[[#This Row],[Refined usage]]-Table1[[#This Row],[Refined production, WoodMac]]</f>
        <v>-52.673123091947701</v>
      </c>
      <c r="N22">
        <f>Table1[[#This Row],[Refined usage]]*0.208</f>
        <v>37.44</v>
      </c>
      <c r="X22">
        <f t="shared" si="4"/>
        <v>1.6838853248702468</v>
      </c>
      <c r="AA22">
        <f t="shared" si="5"/>
        <v>1.9716141641609044</v>
      </c>
      <c r="AE22">
        <f t="shared" si="6"/>
        <v>40.75620478796364</v>
      </c>
      <c r="AF22">
        <f t="shared" si="6"/>
        <v>11.448792763820004</v>
      </c>
    </row>
    <row r="23" spans="1:32" x14ac:dyDescent="0.2">
      <c r="A23" s="3">
        <v>1971</v>
      </c>
      <c r="B23">
        <f>Table1[[#This Row],[Concentrate production]]+Table1[[#This Row],[SX-EW production]]</f>
        <v>120.5908882291684</v>
      </c>
      <c r="C23">
        <f t="shared" si="0"/>
        <v>120.5908882291684</v>
      </c>
      <c r="D23">
        <v>0</v>
      </c>
      <c r="E23">
        <f t="shared" si="1"/>
        <v>361.7726646875052</v>
      </c>
      <c r="H23">
        <f>Table1[[#This Row],[Refined production, WoodMac]]-Table1[[#This Row],[Secondary refining production]]-Table1[[#This Row],[SX-EW production]]</f>
        <v>227.5077714682817</v>
      </c>
      <c r="I23">
        <f t="shared" si="2"/>
        <v>16.799007778263388</v>
      </c>
      <c r="J23">
        <f t="shared" si="3"/>
        <v>244.30677924654509</v>
      </c>
      <c r="K23" s="5">
        <f>Table1[[#This Row],[Refined Imports, WoodMac]]-Table1[[#This Row],[Refined Exports, WoodMac]]</f>
        <v>0</v>
      </c>
      <c r="L23" s="34">
        <v>210</v>
      </c>
      <c r="M23" s="34">
        <f>Table1[[#This Row],[Refined usage]]-Table1[[#This Row],[Refined production, WoodMac]]</f>
        <v>-34.306779246545091</v>
      </c>
      <c r="N23">
        <f>Table1[[#This Row],[Refined usage]]*0.208</f>
        <v>43.68</v>
      </c>
      <c r="X23">
        <f t="shared" si="4"/>
        <v>2.0585498096538766</v>
      </c>
      <c r="AA23">
        <f t="shared" si="5"/>
        <v>2.3521356978439592</v>
      </c>
      <c r="AE23">
        <f t="shared" si="6"/>
        <v>45.239387314639643</v>
      </c>
      <c r="AF23">
        <f t="shared" si="6"/>
        <v>12.708159967840205</v>
      </c>
    </row>
    <row r="24" spans="1:32" x14ac:dyDescent="0.2">
      <c r="A24" s="3">
        <v>1972</v>
      </c>
      <c r="B24">
        <f>Table1[[#This Row],[Concentrate production]]+Table1[[#This Row],[SX-EW production]]</f>
        <v>127.13897346001224</v>
      </c>
      <c r="C24">
        <f t="shared" si="0"/>
        <v>127.13897346001224</v>
      </c>
      <c r="D24">
        <v>0</v>
      </c>
      <c r="E24">
        <f t="shared" si="1"/>
        <v>381.41692038003669</v>
      </c>
      <c r="H24">
        <f>Table1[[#This Row],[Refined production, WoodMac]]-Table1[[#This Row],[Secondary refining production]]-Table1[[#This Row],[SX-EW production]]</f>
        <v>237.71562900110652</v>
      </c>
      <c r="I24">
        <f t="shared" si="2"/>
        <v>18.806489207765861</v>
      </c>
      <c r="J24">
        <f t="shared" si="3"/>
        <v>256.52211820887237</v>
      </c>
      <c r="K24" s="5">
        <f>Table1[[#This Row],[Refined Imports, WoodMac]]-Table1[[#This Row],[Refined Exports, WoodMac]]</f>
        <v>0</v>
      </c>
      <c r="L24" s="34">
        <v>240</v>
      </c>
      <c r="M24" s="34">
        <f>Table1[[#This Row],[Refined usage]]-Table1[[#This Row],[Refined production, WoodMac]]</f>
        <v>-16.522118208872371</v>
      </c>
      <c r="N24">
        <f>Table1[[#This Row],[Refined usage]]*0.208</f>
        <v>49.919999999999995</v>
      </c>
      <c r="X24">
        <f t="shared" si="4"/>
        <v>2.5165771423018639</v>
      </c>
      <c r="AA24">
        <f t="shared" si="5"/>
        <v>2.8060978875278435</v>
      </c>
      <c r="AE24">
        <f t="shared" si="6"/>
        <v>50.215719919250006</v>
      </c>
      <c r="AF24">
        <f t="shared" si="6"/>
        <v>14.106057564302629</v>
      </c>
    </row>
    <row r="25" spans="1:32" x14ac:dyDescent="0.2">
      <c r="A25" s="3">
        <v>1973</v>
      </c>
      <c r="B25">
        <f>Table1[[#This Row],[Concentrate production]]+Table1[[#This Row],[SX-EW production]]</f>
        <v>134.0426197188909</v>
      </c>
      <c r="C25">
        <f t="shared" si="0"/>
        <v>134.0426197188909</v>
      </c>
      <c r="D25">
        <v>0</v>
      </c>
      <c r="E25">
        <f t="shared" si="1"/>
        <v>402.12785915667268</v>
      </c>
      <c r="H25">
        <f>Table1[[#This Row],[Refined production, WoodMac]]-Table1[[#This Row],[Secondary refining production]]-Table1[[#This Row],[SX-EW production]]</f>
        <v>248.29435945122214</v>
      </c>
      <c r="I25">
        <f t="shared" si="2"/>
        <v>21.05386466809388</v>
      </c>
      <c r="J25">
        <f t="shared" si="3"/>
        <v>269.348224119316</v>
      </c>
      <c r="K25" s="5">
        <f>Table1[[#This Row],[Refined Imports, WoodMac]]-Table1[[#This Row],[Refined Exports, WoodMac]]</f>
        <v>0</v>
      </c>
      <c r="L25" s="34">
        <v>270</v>
      </c>
      <c r="M25" s="34">
        <f>Table1[[#This Row],[Refined usage]]-Table1[[#This Row],[Refined production, WoodMac]]</f>
        <v>0.65177588068399928</v>
      </c>
      <c r="N25">
        <f>Table1[[#This Row],[Refined usage]]*0.208</f>
        <v>56.16</v>
      </c>
      <c r="X25">
        <f t="shared" si="4"/>
        <v>3.0765155564640283</v>
      </c>
      <c r="AA25">
        <f t="shared" si="5"/>
        <v>3.3476747798207174</v>
      </c>
      <c r="AE25">
        <f t="shared" si="6"/>
        <v>55.739449110367509</v>
      </c>
      <c r="AF25">
        <f t="shared" si="6"/>
        <v>15.65772389637592</v>
      </c>
    </row>
    <row r="26" spans="1:32" x14ac:dyDescent="0.2">
      <c r="A26" s="3">
        <v>1974</v>
      </c>
      <c r="B26">
        <f>Table1[[#This Row],[Concentrate production]]+Table1[[#This Row],[SX-EW production]]</f>
        <v>141.32113396962669</v>
      </c>
      <c r="C26">
        <f t="shared" si="0"/>
        <v>141.32113396962669</v>
      </c>
      <c r="D26">
        <v>0</v>
      </c>
      <c r="E26">
        <f t="shared" si="1"/>
        <v>423.96340190888009</v>
      </c>
      <c r="H26">
        <f>Table1[[#This Row],[Refined production, WoodMac]]-Table1[[#This Row],[Secondary refining production]]-Table1[[#This Row],[SX-EW production]]</f>
        <v>259.24583382935072</v>
      </c>
      <c r="I26">
        <f t="shared" si="2"/>
        <v>23.569801495931099</v>
      </c>
      <c r="J26">
        <f t="shared" si="3"/>
        <v>282.81563532528179</v>
      </c>
      <c r="K26" s="5">
        <f>Table1[[#This Row],[Refined Imports, WoodMac]]-Table1[[#This Row],[Refined Exports, WoodMac]]</f>
        <v>0</v>
      </c>
      <c r="L26" s="34">
        <v>280</v>
      </c>
      <c r="M26" s="34">
        <f>Table1[[#This Row],[Refined usage]]-Table1[[#This Row],[Refined production, WoodMac]]</f>
        <v>-2.8156353252817894</v>
      </c>
      <c r="N26">
        <f>Table1[[#This Row],[Refined usage]]*0.208</f>
        <v>58.239999999999995</v>
      </c>
      <c r="X26">
        <f t="shared" si="4"/>
        <v>3.7610402677772745</v>
      </c>
      <c r="AA26">
        <f t="shared" si="5"/>
        <v>3.9937760123261161</v>
      </c>
      <c r="AE26">
        <f t="shared" si="6"/>
        <v>61.870788512507943</v>
      </c>
      <c r="AF26">
        <f t="shared" si="6"/>
        <v>17.380073524977274</v>
      </c>
    </row>
    <row r="27" spans="1:32" x14ac:dyDescent="0.2">
      <c r="A27" s="3">
        <v>1975</v>
      </c>
      <c r="B27">
        <f>Table1[[#This Row],[Concentrate production]]+Table1[[#This Row],[SX-EW production]]</f>
        <v>148.99487154417741</v>
      </c>
      <c r="C27">
        <f t="shared" si="0"/>
        <v>148.99487154417741</v>
      </c>
      <c r="D27">
        <v>0</v>
      </c>
      <c r="E27">
        <f t="shared" si="1"/>
        <v>446.98461463253227</v>
      </c>
      <c r="H27">
        <f>Table1[[#This Row],[Refined production, WoodMac]]-Table1[[#This Row],[Secondary refining production]]-Table1[[#This Row],[SX-EW production]]</f>
        <v>270.57002431685106</v>
      </c>
      <c r="I27">
        <f t="shared" si="2"/>
        <v>26.386392774694865</v>
      </c>
      <c r="J27">
        <f t="shared" si="3"/>
        <v>296.95641709154592</v>
      </c>
      <c r="K27" s="5">
        <f>Table1[[#This Row],[Refined Imports, WoodMac]]-Table1[[#This Row],[Refined Exports, WoodMac]]</f>
        <v>0</v>
      </c>
      <c r="L27" s="34">
        <v>300</v>
      </c>
      <c r="M27" s="34">
        <f>Table1[[#This Row],[Refined usage]]-Table1[[#This Row],[Refined production, WoodMac]]</f>
        <v>3.0435829084540842</v>
      </c>
      <c r="N27">
        <f>Table1[[#This Row],[Refined usage]]*0.208</f>
        <v>62.4</v>
      </c>
      <c r="X27">
        <f t="shared" si="4"/>
        <v>4.5978717273577177</v>
      </c>
      <c r="AA27">
        <f t="shared" si="5"/>
        <v>4.7645747827050569</v>
      </c>
      <c r="AE27">
        <f t="shared" si="6"/>
        <v>68.676575248883822</v>
      </c>
      <c r="AF27">
        <f t="shared" si="6"/>
        <v>19.291881612724776</v>
      </c>
    </row>
    <row r="28" spans="1:32" x14ac:dyDescent="0.2">
      <c r="A28" s="3">
        <v>1976</v>
      </c>
      <c r="B28">
        <f>Table1[[#This Row],[Concentrate production]]+Table1[[#This Row],[SX-EW production]]</f>
        <v>157.08529306902625</v>
      </c>
      <c r="C28">
        <f t="shared" si="0"/>
        <v>157.08529306902625</v>
      </c>
      <c r="D28">
        <v>0</v>
      </c>
      <c r="E28">
        <f t="shared" si="1"/>
        <v>471.25587920707875</v>
      </c>
      <c r="H28">
        <f>Table1[[#This Row],[Refined production, WoodMac]]-Table1[[#This Row],[Secondary refining production]]-Table1[[#This Row],[SX-EW production]]</f>
        <v>282.26467123485236</v>
      </c>
      <c r="I28">
        <f t="shared" si="2"/>
        <v>29.539566711270901</v>
      </c>
      <c r="J28">
        <f t="shared" si="3"/>
        <v>311.80423794612324</v>
      </c>
      <c r="K28" s="5">
        <f>Table1[[#This Row],[Refined Imports, WoodMac]]-Table1[[#This Row],[Refined Exports, WoodMac]]</f>
        <v>0</v>
      </c>
      <c r="L28" s="34">
        <v>320</v>
      </c>
      <c r="M28" s="34">
        <f>Table1[[#This Row],[Refined usage]]-Table1[[#This Row],[Refined production, WoodMac]]</f>
        <v>8.1957620538767628</v>
      </c>
      <c r="N28">
        <f>Table1[[#This Row],[Refined usage]]*0.208</f>
        <v>66.56</v>
      </c>
      <c r="X28">
        <f t="shared" si="4"/>
        <v>5.6208981866948093</v>
      </c>
      <c r="AA28">
        <f t="shared" si="5"/>
        <v>5.6841377157671333</v>
      </c>
      <c r="AE28">
        <f t="shared" si="6"/>
        <v>76.230998526261047</v>
      </c>
      <c r="AF28">
        <f t="shared" si="6"/>
        <v>21.413988590124504</v>
      </c>
    </row>
    <row r="29" spans="1:32" x14ac:dyDescent="0.2">
      <c r="A29" s="3">
        <v>1977</v>
      </c>
      <c r="B29">
        <f>Table1[[#This Row],[Concentrate production]]+Table1[[#This Row],[SX-EW production]]</f>
        <v>165.61502448267439</v>
      </c>
      <c r="C29">
        <f t="shared" si="0"/>
        <v>165.61502448267439</v>
      </c>
      <c r="D29">
        <v>0</v>
      </c>
      <c r="E29">
        <f t="shared" si="1"/>
        <v>496.84507344802319</v>
      </c>
      <c r="H29">
        <f>Table1[[#This Row],[Refined production, WoodMac]]-Table1[[#This Row],[Secondary refining production]]-Table1[[#This Row],[SX-EW production]]</f>
        <v>294.32490491016165</v>
      </c>
      <c r="I29">
        <f t="shared" si="2"/>
        <v>33.069544933267771</v>
      </c>
      <c r="J29">
        <f t="shared" si="3"/>
        <v>327.39444984342941</v>
      </c>
      <c r="K29" s="5">
        <f>Table1[[#This Row],[Refined Imports, WoodMac]]-Table1[[#This Row],[Refined Exports, WoodMac]]</f>
        <v>0</v>
      </c>
      <c r="L29" s="34">
        <v>330</v>
      </c>
      <c r="M29" s="34">
        <f>Table1[[#This Row],[Refined usage]]-Table1[[#This Row],[Refined production, WoodMac]]</f>
        <v>2.6055501565705868</v>
      </c>
      <c r="N29">
        <f>Table1[[#This Row],[Refined usage]]*0.208</f>
        <v>68.64</v>
      </c>
      <c r="X29">
        <f t="shared" si="4"/>
        <v>6.8715480332344043</v>
      </c>
      <c r="AA29">
        <f t="shared" si="5"/>
        <v>6.7811762949101899</v>
      </c>
      <c r="AE29">
        <f t="shared" si="6"/>
        <v>84.616408364149777</v>
      </c>
      <c r="AF29">
        <f t="shared" si="6"/>
        <v>23.769527335038202</v>
      </c>
    </row>
    <row r="30" spans="1:32" x14ac:dyDescent="0.2">
      <c r="A30" s="3">
        <v>1978</v>
      </c>
      <c r="B30">
        <f>Table1[[#This Row],[Concentrate production]]+Table1[[#This Row],[SX-EW production]]</f>
        <v>174.60792031208359</v>
      </c>
      <c r="C30">
        <f t="shared" si="0"/>
        <v>174.60792031208359</v>
      </c>
      <c r="D30">
        <v>0</v>
      </c>
      <c r="E30">
        <f t="shared" si="1"/>
        <v>523.82376093625078</v>
      </c>
      <c r="H30">
        <f>Table1[[#This Row],[Refined production, WoodMac]]-Table1[[#This Row],[Secondary refining production]]-Table1[[#This Row],[SX-EW production]]</f>
        <v>306.74281678280761</v>
      </c>
      <c r="I30">
        <f t="shared" si="2"/>
        <v>37.021355552793267</v>
      </c>
      <c r="J30">
        <f t="shared" si="3"/>
        <v>343.7641723356009</v>
      </c>
      <c r="K30" s="5">
        <f>Table1[[#This Row],[Refined Imports, WoodMac]]-Table1[[#This Row],[Refined Exports, WoodMac]]</f>
        <v>0</v>
      </c>
      <c r="L30" s="34">
        <v>350</v>
      </c>
      <c r="M30" s="34">
        <f>Table1[[#This Row],[Refined usage]]-Table1[[#This Row],[Refined production, WoodMac]]</f>
        <v>6.2358276643990962</v>
      </c>
      <c r="N30">
        <f>Table1[[#This Row],[Refined usage]]*0.208</f>
        <v>72.8</v>
      </c>
      <c r="X30">
        <f t="shared" si="4"/>
        <v>8.4004674706290583</v>
      </c>
      <c r="AA30">
        <f t="shared" si="5"/>
        <v>8.0899433198278565</v>
      </c>
      <c r="AE30">
        <f t="shared" si="6"/>
        <v>93.92421328420626</v>
      </c>
      <c r="AF30">
        <f t="shared" si="6"/>
        <v>26.384175341892405</v>
      </c>
    </row>
    <row r="31" spans="1:32" x14ac:dyDescent="0.2">
      <c r="A31" s="3">
        <v>1979</v>
      </c>
      <c r="B31">
        <f>Table1[[#This Row],[Concentrate production]]+Table1[[#This Row],[SX-EW production]]</f>
        <v>184.08913038502973</v>
      </c>
      <c r="C31">
        <f t="shared" si="0"/>
        <v>184.08913038502973</v>
      </c>
      <c r="D31">
        <v>0</v>
      </c>
      <c r="E31">
        <f t="shared" si="1"/>
        <v>552.26739115508917</v>
      </c>
      <c r="H31">
        <f>Table1[[#This Row],[Refined production, WoodMac]]-Table1[[#This Row],[Secondary refining production]]-Table1[[#This Row],[SX-EW production]]</f>
        <v>319.50697341102892</v>
      </c>
      <c r="I31">
        <f t="shared" si="2"/>
        <v>41.445407541352061</v>
      </c>
      <c r="J31">
        <f>J32/1.05</f>
        <v>360.95238095238096</v>
      </c>
      <c r="K31" s="5">
        <f>Table1[[#This Row],[Refined Imports, WoodMac]]-Table1[[#This Row],[Refined Exports, WoodMac]]</f>
        <v>0</v>
      </c>
      <c r="L31" s="34">
        <v>360</v>
      </c>
      <c r="M31" s="34">
        <f>Table1[[#This Row],[Refined usage]]-Table1[[#This Row],[Refined production, WoodMac]]</f>
        <v>-0.95238095238096321</v>
      </c>
      <c r="N31">
        <f>Table1[[#This Row],[Refined usage]]*0.208</f>
        <v>74.88</v>
      </c>
      <c r="X31">
        <f t="shared" si="4"/>
        <v>10.269571482844023</v>
      </c>
      <c r="AA31">
        <f t="shared" si="5"/>
        <v>9.6513023805546343</v>
      </c>
      <c r="AE31">
        <f t="shared" si="6"/>
        <v>104.25587674546895</v>
      </c>
      <c r="AF31">
        <f t="shared" si="6"/>
        <v>29.286434629500572</v>
      </c>
    </row>
    <row r="32" spans="1:32" x14ac:dyDescent="0.2">
      <c r="A32" s="3">
        <v>1980</v>
      </c>
      <c r="B32">
        <f>Table1[[#This Row],[Concentrate production]]+Table1[[#This Row],[SX-EW production]]</f>
        <v>194.08517016493684</v>
      </c>
      <c r="C32">
        <f t="shared" si="0"/>
        <v>194.08517016493684</v>
      </c>
      <c r="D32">
        <v>0</v>
      </c>
      <c r="E32">
        <f t="shared" si="1"/>
        <v>582.25551049481055</v>
      </c>
      <c r="F32">
        <f>Selected!F32/Selected!$E32*$E32</f>
        <v>544.47513006633187</v>
      </c>
      <c r="G32">
        <f>Selected!G32/Selected!$E32*$E32</f>
        <v>37.780380428478708</v>
      </c>
      <c r="H32">
        <f>Table1[[#This Row],[Refined production, WoodMac]]-Table1[[#This Row],[Secondary refining production]]-Table1[[#This Row],[SX-EW production]]</f>
        <v>332.60186625745638</v>
      </c>
      <c r="I32">
        <f t="shared" si="2"/>
        <v>46.398133742543628</v>
      </c>
      <c r="J32" s="34">
        <v>379</v>
      </c>
      <c r="K32" s="5">
        <f>Table1[[#This Row],[Refined Imports, WoodMac]]-Table1[[#This Row],[Refined Exports, WoodMac]]</f>
        <v>0</v>
      </c>
      <c r="L32" s="34">
        <v>370</v>
      </c>
      <c r="M32" s="34">
        <f>Table1[[#This Row],[Refined usage]]-Table1[[#This Row],[Refined production, WoodMac]]</f>
        <v>-9</v>
      </c>
      <c r="N32">
        <f>Table1[[#This Row],[Refined usage]]*0.208</f>
        <v>76.959999999999994</v>
      </c>
      <c r="X32">
        <f t="shared" si="4"/>
        <v>12.554551137776818</v>
      </c>
      <c r="AA32">
        <f t="shared" si="5"/>
        <v>11.514003740001678</v>
      </c>
      <c r="AE32">
        <f t="shared" si="6"/>
        <v>115.72402318747055</v>
      </c>
      <c r="AF32">
        <f t="shared" si="6"/>
        <v>32.507942438745637</v>
      </c>
    </row>
    <row r="33" spans="1:34" x14ac:dyDescent="0.2">
      <c r="A33" s="3">
        <v>1981</v>
      </c>
      <c r="B33">
        <f>Table1[[#This Row],[Concentrate production]]+Table1[[#This Row],[SX-EW production]]</f>
        <v>204.62399490489292</v>
      </c>
      <c r="C33">
        <f t="shared" si="0"/>
        <v>204.62399490489292</v>
      </c>
      <c r="D33">
        <v>0</v>
      </c>
      <c r="E33">
        <f t="shared" si="1"/>
        <v>613.87198471467877</v>
      </c>
      <c r="F33">
        <f>Selected!F33/Selected!$E33*$E33</f>
        <v>574.66747391495039</v>
      </c>
      <c r="G33">
        <f>Selected!G33/Selected!$E33*$E33</f>
        <v>39.20451079972834</v>
      </c>
      <c r="H33">
        <f>Table1[[#This Row],[Refined production, WoodMac]]-Table1[[#This Row],[Secondary refining production]]-Table1[[#This Row],[SX-EW production]]</f>
        <v>334.05728927522239</v>
      </c>
      <c r="I33">
        <f t="shared" si="2"/>
        <v>51.942710724777591</v>
      </c>
      <c r="J33" s="34">
        <v>386</v>
      </c>
      <c r="K33" s="5">
        <f>Table1[[#This Row],[Refined Imports, WoodMac]]-Table1[[#This Row],[Refined Exports, WoodMac]]</f>
        <v>0</v>
      </c>
      <c r="L33" s="34">
        <v>380</v>
      </c>
      <c r="M33" s="34">
        <f>Table1[[#This Row],[Refined usage]]-Table1[[#This Row],[Refined production, WoodMac]]</f>
        <v>-6</v>
      </c>
      <c r="N33">
        <f>Table1[[#This Row],[Refined usage]]*0.208</f>
        <v>79.039999999999992</v>
      </c>
      <c r="X33">
        <f t="shared" si="4"/>
        <v>15.347938765932158</v>
      </c>
      <c r="AA33">
        <f t="shared" si="5"/>
        <v>13.736206461822002</v>
      </c>
      <c r="AE33">
        <f t="shared" si="6"/>
        <v>128.45366573809233</v>
      </c>
      <c r="AF33">
        <f t="shared" si="6"/>
        <v>36.083816107007657</v>
      </c>
    </row>
    <row r="34" spans="1:34" x14ac:dyDescent="0.2">
      <c r="A34" s="3">
        <v>1982</v>
      </c>
      <c r="B34">
        <f>Table1[[#This Row],[Concentrate production]]+Table1[[#This Row],[SX-EW production]]</f>
        <v>215.73507782822861</v>
      </c>
      <c r="C34">
        <f t="shared" si="0"/>
        <v>215.73507782822861</v>
      </c>
      <c r="D34">
        <v>0</v>
      </c>
      <c r="E34">
        <f t="shared" si="1"/>
        <v>647.20523348468578</v>
      </c>
      <c r="F34">
        <f>Selected!F34/Selected!$E34*$E34</f>
        <v>599.70905616906282</v>
      </c>
      <c r="G34">
        <f>Selected!G34/Selected!$E34*$E34</f>
        <v>47.496177315622916</v>
      </c>
      <c r="H34">
        <f>Table1[[#This Row],[Refined production, WoodMac]]-Table1[[#This Row],[Secondary refining production]]-Table1[[#This Row],[SX-EW production]]</f>
        <v>292.8501353436115</v>
      </c>
      <c r="I34">
        <f t="shared" si="2"/>
        <v>58.149864656388509</v>
      </c>
      <c r="J34" s="34">
        <v>351</v>
      </c>
      <c r="K34" s="5">
        <f>Table1[[#This Row],[Refined Imports, WoodMac]]-Table1[[#This Row],[Refined Exports, WoodMac]]</f>
        <v>0</v>
      </c>
      <c r="L34" s="34">
        <v>405</v>
      </c>
      <c r="M34" s="34">
        <f>Table1[[#This Row],[Refined usage]]-Table1[[#This Row],[Refined production, WoodMac]]</f>
        <v>54</v>
      </c>
      <c r="N34">
        <f>Table1[[#This Row],[Refined usage]]*0.208</f>
        <v>84.24</v>
      </c>
      <c r="X34">
        <f t="shared" si="4"/>
        <v>18.762855141352063</v>
      </c>
      <c r="AA34">
        <f t="shared" si="5"/>
        <v>16.387294308953649</v>
      </c>
      <c r="AE34">
        <f t="shared" si="6"/>
        <v>142.58356896928251</v>
      </c>
      <c r="AF34">
        <f t="shared" si="6"/>
        <v>40.053035878778502</v>
      </c>
    </row>
    <row r="35" spans="1:34" x14ac:dyDescent="0.2">
      <c r="A35" s="3">
        <v>1983</v>
      </c>
      <c r="B35">
        <f>Table1[[#This Row],[Concentrate production]]+Table1[[#This Row],[SX-EW production]]</f>
        <v>227.44949255430143</v>
      </c>
      <c r="C35">
        <f>C36/1.0543</f>
        <v>227.44949255430143</v>
      </c>
      <c r="D35">
        <v>0</v>
      </c>
      <c r="E35">
        <f t="shared" si="1"/>
        <v>682.34847766290432</v>
      </c>
      <c r="F35">
        <f>Selected!F35/Selected!$E35*$E35</f>
        <v>632.03980131684443</v>
      </c>
      <c r="G35">
        <f>Selected!G35/Selected!$E35*$E35</f>
        <v>50.308676346059848</v>
      </c>
      <c r="H35">
        <f>Table1[[#This Row],[Refined production, WoodMac]]-Table1[[#This Row],[Secondary refining production]]-Table1[[#This Row],[SX-EW production]]</f>
        <v>304.90122651717309</v>
      </c>
      <c r="I35">
        <f t="shared" si="2"/>
        <v>65.098773482826928</v>
      </c>
      <c r="J35" s="34">
        <v>370</v>
      </c>
      <c r="K35" s="5">
        <f>Table1[[#This Row],[Refined Imports, WoodMac]]-Table1[[#This Row],[Refined Exports, WoodMac]]</f>
        <v>0</v>
      </c>
      <c r="L35" s="34">
        <v>440</v>
      </c>
      <c r="M35" s="34">
        <f>Table1[[#This Row],[Refined usage]]-Table1[[#This Row],[Refined production, WoodMac]]</f>
        <v>70</v>
      </c>
      <c r="N35">
        <f>Table1[[#This Row],[Refined usage]]*0.208</f>
        <v>91.52</v>
      </c>
      <c r="X35">
        <f t="shared" si="4"/>
        <v>22.937590410302896</v>
      </c>
      <c r="AA35">
        <f t="shared" si="5"/>
        <v>19.550042110581703</v>
      </c>
      <c r="AE35">
        <f t="shared" si="6"/>
        <v>158.2677615559036</v>
      </c>
      <c r="AF35">
        <f t="shared" si="6"/>
        <v>44.45886982544414</v>
      </c>
    </row>
    <row r="36" spans="1:34" x14ac:dyDescent="0.2">
      <c r="A36" s="3">
        <v>1984</v>
      </c>
      <c r="B36">
        <f>Table1[[#This Row],[Concentrate production]]+Table1[[#This Row],[SX-EW production]]</f>
        <v>239.8</v>
      </c>
      <c r="C36" s="37">
        <v>239.8</v>
      </c>
      <c r="D36">
        <v>0</v>
      </c>
      <c r="E36">
        <f t="shared" si="1"/>
        <v>719.40000000000009</v>
      </c>
      <c r="F36">
        <f>Selected!F36/Selected!$E36*$E36</f>
        <v>651.07890460666454</v>
      </c>
      <c r="G36">
        <f>Selected!G36/Selected!$E36*$E36</f>
        <v>68.321095393335568</v>
      </c>
      <c r="H36">
        <f>Table1[[#This Row],[Refined production, WoodMac]]-Table1[[#This Row],[Secondary refining production]]-Table1[[#This Row],[SX-EW production]]</f>
        <v>319.12192308597525</v>
      </c>
      <c r="I36">
        <f t="shared" si="2"/>
        <v>72.878076914024746</v>
      </c>
      <c r="J36" s="34">
        <v>392</v>
      </c>
      <c r="K36" s="5">
        <f>Table1[[#This Row],[Refined Imports, WoodMac]]-Table1[[#This Row],[Refined Exports, WoodMac]]</f>
        <v>250</v>
      </c>
      <c r="L36" s="34">
        <v>500</v>
      </c>
      <c r="M36" s="34">
        <f>Table1[[#This Row],[Refined usage]]-Table1[[#This Row],[Refined production, WoodMac]]-Table1[[#This Row],[Net Refined Imports]]</f>
        <v>-142</v>
      </c>
      <c r="N36">
        <f>Table1[[#This Row],[Refined usage]]*0.208</f>
        <v>104</v>
      </c>
      <c r="O36" s="37">
        <v>250</v>
      </c>
      <c r="P36" s="37"/>
      <c r="X36">
        <f t="shared" si="4"/>
        <v>28.041204276595288</v>
      </c>
      <c r="AA36">
        <f t="shared" si="5"/>
        <v>23.323200237923974</v>
      </c>
      <c r="AE36">
        <f t="shared" si="6"/>
        <v>175.67721532705301</v>
      </c>
      <c r="AF36">
        <f t="shared" si="6"/>
        <v>49.349345506242997</v>
      </c>
    </row>
    <row r="37" spans="1:34" x14ac:dyDescent="0.2">
      <c r="A37" s="3">
        <v>1985</v>
      </c>
      <c r="B37">
        <f>Table1[[#This Row],[Concentrate production]]+Table1[[#This Row],[SX-EW production]]</f>
        <v>239.8</v>
      </c>
      <c r="C37" s="37">
        <v>239.8</v>
      </c>
      <c r="D37">
        <v>0</v>
      </c>
      <c r="E37">
        <f t="shared" si="1"/>
        <v>719.40000000000009</v>
      </c>
      <c r="F37">
        <f>Selected!F37/Selected!$E37*$E37</f>
        <v>640.29883264668285</v>
      </c>
      <c r="G37">
        <f>Selected!G37/Selected!$E37*$E37</f>
        <v>79.101167353317251</v>
      </c>
      <c r="H37">
        <f>Table1[[#This Row],[Refined production, WoodMac]]-Table1[[#This Row],[Secondary refining production]]-Table1[[#This Row],[SX-EW production]]</f>
        <v>330.91299289474932</v>
      </c>
      <c r="I37">
        <f t="shared" si="2"/>
        <v>81.587007105250706</v>
      </c>
      <c r="J37" s="34">
        <v>412.5</v>
      </c>
      <c r="K37" s="5">
        <f>Table1[[#This Row],[Refined Imports, WoodMac]]-Table1[[#This Row],[Refined Exports, WoodMac]]</f>
        <v>355</v>
      </c>
      <c r="L37" s="34">
        <v>692.5</v>
      </c>
      <c r="M37" s="34">
        <f>Table1[[#This Row],[Refined usage]]-Table1[[#This Row],[Refined production, WoodMac]]-Table1[[#This Row],[Net Refined Imports]]</f>
        <v>-75</v>
      </c>
      <c r="N37">
        <f>Table1[[#This Row],[Refined usage]]*0.208</f>
        <v>144.04</v>
      </c>
      <c r="O37" s="37">
        <v>356</v>
      </c>
      <c r="P37" s="37">
        <v>1</v>
      </c>
      <c r="X37">
        <f t="shared" si="4"/>
        <v>34.280372228137736</v>
      </c>
      <c r="AA37">
        <f t="shared" si="5"/>
        <v>27.8245778838433</v>
      </c>
      <c r="AE37">
        <f t="shared" si="6"/>
        <v>195.00170901302886</v>
      </c>
      <c r="AF37">
        <f t="shared" si="6"/>
        <v>54.77777351192973</v>
      </c>
    </row>
    <row r="38" spans="1:34" x14ac:dyDescent="0.2">
      <c r="A38" s="3">
        <v>1986</v>
      </c>
      <c r="B38">
        <f>Table1[[#This Row],[Concentrate production]]+Table1[[#This Row],[SX-EW production]]</f>
        <v>253.5</v>
      </c>
      <c r="C38" s="37">
        <v>253.5</v>
      </c>
      <c r="D38">
        <v>0</v>
      </c>
      <c r="E38">
        <f t="shared" si="1"/>
        <v>760.5</v>
      </c>
      <c r="F38">
        <f>Selected!F38/Selected!$E38*$E38</f>
        <v>677.00648924023585</v>
      </c>
      <c r="G38">
        <f>Selected!G38/Selected!$E38*$E38</f>
        <v>83.493510759764092</v>
      </c>
      <c r="H38">
        <f>Table1[[#This Row],[Refined production, WoodMac]]-Table1[[#This Row],[Secondary refining production]]-Table1[[#This Row],[SX-EW production]]</f>
        <v>364.66334554567186</v>
      </c>
      <c r="I38">
        <f t="shared" si="2"/>
        <v>91.336654454328155</v>
      </c>
      <c r="J38" s="34">
        <v>456</v>
      </c>
      <c r="K38" s="5">
        <f>Table1[[#This Row],[Refined Imports, WoodMac]]-Table1[[#This Row],[Refined Exports, WoodMac]]</f>
        <v>161.80000000000001</v>
      </c>
      <c r="L38" s="34">
        <v>617.79999999999995</v>
      </c>
      <c r="M38" s="34">
        <f>Table1[[#This Row],[Refined usage]]-Table1[[#This Row],[Refined production, WoodMac]]-Table1[[#This Row],[Net Refined Imports]]</f>
        <v>0</v>
      </c>
      <c r="N38">
        <f>Table1[[#This Row],[Refined usage]]*0.208</f>
        <v>128.50239999999999</v>
      </c>
      <c r="O38" s="37">
        <v>170.8</v>
      </c>
      <c r="P38" s="37">
        <v>9</v>
      </c>
      <c r="X38">
        <f t="shared" si="4"/>
        <v>41.90775504889838</v>
      </c>
      <c r="AA38">
        <f t="shared" si="5"/>
        <v>33.194721415425057</v>
      </c>
      <c r="AE38">
        <f t="shared" si="6"/>
        <v>216.45189700446204</v>
      </c>
      <c r="AF38">
        <f t="shared" si="6"/>
        <v>60.803328598242004</v>
      </c>
    </row>
    <row r="39" spans="1:34" x14ac:dyDescent="0.2">
      <c r="A39" s="3">
        <v>1987</v>
      </c>
      <c r="B39">
        <f>Table1[[#This Row],[Concentrate production]]+Table1[[#This Row],[SX-EW production]]</f>
        <v>278.2</v>
      </c>
      <c r="C39" s="37">
        <v>278.2</v>
      </c>
      <c r="D39">
        <v>0</v>
      </c>
      <c r="E39">
        <f t="shared" si="1"/>
        <v>834.59999999999991</v>
      </c>
      <c r="F39">
        <f>Selected!F39/Selected!$E39*$E39</f>
        <v>743.26086075357296</v>
      </c>
      <c r="G39">
        <f>Selected!G39/Selected!$E39*$E39</f>
        <v>91.339139246427024</v>
      </c>
      <c r="H39">
        <f>Table1[[#This Row],[Refined production, WoodMac]]-Table1[[#This Row],[Secondary refining production]]-Table1[[#This Row],[SX-EW production]]</f>
        <v>414.14861533837961</v>
      </c>
      <c r="I39">
        <f t="shared" si="2"/>
        <v>102.25138466162036</v>
      </c>
      <c r="J39" s="34">
        <v>516.4</v>
      </c>
      <c r="K39" s="5">
        <f>Table1[[#This Row],[Refined Imports, WoodMac]]-Table1[[#This Row],[Refined Exports, WoodMac]]</f>
        <v>70</v>
      </c>
      <c r="L39" s="34">
        <v>586.4</v>
      </c>
      <c r="M39" s="34">
        <f>Table1[[#This Row],[Refined usage]]-Table1[[#This Row],[Refined production, WoodMac]]-Table1[[#This Row],[Net Refined Imports]]</f>
        <v>0</v>
      </c>
      <c r="N39">
        <f>Table1[[#This Row],[Refined usage]]*0.208</f>
        <v>121.9712</v>
      </c>
      <c r="O39" s="37">
        <v>76</v>
      </c>
      <c r="P39" s="37">
        <v>6</v>
      </c>
      <c r="X39">
        <f t="shared" si="4"/>
        <v>51.23223054727827</v>
      </c>
      <c r="Z39" s="7"/>
      <c r="AA39">
        <f t="shared" si="5"/>
        <v>39.601302648602093</v>
      </c>
      <c r="AB39" s="7"/>
      <c r="AC39" s="7"/>
      <c r="AD39" s="7"/>
      <c r="AE39">
        <f t="shared" si="6"/>
        <v>240.26160567495288</v>
      </c>
      <c r="AF39">
        <f t="shared" si="6"/>
        <v>67.49169474404863</v>
      </c>
      <c r="AG39" s="7"/>
    </row>
    <row r="40" spans="1:34" x14ac:dyDescent="0.2">
      <c r="A40" s="3">
        <v>1988</v>
      </c>
      <c r="B40">
        <f>Table1[[#This Row],[Concentrate production]]+Table1[[#This Row],[SX-EW production]]</f>
        <v>281.89999999999998</v>
      </c>
      <c r="C40" s="37">
        <v>281.89999999999998</v>
      </c>
      <c r="D40">
        <v>0</v>
      </c>
      <c r="E40">
        <f t="shared" si="1"/>
        <v>845.69999999999993</v>
      </c>
      <c r="F40">
        <f>Selected!F40/Selected!$E40*$E40</f>
        <v>746.32049260274755</v>
      </c>
      <c r="G40">
        <f>Selected!G40/Selected!$E40*$E40</f>
        <v>99.379507397252453</v>
      </c>
      <c r="H40">
        <f>Table1[[#This Row],[Refined production, WoodMac]]-Table1[[#This Row],[Secondary refining production]]-Table1[[#This Row],[SX-EW production]]</f>
        <v>411.02957487131602</v>
      </c>
      <c r="I40">
        <f t="shared" si="2"/>
        <v>114.47042512868398</v>
      </c>
      <c r="J40" s="34">
        <v>525.5</v>
      </c>
      <c r="K40" s="5">
        <f>Table1[[#This Row],[Refined Imports, WoodMac]]-Table1[[#This Row],[Refined Exports, WoodMac]]</f>
        <v>35.75</v>
      </c>
      <c r="L40" s="34">
        <v>561.25</v>
      </c>
      <c r="M40" s="34">
        <f>Table1[[#This Row],[Refined usage]]-Table1[[#This Row],[Refined production, WoodMac]]-Table1[[#This Row],[Net Refined Imports]]</f>
        <v>0</v>
      </c>
      <c r="N40">
        <f>Table1[[#This Row],[Refined usage]]*0.208</f>
        <v>116.74</v>
      </c>
      <c r="O40" s="37">
        <v>84.75</v>
      </c>
      <c r="P40" s="37">
        <v>49</v>
      </c>
      <c r="X40">
        <f t="shared" si="4"/>
        <v>62.63140184404768</v>
      </c>
      <c r="AA40">
        <f t="shared" si="5"/>
        <v>47.244354059782296</v>
      </c>
      <c r="AE40">
        <f t="shared" si="6"/>
        <v>266.69038229919772</v>
      </c>
      <c r="AF40">
        <f t="shared" si="6"/>
        <v>74.915781165893989</v>
      </c>
    </row>
    <row r="41" spans="1:34" x14ac:dyDescent="0.2">
      <c r="A41" s="3">
        <v>1989</v>
      </c>
      <c r="B41">
        <f>Table1[[#This Row],[Concentrate production]]+Table1[[#This Row],[SX-EW production]]</f>
        <v>299.10000000000002</v>
      </c>
      <c r="C41" s="37">
        <v>299.10000000000002</v>
      </c>
      <c r="D41">
        <v>0</v>
      </c>
      <c r="E41">
        <f t="shared" si="1"/>
        <v>897.30000000000007</v>
      </c>
      <c r="F41">
        <f>Selected!F41/Selected!$E41*$E41</f>
        <v>782.65260826932445</v>
      </c>
      <c r="G41">
        <f>Selected!G41/Selected!$E41*$E41</f>
        <v>114.64739173067552</v>
      </c>
      <c r="H41">
        <f>Table1[[#This Row],[Refined production, WoodMac]]-Table1[[#This Row],[Secondary refining production]]-Table1[[#This Row],[SX-EW production]]</f>
        <v>433.45035906843827</v>
      </c>
      <c r="I41">
        <f t="shared" si="2"/>
        <v>128.14964093156172</v>
      </c>
      <c r="J41" s="34">
        <v>561.6</v>
      </c>
      <c r="K41" s="5">
        <f>Table1[[#This Row],[Refined Imports, WoodMac]]-Table1[[#This Row],[Refined Exports, WoodMac]]</f>
        <v>61.099999999999994</v>
      </c>
      <c r="L41" s="34">
        <v>619.70000000000005</v>
      </c>
      <c r="M41" s="34">
        <f>Table1[[#This Row],[Refined usage]]-Table1[[#This Row],[Refined production, WoodMac]]-Table1[[#This Row],[Net Refined Imports]]</f>
        <v>-2.9999999999999716</v>
      </c>
      <c r="N41">
        <f>Table1[[#This Row],[Refined usage]]*0.208</f>
        <v>128.89760000000001</v>
      </c>
      <c r="O41" s="37">
        <v>73.099999999999994</v>
      </c>
      <c r="P41" s="37">
        <v>12</v>
      </c>
      <c r="X41">
        <f t="shared" si="4"/>
        <v>76.566888754348284</v>
      </c>
      <c r="AA41">
        <f t="shared" si="5"/>
        <v>56.362514393320282</v>
      </c>
      <c r="AE41">
        <f t="shared" si="6"/>
        <v>296.0263243521095</v>
      </c>
      <c r="AF41">
        <f t="shared" si="6"/>
        <v>83.15651709414233</v>
      </c>
    </row>
    <row r="42" spans="1:34" x14ac:dyDescent="0.2">
      <c r="A42" s="3">
        <v>1990</v>
      </c>
      <c r="B42">
        <f>Table1[[#This Row],[Concentrate production]]+Table1[[#This Row],[SX-EW production]]</f>
        <v>295.89999999999998</v>
      </c>
      <c r="C42" s="37">
        <v>295.89999999999998</v>
      </c>
      <c r="D42">
        <v>0</v>
      </c>
      <c r="E42">
        <f>3*C42</f>
        <v>887.69999999999993</v>
      </c>
      <c r="F42">
        <f>Selected!F42/Selected!$E42*$E42</f>
        <v>778.66163302956363</v>
      </c>
      <c r="G42">
        <f>Selected!G42/Selected!$E42*$E42</f>
        <v>109.0383669704363</v>
      </c>
      <c r="H42">
        <f>Table1[[#This Row],[Refined production, WoodMac]]-Table1[[#This Row],[Secondary refining production]]-Table1[[#This Row],[SX-EW production]]</f>
        <v>431.43647697711663</v>
      </c>
      <c r="I42">
        <f t="shared" si="2"/>
        <v>143.46352302288335</v>
      </c>
      <c r="J42" s="34">
        <v>574.9</v>
      </c>
      <c r="K42" s="5">
        <f>Table1[[#This Row],[Refined Imports, WoodMac]]-Table1[[#This Row],[Refined Exports, WoodMac]]</f>
        <v>20.7</v>
      </c>
      <c r="L42" s="34">
        <v>660</v>
      </c>
      <c r="M42" s="34">
        <f>Table1[[#This Row],[Refined usage]]-Table1[[#This Row],[Refined production, WoodMac]]-Table1[[#This Row],[Net Refined Imports]]</f>
        <v>64.40000000000002</v>
      </c>
      <c r="N42">
        <f>Table1[[#This Row],[Refined usage]]*0.208</f>
        <v>137.28</v>
      </c>
      <c r="O42" s="37">
        <v>36.9</v>
      </c>
      <c r="P42" s="37">
        <v>16.2</v>
      </c>
      <c r="X42">
        <f t="shared" si="4"/>
        <v>93.603021502190771</v>
      </c>
      <c r="AA42">
        <f t="shared" si="5"/>
        <v>67.2404796712311</v>
      </c>
      <c r="AE42">
        <f t="shared" si="6"/>
        <v>328.5892200308416</v>
      </c>
      <c r="AF42">
        <f t="shared" si="6"/>
        <v>92.303733974497987</v>
      </c>
    </row>
    <row r="43" spans="1:34" x14ac:dyDescent="0.2">
      <c r="A43" s="3">
        <v>1991</v>
      </c>
      <c r="B43">
        <f>Table1[[#This Row],[Concentrate production]]+Table1[[#This Row],[SX-EW production]]</f>
        <v>304</v>
      </c>
      <c r="C43" s="37">
        <v>304</v>
      </c>
      <c r="D43">
        <v>0</v>
      </c>
      <c r="E43">
        <v>1704.5561220719699</v>
      </c>
      <c r="F43">
        <f>Selected!F43/Selected!$E43*$E43</f>
        <v>1490.268248703449</v>
      </c>
      <c r="G43">
        <f>Selected!G43/Selected!$E43*$E43</f>
        <v>214.28787336852082</v>
      </c>
      <c r="H43">
        <f>Table1[[#This Row],[Refined production, WoodMac]]-Table1[[#This Row],[Secondary refining production]]-Table1[[#This Row],[SX-EW production]]</f>
        <v>400.98294597588199</v>
      </c>
      <c r="I43">
        <f>I44/1.1195</f>
        <v>160.6074140241179</v>
      </c>
      <c r="J43" s="34">
        <v>561.59035999999992</v>
      </c>
      <c r="K43" s="5">
        <f>Table1[[#This Row],[Refined Imports, WoodMac]]-Table1[[#This Row],[Refined Exports, WoodMac]]</f>
        <v>95.3</v>
      </c>
      <c r="L43" s="34">
        <v>675.78614000000005</v>
      </c>
      <c r="M43" s="34">
        <f>Table1[[#This Row],[Refined usage]]-Table1[[#This Row],[Refined production, WoodMac]]-Table1[[#This Row],[Net Refined Imports]]</f>
        <v>18.89578000000013</v>
      </c>
      <c r="N43">
        <f>Table1[[#This Row],[Refined usage]]*0.208</f>
        <v>140.56351712</v>
      </c>
      <c r="O43" s="37">
        <v>101.6</v>
      </c>
      <c r="P43" s="37">
        <v>6.3</v>
      </c>
      <c r="X43">
        <f t="shared" si="4"/>
        <v>114.4296937864282</v>
      </c>
      <c r="AA43">
        <f>AA44/1.193</f>
        <v>80.217892247778707</v>
      </c>
      <c r="AE43">
        <f>AE44/1.11</f>
        <v>364.73403423423423</v>
      </c>
      <c r="AF43">
        <f>AF44/1.11</f>
        <v>102.45714471169278</v>
      </c>
    </row>
    <row r="44" spans="1:34" x14ac:dyDescent="0.2">
      <c r="A44" s="3">
        <v>1992</v>
      </c>
      <c r="B44">
        <f>Table1[[#This Row],[Concentrate production]]+Table1[[#This Row],[SX-EW production]]</f>
        <v>334.02900000000005</v>
      </c>
      <c r="C44" s="37">
        <v>334.02900000000005</v>
      </c>
      <c r="D44">
        <v>0</v>
      </c>
      <c r="E44">
        <v>1727.1601270967235</v>
      </c>
      <c r="F44">
        <f>Selected!F44/Selected!$E44*$E44</f>
        <v>1499.8834896007588</v>
      </c>
      <c r="G44">
        <f>Selected!G44/Selected!$E44*$E44</f>
        <v>227.27663749596468</v>
      </c>
      <c r="H44">
        <f>Table1[[#This Row],[Refined production, WoodMac]]-Table1[[#This Row],[Secondary refining production]]-Table1[[#This Row],[SX-EW production]]</f>
        <v>478.40000000000009</v>
      </c>
      <c r="I44" s="35">
        <v>179.79999999999998</v>
      </c>
      <c r="J44" s="34">
        <v>658.2</v>
      </c>
      <c r="K44" s="5">
        <f>Table1[[#This Row],[Refined Imports, WoodMac]]-Table1[[#This Row],[Refined Exports, WoodMac]]</f>
        <v>255</v>
      </c>
      <c r="L44" s="34">
        <v>870</v>
      </c>
      <c r="M44" s="34">
        <f>Table1[[#This Row],[Refined usage]]-Table1[[#This Row],[Refined production, WoodMac]]-Table1[[#This Row],[Net Refined Imports]]</f>
        <v>-43.200000000000045</v>
      </c>
      <c r="N44">
        <f>Table1[[#This Row],[Refined usage]]*0.208</f>
        <v>180.95999999999998</v>
      </c>
      <c r="O44" s="37">
        <v>264.8</v>
      </c>
      <c r="P44" s="37">
        <v>9.8000000000000007</v>
      </c>
      <c r="X44">
        <f>X45/1.2225</f>
        <v>139.89030065390847</v>
      </c>
      <c r="Z44" s="38">
        <v>340.08509400000003</v>
      </c>
      <c r="AA44">
        <f>Z44*0.2814</f>
        <v>95.699945451600001</v>
      </c>
      <c r="AE44" s="41">
        <v>404.85477800000001</v>
      </c>
      <c r="AF44" s="42">
        <v>113.727430629979</v>
      </c>
    </row>
    <row r="45" spans="1:34" x14ac:dyDescent="0.2">
      <c r="A45" s="3">
        <v>1993</v>
      </c>
      <c r="B45">
        <f>Table1[[#This Row],[Concentrate production]]+Table1[[#This Row],[SX-EW production]]</f>
        <v>345.72800000000001</v>
      </c>
      <c r="C45" s="37">
        <v>345.72800000000001</v>
      </c>
      <c r="D45">
        <v>0</v>
      </c>
      <c r="E45">
        <v>1730.3960688686864</v>
      </c>
      <c r="F45">
        <f>Selected!F45/Selected!$E45*$E45</f>
        <v>1482.9727056605675</v>
      </c>
      <c r="G45">
        <f>Selected!G45/Selected!$E45*$E45</f>
        <v>247.42336320811887</v>
      </c>
      <c r="H45">
        <f>Table1[[#This Row],[Refined production, WoodMac]]-Table1[[#This Row],[Secondary refining production]]-Table1[[#This Row],[SX-EW production]]</f>
        <v>487.5999999999998</v>
      </c>
      <c r="I45" s="35">
        <v>240.80000000000004</v>
      </c>
      <c r="J45" s="34">
        <v>728.39999999999986</v>
      </c>
      <c r="K45" s="5">
        <f>Table1[[#This Row],[Refined Imports, WoodMac]]-Table1[[#This Row],[Refined Exports, WoodMac]]</f>
        <v>359</v>
      </c>
      <c r="L45" s="34">
        <v>971</v>
      </c>
      <c r="M45" s="34">
        <f>Table1[[#This Row],[Refined usage]]-Table1[[#This Row],[Refined production, WoodMac]]-Table1[[#This Row],[Net Refined Imports]]</f>
        <v>-116.39999999999986</v>
      </c>
      <c r="N45">
        <f>Table1[[#This Row],[Refined usage]]*0.208</f>
        <v>201.96799999999999</v>
      </c>
      <c r="O45" s="37">
        <v>370</v>
      </c>
      <c r="P45" s="37">
        <v>11</v>
      </c>
      <c r="X45">
        <v>171.01589254940308</v>
      </c>
      <c r="Z45">
        <v>241.13399999999999</v>
      </c>
      <c r="AA45">
        <f t="shared" ref="AA45:AA70" si="7">Z45*0.2814</f>
        <v>67.855107599999997</v>
      </c>
      <c r="AE45" s="41">
        <v>442.28794000000005</v>
      </c>
      <c r="AF45" s="42">
        <v>147.873363403328</v>
      </c>
      <c r="AG45">
        <f>Table3[[#This Row],[Semis Imports (COMTRADE, kt)]]/AE44</f>
        <v>1.0924607143947305</v>
      </c>
      <c r="AH45">
        <f>Table3[[#This Row],[Nonscrap nonrefined imports (COMTRADE, kt)]]/AF44</f>
        <v>1.3002435963267776</v>
      </c>
    </row>
    <row r="46" spans="1:34" x14ac:dyDescent="0.2">
      <c r="A46" s="3">
        <v>1994</v>
      </c>
      <c r="B46">
        <f>Table1[[#This Row],[Concentrate production]]+Table1[[#This Row],[SX-EW production]]</f>
        <v>395.62199999999996</v>
      </c>
      <c r="C46" s="37">
        <v>395.62199999999996</v>
      </c>
      <c r="D46">
        <v>0</v>
      </c>
      <c r="E46">
        <v>1791.6886130200228</v>
      </c>
      <c r="F46">
        <f>Selected!F46/Selected!$E46*$E46</f>
        <v>1538.8613643329736</v>
      </c>
      <c r="G46">
        <f>Selected!G46/Selected!$E46*$E46</f>
        <v>252.82724868704926</v>
      </c>
      <c r="H46">
        <f>Table1[[#This Row],[Refined production, WoodMac]]-Table1[[#This Row],[Secondary refining production]]-Table1[[#This Row],[SX-EW production]]</f>
        <v>524.29</v>
      </c>
      <c r="I46" s="35">
        <v>230.74299999999999</v>
      </c>
      <c r="J46" s="34">
        <v>755.0329999999999</v>
      </c>
      <c r="K46" s="5">
        <f>Table1[[#This Row],[Refined Imports, WoodMac]]-Table1[[#This Row],[Refined Exports, WoodMac]]</f>
        <v>89</v>
      </c>
      <c r="L46" s="34">
        <v>1015</v>
      </c>
      <c r="M46" s="34">
        <f>Table1[[#This Row],[Refined usage]]-Table1[[#This Row],[Refined production, WoodMac]]-Table1[[#This Row],[Net Refined Imports]]</f>
        <v>170.9670000000001</v>
      </c>
      <c r="N46">
        <f>Table1[[#This Row],[Refined usage]]*0.208</f>
        <v>211.11999999999998</v>
      </c>
      <c r="O46" s="37">
        <v>123</v>
      </c>
      <c r="P46" s="37">
        <v>34</v>
      </c>
      <c r="X46">
        <v>128.46395861766169</v>
      </c>
      <c r="Z46" s="38">
        <v>248.70259199999998</v>
      </c>
      <c r="AA46">
        <f t="shared" si="7"/>
        <v>69.984909388799991</v>
      </c>
      <c r="AE46" s="41">
        <v>326.076278</v>
      </c>
      <c r="AF46" s="42">
        <v>119.37432382643</v>
      </c>
      <c r="AG46">
        <f>Table3[[#This Row],[Semis Imports (COMTRADE, kt)]]/AE45</f>
        <v>0.73724885648023764</v>
      </c>
      <c r="AH46">
        <f>Table3[[#This Row],[Nonscrap nonrefined imports (COMTRADE, kt)]]/AF45</f>
        <v>0.80727401527233666</v>
      </c>
    </row>
    <row r="47" spans="1:34" x14ac:dyDescent="0.2">
      <c r="A47" s="3">
        <v>1995</v>
      </c>
      <c r="B47">
        <f>Table1[[#This Row],[Concentrate production]]+Table1[[#This Row],[SX-EW production]]</f>
        <v>445.173</v>
      </c>
      <c r="C47" s="37">
        <v>440.173</v>
      </c>
      <c r="D47" s="37">
        <v>5</v>
      </c>
      <c r="E47">
        <v>1775.5564915391949</v>
      </c>
      <c r="F47">
        <f>Selected!F47/Selected!$E47*$E47</f>
        <v>1500.814588607353</v>
      </c>
      <c r="G47">
        <f>Selected!G47/Selected!$E47*$E47</f>
        <v>274.74190293184199</v>
      </c>
      <c r="H47">
        <f>Table1[[#This Row],[Refined production, WoodMac]]-Table1[[#This Row],[Secondary refining production]]-Table1[[#This Row],[SX-EW production]]</f>
        <v>702.34700000000021</v>
      </c>
      <c r="I47" s="35">
        <v>377.59499999999997</v>
      </c>
      <c r="J47" s="34">
        <v>1084.9420000000002</v>
      </c>
      <c r="K47" s="5">
        <f>Table1[[#This Row],[Refined Imports, WoodMac]]-Table1[[#This Row],[Refined Exports, WoodMac]]</f>
        <v>-7</v>
      </c>
      <c r="L47" s="34">
        <v>1172</v>
      </c>
      <c r="M47" s="34">
        <f>Table1[[#This Row],[Refined usage]]-Table1[[#This Row],[Refined production, WoodMac]]-Table1[[#This Row],[Net Refined Imports]]</f>
        <v>94.057999999999765</v>
      </c>
      <c r="N47">
        <f>Table1[[#This Row],[Refined usage]]*0.208</f>
        <v>243.77599999999998</v>
      </c>
      <c r="O47" s="37">
        <v>112</v>
      </c>
      <c r="P47" s="37">
        <v>119</v>
      </c>
      <c r="X47">
        <v>276.5433820214754</v>
      </c>
      <c r="Z47">
        <v>484.27463799999998</v>
      </c>
      <c r="AA47">
        <f t="shared" si="7"/>
        <v>136.27488313319998</v>
      </c>
      <c r="AE47" s="41">
        <v>413.991784</v>
      </c>
      <c r="AF47" s="42">
        <v>143.40222115342701</v>
      </c>
      <c r="AG47">
        <f>Table3[[#This Row],[Semis Imports (COMTRADE, kt)]]/AE46</f>
        <v>1.2696163809867824</v>
      </c>
      <c r="AH47">
        <f>Table3[[#This Row],[Nonscrap nonrefined imports (COMTRADE, kt)]]/AF46</f>
        <v>1.201281955422286</v>
      </c>
    </row>
    <row r="48" spans="1:34" x14ac:dyDescent="0.2">
      <c r="A48" s="3">
        <v>1996</v>
      </c>
      <c r="B48">
        <f>Table1[[#This Row],[Concentrate production]]+Table1[[#This Row],[SX-EW production]]</f>
        <v>435.10600000000011</v>
      </c>
      <c r="C48" s="37">
        <v>427.10600000000011</v>
      </c>
      <c r="D48" s="37">
        <v>8</v>
      </c>
      <c r="E48">
        <v>1904.684844454295</v>
      </c>
      <c r="F48">
        <f>Selected!F48/Selected!$E48*$E48</f>
        <v>1606.1406809364323</v>
      </c>
      <c r="G48">
        <f>Selected!G48/Selected!$E48*$E48</f>
        <v>298.54416351786273</v>
      </c>
      <c r="H48">
        <f>Table1[[#This Row],[Refined production, WoodMac]]-Table1[[#This Row],[Secondary refining production]]-Table1[[#This Row],[SX-EW production]]</f>
        <v>787.87699999999995</v>
      </c>
      <c r="I48" s="35">
        <v>323.21099999999996</v>
      </c>
      <c r="J48" s="34">
        <v>1119.088</v>
      </c>
      <c r="K48" s="5">
        <f>Table1[[#This Row],[Refined Imports, WoodMac]]-Table1[[#This Row],[Refined Exports, WoodMac]]</f>
        <v>257.8</v>
      </c>
      <c r="L48" s="34">
        <v>1260</v>
      </c>
      <c r="M48" s="34">
        <f>Table1[[#This Row],[Refined usage]]-Table1[[#This Row],[Refined production, WoodMac]]-Table1[[#This Row],[Net Refined Imports]]</f>
        <v>-116.88799999999998</v>
      </c>
      <c r="N48">
        <f>Table1[[#This Row],[Refined usage]]*0.208</f>
        <v>262.08</v>
      </c>
      <c r="O48" s="37">
        <v>297.60000000000002</v>
      </c>
      <c r="P48" s="37">
        <v>39.799999999999997</v>
      </c>
      <c r="X48">
        <v>304.53841297276108</v>
      </c>
      <c r="Z48" s="38">
        <v>824.80974700000002</v>
      </c>
      <c r="AA48">
        <f t="shared" si="7"/>
        <v>232.1014628058</v>
      </c>
      <c r="AE48" s="41">
        <v>533.47893699999997</v>
      </c>
      <c r="AF48" s="42">
        <v>241.52156896042101</v>
      </c>
      <c r="AG48">
        <f>Table3[[#This Row],[Semis Imports (COMTRADE, kt)]]/AE47</f>
        <v>1.2886220394170913</v>
      </c>
      <c r="AH48">
        <f>Table3[[#This Row],[Nonscrap nonrefined imports (COMTRADE, kt)]]/AF47</f>
        <v>1.6842247422514847</v>
      </c>
    </row>
    <row r="49" spans="1:34" x14ac:dyDescent="0.2">
      <c r="A49" s="3">
        <v>1997</v>
      </c>
      <c r="B49">
        <f>Table1[[#This Row],[Concentrate production]]+Table1[[#This Row],[SX-EW production]]</f>
        <v>490.62073240000001</v>
      </c>
      <c r="C49" s="37">
        <v>480.62073240000001</v>
      </c>
      <c r="D49" s="37">
        <v>10</v>
      </c>
      <c r="E49">
        <v>2053.1336732431805</v>
      </c>
      <c r="F49">
        <f>Selected!F49/Selected!$E49*$E49</f>
        <v>1775.8579403488436</v>
      </c>
      <c r="G49">
        <f>Selected!G49/Selected!$E49*$E49</f>
        <v>277.2757328943369</v>
      </c>
      <c r="H49">
        <f>Table1[[#This Row],[Refined production, WoodMac]]-Table1[[#This Row],[Secondary refining production]]-Table1[[#This Row],[SX-EW production]]</f>
        <v>794.17199999999991</v>
      </c>
      <c r="I49" s="35">
        <v>375.24599999999998</v>
      </c>
      <c r="J49" s="34">
        <v>1179.4179999999999</v>
      </c>
      <c r="K49" s="5">
        <f>Table1[[#This Row],[Refined Imports, WoodMac]]-Table1[[#This Row],[Refined Exports, WoodMac]]</f>
        <v>138</v>
      </c>
      <c r="L49" s="34">
        <v>1270</v>
      </c>
      <c r="M49" s="34">
        <f>Table1[[#This Row],[Refined usage]]-Table1[[#This Row],[Refined production, WoodMac]]-Table1[[#This Row],[Net Refined Imports]]</f>
        <v>-47.417999999999893</v>
      </c>
      <c r="N49">
        <f>Table1[[#This Row],[Refined usage]]*0.208</f>
        <v>264.15999999999997</v>
      </c>
      <c r="O49" s="37">
        <v>238</v>
      </c>
      <c r="P49" s="37">
        <v>100</v>
      </c>
      <c r="X49" s="7">
        <v>297.74853525998378</v>
      </c>
      <c r="Y49" s="7"/>
      <c r="Z49">
        <v>937.77610200000004</v>
      </c>
      <c r="AA49">
        <f t="shared" si="7"/>
        <v>263.89019510280002</v>
      </c>
      <c r="AC49" s="7"/>
      <c r="AD49" s="7"/>
      <c r="AE49" s="41">
        <v>519.12595999999996</v>
      </c>
      <c r="AF49" s="42">
        <v>268.35948704668999</v>
      </c>
      <c r="AG49">
        <f>Table3[[#This Row],[Semis Imports (COMTRADE, kt)]]/AE48</f>
        <v>0.97309551323485521</v>
      </c>
      <c r="AH49">
        <f>Table3[[#This Row],[Nonscrap nonrefined imports (COMTRADE, kt)]]/AF48</f>
        <v>1.1111201711788607</v>
      </c>
    </row>
    <row r="50" spans="1:34" x14ac:dyDescent="0.2">
      <c r="A50" s="3">
        <v>1998</v>
      </c>
      <c r="B50">
        <f>Table1[[#This Row],[Concentrate production]]+Table1[[#This Row],[SX-EW production]]</f>
        <v>478.57862119999987</v>
      </c>
      <c r="C50" s="37">
        <v>468.57862119999987</v>
      </c>
      <c r="D50" s="37">
        <v>10</v>
      </c>
      <c r="E50">
        <v>2211.3141210374574</v>
      </c>
      <c r="F50">
        <f>Selected!F50/Selected!$E50*$E50</f>
        <v>1919.8103476190909</v>
      </c>
      <c r="G50">
        <f>Selected!G50/Selected!$E50*$E50</f>
        <v>291.50377341836651</v>
      </c>
      <c r="H50">
        <f>Table1[[#This Row],[Refined production, WoodMac]]-Table1[[#This Row],[Secondary refining production]]-Table1[[#This Row],[SX-EW production]]</f>
        <v>872.71699999999976</v>
      </c>
      <c r="I50" s="35">
        <v>330.63</v>
      </c>
      <c r="J50" s="34">
        <v>1213.3469999999998</v>
      </c>
      <c r="K50" s="5">
        <f>Table1[[#This Row],[Refined Imports, WoodMac]]-Table1[[#This Row],[Refined Exports, WoodMac]]</f>
        <v>276.05099999999999</v>
      </c>
      <c r="L50" s="34">
        <v>1397</v>
      </c>
      <c r="M50" s="34">
        <f>Table1[[#This Row],[Refined usage]]-Table1[[#This Row],[Refined production, WoodMac]]-Table1[[#This Row],[Net Refined Imports]]</f>
        <v>-92.39799999999974</v>
      </c>
      <c r="N50">
        <f>Table1[[#This Row],[Refined usage]]*0.208</f>
        <v>290.57599999999996</v>
      </c>
      <c r="O50" s="37">
        <v>380</v>
      </c>
      <c r="P50" s="37">
        <v>103.949</v>
      </c>
      <c r="X50">
        <v>256.81896493826218</v>
      </c>
      <c r="Z50" s="38">
        <v>1182.867072</v>
      </c>
      <c r="AA50">
        <f t="shared" si="7"/>
        <v>332.85879406079999</v>
      </c>
      <c r="AE50" s="41">
        <v>645.34716200000003</v>
      </c>
      <c r="AF50" s="42">
        <v>393.20004187647402</v>
      </c>
      <c r="AG50">
        <f>Table3[[#This Row],[Semis Imports (COMTRADE, kt)]]/AE49</f>
        <v>1.2431417646692144</v>
      </c>
      <c r="AH50">
        <f>Table3[[#This Row],[Nonscrap nonrefined imports (COMTRADE, kt)]]/AF49</f>
        <v>1.4651989620477397</v>
      </c>
    </row>
    <row r="51" spans="1:34" x14ac:dyDescent="0.2">
      <c r="A51" s="3">
        <v>1999</v>
      </c>
      <c r="B51">
        <f>Table1[[#This Row],[Concentrate production]]+Table1[[#This Row],[SX-EW production]]</f>
        <v>515.327</v>
      </c>
      <c r="C51" s="37">
        <v>507.327</v>
      </c>
      <c r="D51" s="37">
        <v>8</v>
      </c>
      <c r="E51">
        <v>2563.1752013596356</v>
      </c>
      <c r="F51">
        <f>Selected!F51/Selected!$E51*$E51</f>
        <v>2203.5066860117095</v>
      </c>
      <c r="G51">
        <f>Selected!G51/Selected!$E51*$E51</f>
        <v>359.66851534792579</v>
      </c>
      <c r="H51">
        <f>Table1[[#This Row],[Refined production, WoodMac]]-Table1[[#This Row],[Secondary refining production]]-Table1[[#This Row],[SX-EW production]]</f>
        <v>918.90499999999975</v>
      </c>
      <c r="I51" s="35">
        <v>247.34899999999999</v>
      </c>
      <c r="J51" s="34">
        <v>1174.2539999999997</v>
      </c>
      <c r="K51" s="5">
        <f>Table1[[#This Row],[Refined Imports, WoodMac]]-Table1[[#This Row],[Refined Exports, WoodMac]]</f>
        <v>348.452</v>
      </c>
      <c r="L51" s="34">
        <v>1500</v>
      </c>
      <c r="M51" s="34">
        <f>Table1[[#This Row],[Refined usage]]-Table1[[#This Row],[Refined production, WoodMac]]-Table1[[#This Row],[Net Refined Imports]]</f>
        <v>-22.705999999999676</v>
      </c>
      <c r="N51">
        <f>Table1[[#This Row],[Refined usage]]*0.208</f>
        <v>312</v>
      </c>
      <c r="O51" s="37">
        <v>443</v>
      </c>
      <c r="P51" s="37">
        <v>94.548000000000002</v>
      </c>
      <c r="X51">
        <v>344.18355394917796</v>
      </c>
      <c r="Z51">
        <v>1250.1443319999998</v>
      </c>
      <c r="AA51">
        <f t="shared" si="7"/>
        <v>351.79061502479993</v>
      </c>
      <c r="AE51" s="41">
        <v>943.25423699999999</v>
      </c>
      <c r="AF51" s="42">
        <v>480.585454331736</v>
      </c>
      <c r="AG51">
        <f>Table3[[#This Row],[Semis Imports (COMTRADE, kt)]]/AE50</f>
        <v>1.4616229721639342</v>
      </c>
      <c r="AH51">
        <f>Table3[[#This Row],[Nonscrap nonrefined imports (COMTRADE, kt)]]/AF50</f>
        <v>1.2222416153320619</v>
      </c>
    </row>
    <row r="52" spans="1:34" x14ac:dyDescent="0.2">
      <c r="A52" s="3">
        <v>2000</v>
      </c>
      <c r="B52">
        <f>Table1[[#This Row],[Concentrate production]]+Table1[[#This Row],[SX-EW production]]</f>
        <v>566.505</v>
      </c>
      <c r="C52" s="37">
        <v>558.10500000000002</v>
      </c>
      <c r="D52" s="37">
        <v>8.4</v>
      </c>
      <c r="E52">
        <v>2837.5164412916524</v>
      </c>
      <c r="F52">
        <f>Selected!F52/Selected!$E52*$E52</f>
        <v>2439.7844980330401</v>
      </c>
      <c r="G52">
        <f>Selected!G52/Selected!$E52*$E52</f>
        <v>397.73194325861232</v>
      </c>
      <c r="H52">
        <f>Table1[[#This Row],[Refined production, WoodMac]]-Table1[[#This Row],[Secondary refining production]]-Table1[[#This Row],[SX-EW production]]</f>
        <v>1119.2619999999995</v>
      </c>
      <c r="I52" s="35">
        <v>243.64400000000001</v>
      </c>
      <c r="J52" s="34">
        <v>1371.3059999999996</v>
      </c>
      <c r="K52" s="5">
        <f>Table1[[#This Row],[Refined Imports, WoodMac]]-Table1[[#This Row],[Refined Exports, WoodMac]]</f>
        <v>551.69299999999998</v>
      </c>
      <c r="L52" s="34">
        <v>1850</v>
      </c>
      <c r="M52" s="34">
        <f>Table1[[#This Row],[Refined usage]]-Table1[[#This Row],[Refined production, WoodMac]]-Table1[[#This Row],[Net Refined Imports]]</f>
        <v>-72.998999999999569</v>
      </c>
      <c r="N52" s="34">
        <v>385.38588235294128</v>
      </c>
      <c r="O52" s="37">
        <v>666.21799999999996</v>
      </c>
      <c r="P52" s="37">
        <v>114.52500000000001</v>
      </c>
      <c r="X52">
        <v>542.67912938563393</v>
      </c>
      <c r="Z52" s="38">
        <v>1813.288229</v>
      </c>
      <c r="AA52">
        <f t="shared" si="7"/>
        <v>510.25930764059996</v>
      </c>
      <c r="AE52" s="41">
        <v>1285.6140849999999</v>
      </c>
      <c r="AF52" s="42">
        <v>510.19938520201799</v>
      </c>
      <c r="AG52">
        <f>Table3[[#This Row],[Semis Imports (COMTRADE, kt)]]/AE51</f>
        <v>1.3629560669548308</v>
      </c>
      <c r="AH52">
        <f>Table3[[#This Row],[Nonscrap nonrefined imports (COMTRADE, kt)]]/AF51</f>
        <v>1.0616205309656339</v>
      </c>
    </row>
    <row r="53" spans="1:34" x14ac:dyDescent="0.2">
      <c r="A53" s="3">
        <v>2001</v>
      </c>
      <c r="B53">
        <f>Table1[[#This Row],[Concentrate production]]+Table1[[#This Row],[SX-EW production]]</f>
        <v>575.47900000000004</v>
      </c>
      <c r="C53" s="37">
        <v>569.47900000000004</v>
      </c>
      <c r="D53" s="37">
        <v>6</v>
      </c>
      <c r="E53">
        <v>3053.8010788443016</v>
      </c>
      <c r="F53">
        <f>Selected!F53/Selected!$E53*$E53</f>
        <v>2685.0683574473128</v>
      </c>
      <c r="G53">
        <f>Selected!G53/Selected!$E53*$E53</f>
        <v>368.73272139698895</v>
      </c>
      <c r="H53">
        <f>Table1[[#This Row],[Refined production, WoodMac]]-Table1[[#This Row],[Secondary refining production]]-Table1[[#This Row],[SX-EW production]]</f>
        <v>1263.2380000000003</v>
      </c>
      <c r="I53" s="35">
        <v>253.57899999999998</v>
      </c>
      <c r="J53" s="34">
        <v>1522.8170000000002</v>
      </c>
      <c r="K53" s="5">
        <f>Table1[[#This Row],[Refined Imports, WoodMac]]-Table1[[#This Row],[Refined Exports, WoodMac]]</f>
        <v>782.98799999999994</v>
      </c>
      <c r="L53" s="34">
        <v>2230</v>
      </c>
      <c r="M53" s="34">
        <f>Table1[[#This Row],[Refined usage]]-Table1[[#This Row],[Refined production, WoodMac]]-Table1[[#This Row],[Net Refined Imports]]</f>
        <v>-75.805000000000177</v>
      </c>
      <c r="N53" s="34">
        <v>460.62082802547775</v>
      </c>
      <c r="O53" s="37">
        <v>833.93899999999996</v>
      </c>
      <c r="P53" s="37">
        <v>50.951000000000001</v>
      </c>
      <c r="X53">
        <v>708.07196472048645</v>
      </c>
      <c r="Z53">
        <v>2255.241544</v>
      </c>
      <c r="AA53">
        <f t="shared" si="7"/>
        <v>634.62497048159992</v>
      </c>
      <c r="AE53" s="41">
        <v>1470.6905690000001</v>
      </c>
      <c r="AF53" s="42">
        <v>580.35769416782898</v>
      </c>
      <c r="AG53">
        <f>Table3[[#This Row],[Semis Imports (COMTRADE, kt)]]/AE52</f>
        <v>1.1439595957755861</v>
      </c>
      <c r="AH53">
        <f>Table3[[#This Row],[Nonscrap nonrefined imports (COMTRADE, kt)]]/AF52</f>
        <v>1.1375115513673761</v>
      </c>
    </row>
    <row r="54" spans="1:34" x14ac:dyDescent="0.2">
      <c r="A54" s="3">
        <v>2002</v>
      </c>
      <c r="B54">
        <f>Table1[[#This Row],[Concentrate production]]+Table1[[#This Row],[SX-EW production]]</f>
        <v>578.05700000000002</v>
      </c>
      <c r="C54" s="37">
        <v>568.197</v>
      </c>
      <c r="D54" s="37">
        <v>9.86</v>
      </c>
      <c r="E54">
        <v>3241.0336215177676</v>
      </c>
      <c r="F54">
        <f>Selected!F54/Selected!$E54*$E54</f>
        <v>2851.791739879151</v>
      </c>
      <c r="G54">
        <f>Selected!G54/Selected!$E54*$E54</f>
        <v>389.24188163861675</v>
      </c>
      <c r="H54">
        <f>Table1[[#This Row],[Refined production, WoodMac]]-Table1[[#This Row],[Secondary refining production]]-Table1[[#This Row],[SX-EW production]]</f>
        <v>1304.1109999999999</v>
      </c>
      <c r="I54" s="35">
        <v>318.5</v>
      </c>
      <c r="J54" s="34">
        <v>1632.4709999999998</v>
      </c>
      <c r="K54" s="5">
        <f>Table1[[#This Row],[Refined Imports, WoodMac]]-Table1[[#This Row],[Refined Exports, WoodMac]]</f>
        <v>1103.6949999999999</v>
      </c>
      <c r="L54" s="34">
        <v>2425</v>
      </c>
      <c r="M54" s="34">
        <f>Table1[[#This Row],[Refined usage]]-Table1[[#This Row],[Refined production, WoodMac]]-Table1[[#This Row],[Net Refined Imports]]</f>
        <v>-311.16599999999971</v>
      </c>
      <c r="N54" s="34">
        <v>727.90230769230811</v>
      </c>
      <c r="O54" s="37">
        <v>1180.2819999999999</v>
      </c>
      <c r="P54" s="37">
        <v>76.587000000000003</v>
      </c>
      <c r="X54">
        <v>651.68734405847033</v>
      </c>
      <c r="Z54" s="38">
        <v>2065.3932869999999</v>
      </c>
      <c r="AA54">
        <f t="shared" si="7"/>
        <v>581.20167096179989</v>
      </c>
      <c r="AE54" s="41">
        <v>1952.8663820000002</v>
      </c>
      <c r="AF54" s="42">
        <v>712.91012484328098</v>
      </c>
      <c r="AG54">
        <f>Table3[[#This Row],[Semis Imports (COMTRADE, kt)]]/AE53</f>
        <v>1.3278567382993804</v>
      </c>
      <c r="AH54">
        <f>Table3[[#This Row],[Nonscrap nonrefined imports (COMTRADE, kt)]]/AF53</f>
        <v>1.2283978174279537</v>
      </c>
    </row>
    <row r="55" spans="1:34" x14ac:dyDescent="0.2">
      <c r="A55" s="3">
        <v>2003</v>
      </c>
      <c r="B55">
        <f>Table1[[#This Row],[Concentrate production]]+Table1[[#This Row],[SX-EW production]]</f>
        <v>611.37599999999986</v>
      </c>
      <c r="C55" s="37">
        <v>602.17599999999982</v>
      </c>
      <c r="D55" s="37">
        <v>9.1999999999999993</v>
      </c>
      <c r="E55">
        <v>3457.2706716914186</v>
      </c>
      <c r="F55">
        <f>Selected!F55/Selected!$E55*$E55</f>
        <v>3083.2527039435909</v>
      </c>
      <c r="G55">
        <f>Selected!G55/Selected!$E55*$E55</f>
        <v>374.01796774782758</v>
      </c>
      <c r="H55">
        <f>Table1[[#This Row],[Refined production, WoodMac]]-Table1[[#This Row],[Secondary refining production]]-Table1[[#This Row],[SX-EW production]]</f>
        <v>1487.585</v>
      </c>
      <c r="I55" s="35">
        <v>338.94</v>
      </c>
      <c r="J55" s="34">
        <v>1835.7250000000001</v>
      </c>
      <c r="K55" s="5">
        <f>Table1[[#This Row],[Refined Imports, WoodMac]]-Table1[[#This Row],[Refined Exports, WoodMac]]</f>
        <v>1289.3620000000001</v>
      </c>
      <c r="L55" s="34">
        <v>2992</v>
      </c>
      <c r="M55" s="34">
        <f>Table1[[#This Row],[Refined usage]]-Table1[[#This Row],[Refined production, WoodMac]]-Table1[[#This Row],[Net Refined Imports]]</f>
        <v>-133.08700000000022</v>
      </c>
      <c r="N55" s="34">
        <v>854.11748466257677</v>
      </c>
      <c r="O55" s="37">
        <v>1353.6880000000001</v>
      </c>
      <c r="P55" s="37">
        <v>64.325999999999993</v>
      </c>
      <c r="X55">
        <v>709.23009569756118</v>
      </c>
      <c r="Z55">
        <v>2668.7613820000001</v>
      </c>
      <c r="AA55">
        <f t="shared" si="7"/>
        <v>750.98945289480002</v>
      </c>
      <c r="AE55" s="41">
        <v>2242.6120689999998</v>
      </c>
      <c r="AF55" s="42">
        <v>746.81683791162595</v>
      </c>
      <c r="AG55">
        <f>Table3[[#This Row],[Semis Imports (COMTRADE, kt)]]/AE54</f>
        <v>1.1483694376997062</v>
      </c>
      <c r="AH55">
        <f>Table3[[#This Row],[Nonscrap nonrefined imports (COMTRADE, kt)]]/AF54</f>
        <v>1.0475609924544116</v>
      </c>
    </row>
    <row r="56" spans="1:34" x14ac:dyDescent="0.2">
      <c r="A56" s="3">
        <v>2004</v>
      </c>
      <c r="B56">
        <f>Table1[[#This Row],[Concentrate production]]+Table1[[#This Row],[SX-EW production]]</f>
        <v>751.54200000000003</v>
      </c>
      <c r="C56" s="37">
        <v>741.54200000000003</v>
      </c>
      <c r="D56" s="37">
        <v>10</v>
      </c>
      <c r="E56">
        <v>3586.3990246065114</v>
      </c>
      <c r="F56">
        <f>Selected!F56/Selected!$E56*$E56</f>
        <v>3135.9125624769003</v>
      </c>
      <c r="G56">
        <f>Selected!G56/Selected!$E56*$E56</f>
        <v>450.48646212961108</v>
      </c>
      <c r="H56">
        <f>Table1[[#This Row],[Refined production, WoodMac]]-Table1[[#This Row],[Secondary refining production]]-Table1[[#This Row],[SX-EW production]]</f>
        <v>1656.4560000000004</v>
      </c>
      <c r="I56" s="35">
        <v>532.23099999999999</v>
      </c>
      <c r="J56" s="34">
        <v>2198.6870000000004</v>
      </c>
      <c r="K56" s="5">
        <f>Table1[[#This Row],[Refined Imports, WoodMac]]-Table1[[#This Row],[Refined Exports, WoodMac]]</f>
        <v>1074.4570000000001</v>
      </c>
      <c r="L56" s="34">
        <v>3565</v>
      </c>
      <c r="M56" s="34">
        <f>Table1[[#This Row],[Refined usage]]-Table1[[#This Row],[Refined production, WoodMac]]-Table1[[#This Row],[Net Refined Imports]]</f>
        <v>291.85599999999954</v>
      </c>
      <c r="N56" s="34">
        <v>802.44217391304301</v>
      </c>
      <c r="O56" s="37">
        <v>1198.2570000000001</v>
      </c>
      <c r="P56" s="37">
        <v>123.8</v>
      </c>
      <c r="X56">
        <v>852.79713848603046</v>
      </c>
      <c r="Z56" s="38">
        <v>2869.4987369999999</v>
      </c>
      <c r="AA56">
        <f t="shared" si="7"/>
        <v>807.47694459179991</v>
      </c>
      <c r="AE56" s="41">
        <v>2148.6655620000001</v>
      </c>
      <c r="AF56" s="42">
        <v>623.72303814506097</v>
      </c>
      <c r="AG56">
        <f>Table3[[#This Row],[Semis Imports (COMTRADE, kt)]]/AE55</f>
        <v>0.95810844492516656</v>
      </c>
      <c r="AH56">
        <f>Table3[[#This Row],[Nonscrap nonrefined imports (COMTRADE, kt)]]/AF55</f>
        <v>0.8351753823457162</v>
      </c>
    </row>
    <row r="57" spans="1:34" x14ac:dyDescent="0.2">
      <c r="A57" s="3">
        <v>2005</v>
      </c>
      <c r="B57">
        <f>Table1[[#This Row],[Concentrate production]]+Table1[[#This Row],[SX-EW production]]</f>
        <v>772.39200000000039</v>
      </c>
      <c r="C57" s="37">
        <v>762.02600000000041</v>
      </c>
      <c r="D57" s="37">
        <v>10.366</v>
      </c>
      <c r="E57">
        <v>3986.6802630606644</v>
      </c>
      <c r="F57">
        <f>Selected!F57/Selected!$E57*$E57</f>
        <v>3480.1455573090143</v>
      </c>
      <c r="G57">
        <f>Selected!G57/Selected!$E57*$E57</f>
        <v>506.53470575164988</v>
      </c>
      <c r="H57">
        <f>Table1[[#This Row],[Refined production, WoodMac]]-Table1[[#This Row],[Secondary refining production]]-Table1[[#This Row],[SX-EW production]]</f>
        <v>2068.2129999999997</v>
      </c>
      <c r="I57" s="35">
        <v>521.84900000000005</v>
      </c>
      <c r="J57" s="34">
        <v>2600.4279999999999</v>
      </c>
      <c r="K57" s="5">
        <f>Table1[[#This Row],[Refined Imports, WoodMac]]-Table1[[#This Row],[Refined Exports, WoodMac]]</f>
        <v>1079.9319999999998</v>
      </c>
      <c r="L57" s="34">
        <v>3745</v>
      </c>
      <c r="M57" s="34">
        <f>Table1[[#This Row],[Refined usage]]-Table1[[#This Row],[Refined production, WoodMac]]-Table1[[#This Row],[Net Refined Imports]]</f>
        <v>64.640000000000327</v>
      </c>
      <c r="N57" s="34">
        <v>1392.577407407407</v>
      </c>
      <c r="O57" s="37">
        <v>1220.0809999999999</v>
      </c>
      <c r="P57" s="37">
        <v>140.149</v>
      </c>
      <c r="X57">
        <v>819.46396453838997</v>
      </c>
      <c r="Z57">
        <v>4059.9990440000001</v>
      </c>
      <c r="AA57">
        <f t="shared" si="7"/>
        <v>1142.4837309816</v>
      </c>
      <c r="AE57" s="41">
        <v>2092.949971</v>
      </c>
      <c r="AF57" s="42">
        <v>559.86818815131903</v>
      </c>
      <c r="AG57">
        <f>Table3[[#This Row],[Semis Imports (COMTRADE, kt)]]/AE56</f>
        <v>0.9740696774847829</v>
      </c>
      <c r="AH57">
        <f>Table3[[#This Row],[Nonscrap nonrefined imports (COMTRADE, kt)]]/AF56</f>
        <v>0.89762306971433203</v>
      </c>
    </row>
    <row r="58" spans="1:34" x14ac:dyDescent="0.2">
      <c r="A58" s="3">
        <v>2006</v>
      </c>
      <c r="B58">
        <f>Table1[[#This Row],[Concentrate production]]+Table1[[#This Row],[SX-EW production]]</f>
        <v>891.88000000000011</v>
      </c>
      <c r="C58" s="37">
        <v>873.39900000000011</v>
      </c>
      <c r="D58" s="37">
        <v>18.480999999999998</v>
      </c>
      <c r="E58">
        <v>4270.7055346190737</v>
      </c>
      <c r="F58">
        <f>Selected!F58/Selected!$E58*$E58</f>
        <v>3677.0237304175462</v>
      </c>
      <c r="G58">
        <f>Selected!G58/Selected!$E58*$E58</f>
        <v>593.68180420152748</v>
      </c>
      <c r="H58">
        <f>Table1[[#This Row],[Refined production, WoodMac]]-Table1[[#This Row],[Secondary refining production]]-Table1[[#This Row],[SX-EW production]]</f>
        <v>2242.1039999999998</v>
      </c>
      <c r="I58" s="35">
        <v>742.35799999999995</v>
      </c>
      <c r="J58" s="34">
        <v>3002.9429999999998</v>
      </c>
      <c r="K58" s="5">
        <f>Table1[[#This Row],[Refined Imports, WoodMac]]-Table1[[#This Row],[Refined Exports, WoodMac]]</f>
        <v>578.58399999999995</v>
      </c>
      <c r="L58" s="34">
        <v>3854</v>
      </c>
      <c r="M58" s="34">
        <f>Table1[[#This Row],[Refined usage]]-Table1[[#This Row],[Refined production, WoodMac]]-Table1[[#This Row],[Net Refined Imports]]</f>
        <v>272.4730000000003</v>
      </c>
      <c r="N58" s="34">
        <v>1906.7452517985612</v>
      </c>
      <c r="O58" s="37">
        <v>821.61199999999997</v>
      </c>
      <c r="P58" s="37">
        <v>243.02799999999999</v>
      </c>
      <c r="X58">
        <v>660.33839374975764</v>
      </c>
      <c r="Z58" s="38">
        <v>3611.6769399999998</v>
      </c>
      <c r="AA58">
        <f t="shared" si="7"/>
        <v>1016.3258909159999</v>
      </c>
      <c r="AE58" s="41">
        <v>1632.216138</v>
      </c>
      <c r="AF58" s="42">
        <v>441.31566821408398</v>
      </c>
      <c r="AG58">
        <f>Table3[[#This Row],[Semis Imports (COMTRADE, kt)]]/AE57</f>
        <v>0.77986390530880012</v>
      </c>
      <c r="AH58">
        <f>Table3[[#This Row],[Nonscrap nonrefined imports (COMTRADE, kt)]]/AF57</f>
        <v>0.78824923000412894</v>
      </c>
    </row>
    <row r="59" spans="1:34" x14ac:dyDescent="0.2">
      <c r="A59" s="3">
        <v>2007</v>
      </c>
      <c r="B59">
        <f>Table1[[#This Row],[Concentrate production]]+Table1[[#This Row],[SX-EW production]]</f>
        <v>991.60099999999989</v>
      </c>
      <c r="C59" s="37">
        <v>929.56899999999985</v>
      </c>
      <c r="D59" s="37">
        <v>62.031999999999996</v>
      </c>
      <c r="E59">
        <v>4554.7308061774884</v>
      </c>
      <c r="F59">
        <f>Selected!F59/Selected!$E59*$E59</f>
        <v>3897.2396497608147</v>
      </c>
      <c r="G59">
        <f>Selected!G59/Selected!$E59*$E59</f>
        <v>657.49115641667379</v>
      </c>
      <c r="H59">
        <f>Table1[[#This Row],[Refined production, WoodMac]]-Table1[[#This Row],[Secondary refining production]]-Table1[[#This Row],[SX-EW production]]</f>
        <v>2665.8860000000004</v>
      </c>
      <c r="I59" s="35">
        <v>790.8</v>
      </c>
      <c r="J59" s="34">
        <v>3518.7180000000008</v>
      </c>
      <c r="K59" s="5">
        <f>Table1[[#This Row],[Refined Imports, WoodMac]]-Table1[[#This Row],[Refined Exports, WoodMac]]</f>
        <v>1362.8230000000001</v>
      </c>
      <c r="L59" s="34">
        <v>4620</v>
      </c>
      <c r="M59" s="34">
        <f>Table1[[#This Row],[Refined usage]]-Table1[[#This Row],[Refined production, WoodMac]]-Table1[[#This Row],[Net Refined Imports]]</f>
        <v>-261.54100000000085</v>
      </c>
      <c r="N59" s="34">
        <v>2026.7688888888897</v>
      </c>
      <c r="O59" s="37">
        <v>1488.7370000000001</v>
      </c>
      <c r="P59" s="37">
        <v>125.914</v>
      </c>
      <c r="X59">
        <v>938.01644435521087</v>
      </c>
      <c r="Z59">
        <v>4524.6957080000002</v>
      </c>
      <c r="AA59">
        <f t="shared" si="7"/>
        <v>1273.2493722311999</v>
      </c>
      <c r="AE59" s="41">
        <v>2267.5361229999999</v>
      </c>
      <c r="AF59" s="42">
        <v>613.55932163722798</v>
      </c>
      <c r="AG59">
        <f>Table3[[#This Row],[Semis Imports (COMTRADE, kt)]]/AE58</f>
        <v>1.3892376568329212</v>
      </c>
      <c r="AH59">
        <f>Table3[[#This Row],[Nonscrap nonrefined imports (COMTRADE, kt)]]/AF58</f>
        <v>1.390295803727476</v>
      </c>
    </row>
    <row r="60" spans="1:34" x14ac:dyDescent="0.2">
      <c r="A60" s="3">
        <v>2008</v>
      </c>
      <c r="B60">
        <f>Table1[[#This Row],[Concentrate production]]+Table1[[#This Row],[SX-EW production]]</f>
        <v>1157.125</v>
      </c>
      <c r="C60" s="37">
        <v>1075.105</v>
      </c>
      <c r="D60" s="37">
        <v>82.02</v>
      </c>
      <c r="E60" s="7">
        <v>3173.4</v>
      </c>
      <c r="F60" s="7">
        <v>2453.4</v>
      </c>
      <c r="G60" s="7">
        <v>720</v>
      </c>
      <c r="H60">
        <f>Table1[[#This Row],[Refined production, WoodMac]]-Table1[[#This Row],[Secondary refining production]]-Table1[[#This Row],[SX-EW production]]</f>
        <v>2993.1240000000003</v>
      </c>
      <c r="I60" s="35">
        <v>719.39299999999992</v>
      </c>
      <c r="J60" s="34">
        <v>3794.5370000000003</v>
      </c>
      <c r="K60" s="5">
        <f>Table1[[#This Row],[Refined Imports, WoodMac]]-Table1[[#This Row],[Refined Exports, WoodMac]]</f>
        <v>1351.3019999999999</v>
      </c>
      <c r="L60" s="34">
        <v>5230</v>
      </c>
      <c r="M60" s="34">
        <f>Table1[[#This Row],[Refined usage]]-Table1[[#This Row],[Refined production, WoodMac]]-Table1[[#This Row],[Net Refined Imports]]</f>
        <v>84.160999999999831</v>
      </c>
      <c r="N60" s="34">
        <v>2067.4560273972602</v>
      </c>
      <c r="O60" s="37">
        <v>1447.4169999999999</v>
      </c>
      <c r="P60" s="37">
        <v>96.114999999999995</v>
      </c>
      <c r="Q60" s="7">
        <v>5537.2</v>
      </c>
      <c r="R60">
        <v>2829.8</v>
      </c>
      <c r="S60" s="7">
        <v>8367</v>
      </c>
      <c r="T60" s="7"/>
      <c r="U60" s="7">
        <v>5577</v>
      </c>
      <c r="V60">
        <v>1863.2286999999999</v>
      </c>
      <c r="W60" s="7">
        <v>1452.4</v>
      </c>
      <c r="X60">
        <v>911.91017589025296</v>
      </c>
      <c r="Y60">
        <f>Table1[[#This Row],[Scrap Imports, SMM]]/Table1[[#This Row],[Scrap Imports, ICSG (gross weight)]]</f>
        <v>0.33409157253003408</v>
      </c>
      <c r="Z60" s="38">
        <v>5187.0229669999999</v>
      </c>
      <c r="AA60" s="40">
        <v>1452.4</v>
      </c>
      <c r="AB60">
        <v>2337.5865008356391</v>
      </c>
      <c r="AC60">
        <v>1343.8756401565211</v>
      </c>
      <c r="AD60">
        <v>3681.4621409921601</v>
      </c>
      <c r="AE60" s="41">
        <v>2142.7647440000001</v>
      </c>
      <c r="AF60" s="42">
        <v>656.06736464696803</v>
      </c>
      <c r="AG60">
        <f>Table3[[#This Row],[Semis Imports (COMTRADE, kt)]]/AE59</f>
        <v>0.94497491010863166</v>
      </c>
      <c r="AH60">
        <f>Table3[[#This Row],[Nonscrap nonrefined imports (COMTRADE, kt)]]/AF59</f>
        <v>1.0692810646186763</v>
      </c>
    </row>
    <row r="61" spans="1:34" x14ac:dyDescent="0.2">
      <c r="A61" s="3">
        <v>2009</v>
      </c>
      <c r="B61">
        <f>Table1[[#This Row],[Concentrate production]]+Table1[[#This Row],[SX-EW production]]</f>
        <v>1054.2919999999999</v>
      </c>
      <c r="C61" s="37">
        <v>963.25099999999998</v>
      </c>
      <c r="D61" s="37">
        <v>91.040999999999997</v>
      </c>
      <c r="E61" s="7">
        <v>3474</v>
      </c>
      <c r="F61" s="7">
        <v>2694</v>
      </c>
      <c r="G61" s="7">
        <v>780</v>
      </c>
      <c r="H61">
        <f>Table1[[#This Row],[Refined production, WoodMac]]-Table1[[#This Row],[Secondary refining production]]-Table1[[#This Row],[SX-EW production]]</f>
        <v>3189.5319999999997</v>
      </c>
      <c r="I61" s="35">
        <v>826.78000000000009</v>
      </c>
      <c r="J61" s="34">
        <v>4107.3530000000001</v>
      </c>
      <c r="K61" s="5">
        <f>Table1[[#This Row],[Refined Imports, WoodMac]]-Table1[[#This Row],[Refined Exports, WoodMac]]</f>
        <v>3095.3130000000001</v>
      </c>
      <c r="L61" s="34">
        <v>6500</v>
      </c>
      <c r="M61" s="34">
        <f>Table1[[#This Row],[Refined usage]]-Table1[[#This Row],[Refined production, WoodMac]]-Table1[[#This Row],[Net Refined Imports]]</f>
        <v>-702.66600000000017</v>
      </c>
      <c r="N61" s="34">
        <v>1471.8148426201997</v>
      </c>
      <c r="O61" s="37">
        <v>3168.25</v>
      </c>
      <c r="P61" s="37">
        <v>72.936999999999998</v>
      </c>
      <c r="Q61" s="7">
        <v>3912.2</v>
      </c>
      <c r="R61">
        <f>Table1[[#This Row],[Total Semis Production]]-Table1[[#This Row],[Unalloyed Semis Production]]</f>
        <v>4824.2</v>
      </c>
      <c r="S61" s="7">
        <v>8736.4</v>
      </c>
      <c r="T61" s="7"/>
      <c r="U61" s="7">
        <v>3998</v>
      </c>
      <c r="V61">
        <v>1446.188341</v>
      </c>
      <c r="W61" s="7">
        <v>1655.7</v>
      </c>
      <c r="X61">
        <v>1262.4483596965433</v>
      </c>
      <c r="Y61">
        <f>Table1[[#This Row],[Scrap Imports, SMM]]/Table1[[#This Row],[Scrap Imports, ICSG (gross weight)]]</f>
        <v>0.36172794922461232</v>
      </c>
      <c r="Z61">
        <v>6132.3462650000001</v>
      </c>
      <c r="AA61" s="7">
        <v>1655.7</v>
      </c>
      <c r="AB61">
        <v>2837.9657285534963</v>
      </c>
      <c r="AC61">
        <v>1391.7992845013337</v>
      </c>
      <c r="AD61">
        <v>4229.76501305483</v>
      </c>
      <c r="AE61" s="41">
        <v>3767.7129030000006</v>
      </c>
      <c r="AF61" s="42">
        <v>641.92261495583</v>
      </c>
      <c r="AG61">
        <f>Table3[[#This Row],[Semis Imports (COMTRADE, kt)]]/AE60</f>
        <v>1.7583418401623656</v>
      </c>
      <c r="AH61">
        <f>Table3[[#This Row],[Nonscrap nonrefined imports (COMTRADE, kt)]]/AF60</f>
        <v>0.97844009555520361</v>
      </c>
    </row>
    <row r="62" spans="1:34" x14ac:dyDescent="0.2">
      <c r="A62" s="3">
        <v>2010</v>
      </c>
      <c r="B62">
        <f>Table1[[#This Row],[Concentrate production]]+Table1[[#This Row],[SX-EW production]]</f>
        <v>1258.3170000000002</v>
      </c>
      <c r="C62" s="37">
        <v>1155.4900000000002</v>
      </c>
      <c r="D62" s="37">
        <v>102.827</v>
      </c>
      <c r="E62" s="7">
        <v>3800.6</v>
      </c>
      <c r="F62" s="7">
        <v>2825.6</v>
      </c>
      <c r="G62" s="7">
        <v>975</v>
      </c>
      <c r="H62">
        <f>Table1[[#This Row],[Refined production, WoodMac]]-Table1[[#This Row],[Secondary refining production]]-Table1[[#This Row],[SX-EW production]]</f>
        <v>3488.0639999999994</v>
      </c>
      <c r="I62" s="35">
        <v>944.20400000000006</v>
      </c>
      <c r="J62" s="34">
        <v>4535.0949999999993</v>
      </c>
      <c r="K62" s="5">
        <f>Table1[[#This Row],[Refined Imports, WoodMac]]-Table1[[#This Row],[Refined Exports, WoodMac]]</f>
        <v>2871.67</v>
      </c>
      <c r="L62" s="34">
        <v>7204</v>
      </c>
      <c r="M62" s="34">
        <f>Table1[[#This Row],[Refined usage]]-Table1[[#This Row],[Refined production, WoodMac]]-Table1[[#This Row],[Net Refined Imports]]</f>
        <v>-202.76499999999942</v>
      </c>
      <c r="N62" s="34">
        <v>1890.6181803973486</v>
      </c>
      <c r="O62" s="37">
        <v>2910.4</v>
      </c>
      <c r="P62" s="37">
        <v>38.729999999999997</v>
      </c>
      <c r="Q62" s="7">
        <v>4188.7</v>
      </c>
      <c r="R62">
        <f>Table1[[#This Row],[Total Semis Production]]-Table1[[#This Row],[Unalloyed Semis Production]]</f>
        <v>5662.5999999999995</v>
      </c>
      <c r="S62" s="7">
        <v>9851.2999999999993</v>
      </c>
      <c r="T62" s="7"/>
      <c r="U62" s="7">
        <v>4364.3999999999996</v>
      </c>
      <c r="V62">
        <v>1594.170404</v>
      </c>
      <c r="W62" s="7">
        <v>1811.1</v>
      </c>
      <c r="X62">
        <v>1668.8053979222591</v>
      </c>
      <c r="Y62">
        <f>Table1[[#This Row],[Scrap Imports, SMM]]/Table1[[#This Row],[Scrap Imports, ICSG (gross weight)]]</f>
        <v>0.36526679589405192</v>
      </c>
      <c r="Z62" s="38">
        <v>6466.1158129999994</v>
      </c>
      <c r="AA62" s="40">
        <v>1811.1</v>
      </c>
      <c r="AB62">
        <v>3132.1524696785568</v>
      </c>
      <c r="AC62">
        <v>1645.9154154389332</v>
      </c>
      <c r="AD62">
        <v>4778.0678851174898</v>
      </c>
      <c r="AE62" s="41">
        <v>3540.3970399999994</v>
      </c>
      <c r="AF62" s="42">
        <v>752.586212004657</v>
      </c>
      <c r="AG62">
        <f>Table3[[#This Row],[Semis Imports (COMTRADE, kt)]]/AE61</f>
        <v>0.93966741393193642</v>
      </c>
      <c r="AH62">
        <f>Table3[[#This Row],[Nonscrap nonrefined imports (COMTRADE, kt)]]/AF61</f>
        <v>1.1723939840574733</v>
      </c>
    </row>
    <row r="63" spans="1:34" x14ac:dyDescent="0.2">
      <c r="A63" s="3">
        <v>2011</v>
      </c>
      <c r="B63">
        <f>Table1[[#This Row],[Concentrate production]]+Table1[[#This Row],[SX-EW production]]</f>
        <v>1384.299</v>
      </c>
      <c r="C63" s="37">
        <v>1265.0729999999999</v>
      </c>
      <c r="D63" s="37">
        <v>119.226</v>
      </c>
      <c r="E63" s="7">
        <v>4116.7</v>
      </c>
      <c r="F63" s="7">
        <v>3036.7</v>
      </c>
      <c r="G63" s="7">
        <v>1080</v>
      </c>
      <c r="H63">
        <f>Table1[[#This Row],[Refined production, WoodMac]]-Table1[[#This Row],[Secondary refining production]]-Table1[[#This Row],[SX-EW production]]</f>
        <v>4235.2669999999989</v>
      </c>
      <c r="I63" s="35">
        <v>853.05499999999995</v>
      </c>
      <c r="J63" s="34">
        <v>5207.5479999999989</v>
      </c>
      <c r="K63" s="5">
        <f>Table1[[#This Row],[Refined Imports, WoodMac]]-Table1[[#This Row],[Refined Exports, WoodMac]]</f>
        <v>2676.2069999999999</v>
      </c>
      <c r="L63" s="34">
        <v>7815</v>
      </c>
      <c r="M63" s="34">
        <f>Table1[[#This Row],[Refined usage]]-Table1[[#This Row],[Refined production, WoodMac]]-Table1[[#This Row],[Net Refined Imports]]</f>
        <v>-68.754999999998745</v>
      </c>
      <c r="N63" s="34">
        <v>2250.7748648648649</v>
      </c>
      <c r="O63" s="37">
        <v>2832.7</v>
      </c>
      <c r="P63" s="37">
        <v>156.49299999999999</v>
      </c>
      <c r="Q63" s="7">
        <v>4371.1000000000004</v>
      </c>
      <c r="R63">
        <f>Table1[[#This Row],[Total Semis Production]]-Table1[[#This Row],[Unalloyed Semis Production]]</f>
        <v>6001.9</v>
      </c>
      <c r="S63" s="7">
        <v>10373</v>
      </c>
      <c r="T63" s="7"/>
      <c r="U63" s="7">
        <v>4687.3</v>
      </c>
      <c r="V63">
        <v>1937.2197309999999</v>
      </c>
      <c r="W63" s="7">
        <v>1795</v>
      </c>
      <c r="X63">
        <v>1805.0071568254964</v>
      </c>
      <c r="Y63">
        <f>Table1[[#This Row],[Scrap Imports, SMM]]/Table1[[#This Row],[Scrap Imports, ICSG (gross weight)]]</f>
        <v>0.41329117637019175</v>
      </c>
      <c r="Z63">
        <v>6383.2598589999998</v>
      </c>
      <c r="AA63" s="7">
        <v>1795</v>
      </c>
      <c r="AB63">
        <v>3411.4385818896931</v>
      </c>
      <c r="AC63">
        <v>1732.1645512695773</v>
      </c>
      <c r="AD63">
        <v>5143.6031331592703</v>
      </c>
      <c r="AE63" s="41">
        <v>3346.950906</v>
      </c>
      <c r="AF63" s="42">
        <v>748.679352944078</v>
      </c>
      <c r="AG63">
        <f>Table3[[#This Row],[Semis Imports (COMTRADE, kt)]]/AE62</f>
        <v>0.94536032772188749</v>
      </c>
      <c r="AH63">
        <f>Table3[[#This Row],[Nonscrap nonrefined imports (COMTRADE, kt)]]/AF62</f>
        <v>0.99480875546447722</v>
      </c>
    </row>
    <row r="64" spans="1:34" x14ac:dyDescent="0.2">
      <c r="A64" s="3">
        <v>2012</v>
      </c>
      <c r="B64">
        <f>Table1[[#This Row],[Concentrate production]]+Table1[[#This Row],[SX-EW production]]</f>
        <v>1541.3709999999996</v>
      </c>
      <c r="C64" s="37">
        <v>1415.5389999999998</v>
      </c>
      <c r="D64" s="37">
        <v>125.83199999999999</v>
      </c>
      <c r="E64" s="7">
        <v>4746.3999999999996</v>
      </c>
      <c r="F64" s="7">
        <v>3601.4</v>
      </c>
      <c r="G64" s="7">
        <v>1145</v>
      </c>
      <c r="H64">
        <f>Table1[[#This Row],[Refined production, WoodMac]]-Table1[[#This Row],[Secondary refining production]]-Table1[[#This Row],[SX-EW production]]</f>
        <v>4660.5759999999991</v>
      </c>
      <c r="I64" s="35">
        <v>1041.4669999999999</v>
      </c>
      <c r="J64" s="34">
        <v>5827.8749999999991</v>
      </c>
      <c r="K64" s="5">
        <f>Table1[[#This Row],[Refined Imports, WoodMac]]-Table1[[#This Row],[Refined Exports, WoodMac]]</f>
        <v>3124.386</v>
      </c>
      <c r="L64" s="34">
        <v>8204</v>
      </c>
      <c r="M64" s="34">
        <f>Table1[[#This Row],[Refined usage]]-Table1[[#This Row],[Refined production, WoodMac]]-Table1[[#This Row],[Net Refined Imports]]</f>
        <v>-748.26099999999906</v>
      </c>
      <c r="N64" s="34">
        <v>2445.7601216216208</v>
      </c>
      <c r="O64" s="37">
        <v>3398.4</v>
      </c>
      <c r="P64" s="37">
        <v>274.01400000000001</v>
      </c>
      <c r="Q64" s="7">
        <v>4847</v>
      </c>
      <c r="R64">
        <f>Table1[[#This Row],[Total Semis Production]]-Table1[[#This Row],[Unalloyed Semis Production]]</f>
        <v>6166.7000000000007</v>
      </c>
      <c r="S64" s="7">
        <v>11013.7</v>
      </c>
      <c r="T64" s="7"/>
      <c r="U64" s="7">
        <v>4859.3999999999996</v>
      </c>
      <c r="V64">
        <v>1863.2286999999999</v>
      </c>
      <c r="W64" s="7">
        <v>2191.6999999999998</v>
      </c>
      <c r="X64">
        <v>1577.883494621879</v>
      </c>
      <c r="Y64">
        <f>Table1[[#This Row],[Scrap Imports, SMM]]/Table1[[#This Row],[Scrap Imports, ICSG (gross weight)]]</f>
        <v>0.38342772770300859</v>
      </c>
      <c r="Z64" s="38">
        <v>7827.0140160000001</v>
      </c>
      <c r="AA64" s="40">
        <v>2191.6999999999998</v>
      </c>
      <c r="AB64">
        <v>3878.99615402686</v>
      </c>
      <c r="AC64">
        <v>1969.5678146415501</v>
      </c>
      <c r="AD64">
        <v>5848.5639686684099</v>
      </c>
      <c r="AE64" s="41">
        <v>3842.3716920000002</v>
      </c>
      <c r="AF64" s="42">
        <v>802.71482515353705</v>
      </c>
      <c r="AG64">
        <f>Table3[[#This Row],[Semis Imports (COMTRADE, kt)]]/AE63</f>
        <v>1.1480215276273908</v>
      </c>
      <c r="AH64">
        <f>Table3[[#This Row],[Nonscrap nonrefined imports (COMTRADE, kt)]]/AF63</f>
        <v>1.0721743854655161</v>
      </c>
    </row>
    <row r="65" spans="1:34" x14ac:dyDescent="0.2">
      <c r="A65" s="3">
        <v>2013</v>
      </c>
      <c r="B65">
        <f>Table1[[#This Row],[Concentrate production]]+Table1[[#This Row],[SX-EW production]]</f>
        <v>1605.0919999999999</v>
      </c>
      <c r="C65" s="37">
        <v>1472.9079999999999</v>
      </c>
      <c r="D65" s="37">
        <v>132.184</v>
      </c>
      <c r="E65" s="7">
        <v>5523.9</v>
      </c>
      <c r="F65" s="7">
        <v>4228.8999999999996</v>
      </c>
      <c r="G65" s="7">
        <v>1295</v>
      </c>
      <c r="H65">
        <f>Table1[[#This Row],[Refined production, WoodMac]]-Table1[[#This Row],[Secondary refining production]]-Table1[[#This Row],[SX-EW production]]</f>
        <v>5276.009</v>
      </c>
      <c r="I65" s="35">
        <v>921.80199999999991</v>
      </c>
      <c r="J65" s="34">
        <v>6329.9949999999999</v>
      </c>
      <c r="K65" s="5">
        <f>Table1[[#This Row],[Refined Imports, WoodMac]]-Table1[[#This Row],[Refined Exports, WoodMac]]</f>
        <v>2910.366</v>
      </c>
      <c r="L65" s="34">
        <v>9164.7999999999993</v>
      </c>
      <c r="M65" s="34">
        <f>Table1[[#This Row],[Refined usage]]-Table1[[#This Row],[Refined production, WoodMac]]-Table1[[#This Row],[Net Refined Imports]]</f>
        <v>-75.561000000000604</v>
      </c>
      <c r="N65" s="34">
        <v>2360.0148459459488</v>
      </c>
      <c r="O65" s="37">
        <v>3203.7530000000002</v>
      </c>
      <c r="P65" s="37">
        <v>293.387</v>
      </c>
      <c r="Q65" s="7">
        <v>5962.6</v>
      </c>
      <c r="R65">
        <f>Table1[[#This Row],[Total Semis Production]]-Table1[[#This Row],[Unalloyed Semis Production]]</f>
        <v>7687.4</v>
      </c>
      <c r="S65" s="7">
        <v>13650</v>
      </c>
      <c r="T65" s="7"/>
      <c r="U65" s="7">
        <v>4372.7</v>
      </c>
      <c r="V65">
        <v>1822.8699549999999</v>
      </c>
      <c r="W65" s="7">
        <v>2821</v>
      </c>
      <c r="X65">
        <v>1692.2537349765773</v>
      </c>
      <c r="Y65">
        <f>Table1[[#This Row],[Scrap Imports, SMM]]/Table1[[#This Row],[Scrap Imports, ICSG (gross weight)]]</f>
        <v>0.41687514693438837</v>
      </c>
      <c r="Z65">
        <v>10068.985199000001</v>
      </c>
      <c r="AA65" s="7">
        <v>2821</v>
      </c>
      <c r="AB65">
        <v>4376.757703692263</v>
      </c>
      <c r="AC65">
        <v>2072.3284581876264</v>
      </c>
      <c r="AD65">
        <v>6449.0861618798899</v>
      </c>
      <c r="AE65" s="41">
        <v>3606.4781869999997</v>
      </c>
      <c r="AF65" s="42">
        <v>932.50263772753999</v>
      </c>
      <c r="AG65">
        <f>Table3[[#This Row],[Semis Imports (COMTRADE, kt)]]/AE64</f>
        <v>0.93860731758691074</v>
      </c>
      <c r="AH65">
        <f>Table3[[#This Row],[Nonscrap nonrefined imports (COMTRADE, kt)]]/AF64</f>
        <v>1.1616860789249508</v>
      </c>
    </row>
    <row r="66" spans="1:34" x14ac:dyDescent="0.2">
      <c r="A66" s="3">
        <v>2014</v>
      </c>
      <c r="B66">
        <f>Table1[[#This Row],[Concentrate production]]+Table1[[#This Row],[SX-EW production]]</f>
        <v>1696.7924600000001</v>
      </c>
      <c r="C66" s="37">
        <v>1558.5924600000001</v>
      </c>
      <c r="D66" s="37">
        <v>138.19999999999999</v>
      </c>
      <c r="E66" s="7">
        <v>6517.9</v>
      </c>
      <c r="F66" s="7">
        <v>5167.8999999999996</v>
      </c>
      <c r="G66" s="7">
        <v>1350</v>
      </c>
      <c r="H66">
        <f>Table1[[#This Row],[Refined production, WoodMac]]-Table1[[#This Row],[Secondary refining production]]-Table1[[#This Row],[SX-EW production]]</f>
        <v>5847.192</v>
      </c>
      <c r="I66" s="35">
        <v>894.68500000000006</v>
      </c>
      <c r="J66" s="34">
        <v>6880.0770000000002</v>
      </c>
      <c r="K66" s="5">
        <f>Table1[[#This Row],[Refined Imports, WoodMac]]-Table1[[#This Row],[Refined Exports, WoodMac]]</f>
        <v>3319.9559999999997</v>
      </c>
      <c r="L66" s="34">
        <v>9836</v>
      </c>
      <c r="M66" s="34">
        <f>Table1[[#This Row],[Refined usage]]-Table1[[#This Row],[Refined production, WoodMac]]-Table1[[#This Row],[Net Refined Imports]]</f>
        <v>-364.0329999999999</v>
      </c>
      <c r="N66" s="34">
        <v>2318.9545841351355</v>
      </c>
      <c r="O66" s="37">
        <v>3585.8159999999998</v>
      </c>
      <c r="P66" s="37">
        <v>265.86</v>
      </c>
      <c r="Q66" s="7">
        <v>6798</v>
      </c>
      <c r="R66">
        <f>Table1[[#This Row],[Total Semis Production]]-Table1[[#This Row],[Unalloyed Semis Production]]</f>
        <v>8172.4</v>
      </c>
      <c r="S66" s="7">
        <v>14970.4</v>
      </c>
      <c r="T66" s="7"/>
      <c r="U66" s="7">
        <v>3874.9</v>
      </c>
      <c r="V66">
        <v>1560.5381170000001</v>
      </c>
      <c r="W66" s="7">
        <v>3309.6</v>
      </c>
      <c r="X66">
        <v>1409.6087384335376</v>
      </c>
      <c r="Y66">
        <f>Table1[[#This Row],[Scrap Imports, SMM]]/Table1[[#This Row],[Scrap Imports, ICSG (gross weight)]]</f>
        <v>0.40272990709437662</v>
      </c>
      <c r="Z66" s="38">
        <v>11806.972223000001</v>
      </c>
      <c r="AA66" s="40">
        <v>3309.6</v>
      </c>
      <c r="AB66">
        <v>5015.8738681898349</v>
      </c>
      <c r="AC66">
        <v>1903.1861840294853</v>
      </c>
      <c r="AD66">
        <v>6919.0600522193199</v>
      </c>
      <c r="AE66" s="41">
        <v>4002.2911849999996</v>
      </c>
      <c r="AF66" s="42">
        <v>879.34519967354595</v>
      </c>
      <c r="AG66">
        <f>Table3[[#This Row],[Semis Imports (COMTRADE, kt)]]/AE65</f>
        <v>1.1097505592649242</v>
      </c>
      <c r="AH66">
        <f>Table3[[#This Row],[Nonscrap nonrefined imports (COMTRADE, kt)]]/AF65</f>
        <v>0.94299486574800906</v>
      </c>
    </row>
    <row r="67" spans="1:34" x14ac:dyDescent="0.2">
      <c r="A67" s="3">
        <v>2015</v>
      </c>
      <c r="B67">
        <f>Table1[[#This Row],[Concentrate production]]+Table1[[#This Row],[SX-EW production]]</f>
        <v>1634.0949999999998</v>
      </c>
      <c r="C67" s="37">
        <v>1509.8009999999997</v>
      </c>
      <c r="D67" s="37">
        <v>124.294</v>
      </c>
      <c r="E67" s="7">
        <v>6884.8</v>
      </c>
      <c r="F67" s="7">
        <v>5504.8</v>
      </c>
      <c r="G67" s="7">
        <v>1380</v>
      </c>
      <c r="H67">
        <f>Table1[[#This Row],[Refined production, WoodMac]]-Table1[[#This Row],[Secondary refining production]]-Table1[[#This Row],[SX-EW production]]</f>
        <v>6048.2000000000016</v>
      </c>
      <c r="I67" s="35">
        <v>813.4</v>
      </c>
      <c r="J67" s="34">
        <v>6985.8940000000011</v>
      </c>
      <c r="K67" s="5">
        <f>Table1[[#This Row],[Refined Imports, WoodMac]]-Table1[[#This Row],[Refined Exports, WoodMac]]</f>
        <v>3456.9289999999996</v>
      </c>
      <c r="L67" s="34">
        <v>10150.572901135227</v>
      </c>
      <c r="M67" s="34">
        <f>Table1[[#This Row],[Refined usage]]-Table1[[#This Row],[Refined production, WoodMac]]-Table1[[#This Row],[Net Refined Imports]]</f>
        <v>-292.25009886477392</v>
      </c>
      <c r="N67" s="34">
        <v>2253.2257674048042</v>
      </c>
      <c r="O67" s="37">
        <v>3668.4989999999998</v>
      </c>
      <c r="P67" s="37">
        <v>211.57</v>
      </c>
      <c r="Q67" s="7">
        <v>7502.5</v>
      </c>
      <c r="R67">
        <f>Table1[[#This Row],[Total Semis Production]]-Table1[[#This Row],[Unalloyed Semis Production]]</f>
        <v>8685.7999999999993</v>
      </c>
      <c r="S67" s="7">
        <v>16188.3</v>
      </c>
      <c r="T67" s="7"/>
      <c r="U67" s="7">
        <v>3658.5</v>
      </c>
      <c r="V67">
        <v>1426.008969</v>
      </c>
      <c r="W67" s="7">
        <v>3722.3</v>
      </c>
      <c r="X67">
        <v>1375.5391367786488</v>
      </c>
      <c r="Y67">
        <f>Table1[[#This Row],[Scrap Imports, SMM]]/Table1[[#This Row],[Scrap Imports, ICSG (gross weight)]]</f>
        <v>0.38977968265682655</v>
      </c>
      <c r="Z67">
        <v>13232.666191</v>
      </c>
      <c r="AA67" s="7">
        <v>3722.3</v>
      </c>
      <c r="AB67">
        <v>5584.5140851215147</v>
      </c>
      <c r="AC67">
        <v>1804.519857437225</v>
      </c>
      <c r="AD67">
        <v>7389.0339425587399</v>
      </c>
      <c r="AE67" s="41">
        <v>4064.8520899999999</v>
      </c>
      <c r="AF67" s="42">
        <v>839.81285834197695</v>
      </c>
      <c r="AG67">
        <f>Table3[[#This Row],[Semis Imports (COMTRADE, kt)]]/AE66</f>
        <v>1.0156312727156058</v>
      </c>
      <c r="AH67">
        <f>Table3[[#This Row],[Nonscrap nonrefined imports (COMTRADE, kt)]]/AF66</f>
        <v>0.955043433061049</v>
      </c>
    </row>
    <row r="68" spans="1:34" x14ac:dyDescent="0.2">
      <c r="A68" s="3">
        <v>2016</v>
      </c>
      <c r="B68">
        <f>Table1[[#This Row],[Concentrate production]]+Table1[[#This Row],[SX-EW production]]</f>
        <v>1663.5</v>
      </c>
      <c r="C68" s="37">
        <v>1534.5</v>
      </c>
      <c r="D68" s="37">
        <v>129</v>
      </c>
      <c r="E68" s="7">
        <v>7208.3</v>
      </c>
      <c r="F68" s="7">
        <v>5798</v>
      </c>
      <c r="G68" s="7">
        <v>1410.3</v>
      </c>
      <c r="H68">
        <f>Table1[[#This Row],[Refined production, WoodMac]]-Table1[[#This Row],[Secondary refining production]]-Table1[[#This Row],[SX-EW production]]</f>
        <v>6908</v>
      </c>
      <c r="I68" s="35">
        <v>1062</v>
      </c>
      <c r="J68" s="34">
        <v>8099</v>
      </c>
      <c r="K68" s="5">
        <f>Table1[[#This Row],[Refined Imports, WoodMac]]-Table1[[#This Row],[Refined Exports, WoodMac]]</f>
        <v>2623.5778126688874</v>
      </c>
      <c r="L68" s="34">
        <v>10462.577812668887</v>
      </c>
      <c r="M68" s="34">
        <f>Table1[[#This Row],[Refined usage]]-Table1[[#This Row],[Refined production, WoodMac]]-Table1[[#This Row],[Net Refined Imports]]</f>
        <v>-260</v>
      </c>
      <c r="N68" s="34">
        <v>2228.8590854375066</v>
      </c>
      <c r="O68" s="37">
        <v>2873.5778126688874</v>
      </c>
      <c r="P68" s="37">
        <v>250</v>
      </c>
      <c r="S68" s="7">
        <v>17723.900000000001</v>
      </c>
      <c r="T68" s="7"/>
      <c r="U68" s="7">
        <v>3348.1</v>
      </c>
      <c r="V68">
        <v>1177.1300450000001</v>
      </c>
      <c r="W68" s="7">
        <v>5087.7</v>
      </c>
      <c r="X68">
        <v>1109.871427236726</v>
      </c>
      <c r="Y68">
        <f>Table1[[#This Row],[Scrap Imports, SMM]]/Table1[[#This Row],[Scrap Imports, ICSG (gross weight)]]</f>
        <v>0.35158150742212008</v>
      </c>
      <c r="Z68" s="38">
        <v>16958.995899000001</v>
      </c>
      <c r="AA68" s="40">
        <v>5087.7</v>
      </c>
      <c r="AB68">
        <v>6299.3415532898807</v>
      </c>
      <c r="AC68">
        <v>1455.2276373106399</v>
      </c>
      <c r="AD68">
        <v>7754.5691906005204</v>
      </c>
      <c r="AE68" s="41">
        <v>4021.3368820000005</v>
      </c>
      <c r="AF68" s="42">
        <v>1014.46330910064</v>
      </c>
      <c r="AG68">
        <f>Table3[[#This Row],[Semis Imports (COMTRADE, kt)]]/AE67</f>
        <v>0.98929476226034108</v>
      </c>
      <c r="AH68">
        <f>Table3[[#This Row],[Nonscrap nonrefined imports (COMTRADE, kt)]]/AF67</f>
        <v>1.207963534999299</v>
      </c>
    </row>
    <row r="69" spans="1:34" x14ac:dyDescent="0.2">
      <c r="A69" s="3">
        <v>2017</v>
      </c>
      <c r="B69">
        <f>Table1[[#This Row],[Concentrate production]]+Table1[[#This Row],[SX-EW production]]</f>
        <v>1750.6000000000001</v>
      </c>
      <c r="C69" s="37">
        <v>1595.6000000000001</v>
      </c>
      <c r="D69" s="37">
        <v>155</v>
      </c>
      <c r="E69" s="7">
        <v>7560</v>
      </c>
      <c r="F69" s="7">
        <v>6050</v>
      </c>
      <c r="G69" s="7">
        <v>1510</v>
      </c>
      <c r="H69">
        <f>Table1[[#This Row],[Refined production, WoodMac]]-Table1[[#This Row],[Secondary refining production]]-Table1[[#This Row],[SX-EW production]]</f>
        <v>7698</v>
      </c>
      <c r="I69" s="35">
        <v>1304</v>
      </c>
      <c r="J69" s="34">
        <v>9157</v>
      </c>
      <c r="K69" s="5">
        <f>Table1[[#This Row],[Refined Imports, WoodMac]]-Table1[[#This Row],[Refined Exports, WoodMac]]</f>
        <v>1726.6318730303483</v>
      </c>
      <c r="L69" s="34">
        <v>10733.631873030348</v>
      </c>
      <c r="M69" s="34">
        <f>Table1[[#This Row],[Refined usage]]-Table1[[#This Row],[Refined production, WoodMac]]-Table1[[#This Row],[Net Refined Imports]]</f>
        <v>-150</v>
      </c>
      <c r="N69" s="34">
        <v>2245.4234512267067</v>
      </c>
      <c r="O69" s="37">
        <v>2026.6318730303483</v>
      </c>
      <c r="P69" s="37">
        <v>300</v>
      </c>
      <c r="S69" s="7">
        <v>16808.099999999999</v>
      </c>
      <c r="T69" s="7"/>
      <c r="U69" s="7">
        <v>3557.1</v>
      </c>
      <c r="V69">
        <v>1291.4798209999999</v>
      </c>
      <c r="W69" s="7">
        <v>4866.6000000000004</v>
      </c>
      <c r="X69">
        <v>1279.8451969318712</v>
      </c>
      <c r="Y69">
        <f>Table1[[#This Row],[Scrap Imports, SMM]]/Table1[[#This Row],[Scrap Imports, ICSG (gross weight)]]</f>
        <v>0.36307099069466697</v>
      </c>
      <c r="Z69">
        <v>17334.541329000003</v>
      </c>
      <c r="AA69" s="7">
        <v>4866.6000000000004</v>
      </c>
      <c r="AB69">
        <v>6615.3422781853315</v>
      </c>
      <c r="AC69">
        <v>1426.4331787337185</v>
      </c>
      <c r="AD69">
        <v>8041.7754569190502</v>
      </c>
      <c r="AE69" s="41">
        <v>3662.5200960000002</v>
      </c>
      <c r="AF69" s="42">
        <v>1095.8214506003001</v>
      </c>
      <c r="AG69">
        <f>Table3[[#This Row],[Semis Imports (COMTRADE, kt)]]/AE68</f>
        <v>0.91077176657193071</v>
      </c>
      <c r="AH69">
        <f>Table3[[#This Row],[Nonscrap nonrefined imports (COMTRADE, kt)]]/AF68</f>
        <v>1.0801982099991247</v>
      </c>
    </row>
    <row r="70" spans="1:34" x14ac:dyDescent="0.2">
      <c r="A70" s="3">
        <v>2018</v>
      </c>
      <c r="B70">
        <f>Table1[[#This Row],[Concentrate production]]+Table1[[#This Row],[SX-EW production]]</f>
        <v>1851.8999999999999</v>
      </c>
      <c r="C70" s="37">
        <v>1689.8999999999999</v>
      </c>
      <c r="D70" s="37">
        <v>162</v>
      </c>
      <c r="E70">
        <v>7814.727998226479</v>
      </c>
      <c r="H70">
        <f>Table1[[#This Row],[Refined production, WoodMac]]-Table1[[#This Row],[Secondary refining production]]-Table1[[#This Row],[SX-EW production]]</f>
        <v>7994</v>
      </c>
      <c r="I70" s="36">
        <v>1579</v>
      </c>
      <c r="J70" s="34">
        <v>9735</v>
      </c>
      <c r="K70" s="5">
        <f>Table1[[#This Row],[Refined Imports, WoodMac]]-Table1[[#This Row],[Refined Exports, WoodMac]]</f>
        <v>1223.208584481692</v>
      </c>
      <c r="L70" s="34">
        <v>10958.208584481692</v>
      </c>
      <c r="M70" s="34">
        <f>Table1[[#This Row],[Refined usage]]-Table1[[#This Row],[Refined production, WoodMac]]-Table1[[#This Row],[Net Refined Imports]]</f>
        <v>0</v>
      </c>
      <c r="N70" s="34">
        <v>2293.8980956300861</v>
      </c>
      <c r="O70" s="37">
        <v>1523.208584481692</v>
      </c>
      <c r="P70" s="37">
        <v>300</v>
      </c>
      <c r="V70">
        <v>1264.573991</v>
      </c>
      <c r="X70">
        <v>1276.2066835871699</v>
      </c>
      <c r="Z70" s="39">
        <v>19737.761028000001</v>
      </c>
      <c r="AA70">
        <f t="shared" si="7"/>
        <v>5554.2059532792</v>
      </c>
      <c r="AB70">
        <v>7330.7067059542069</v>
      </c>
      <c r="AC70">
        <v>1389.9199258995734</v>
      </c>
      <c r="AD70">
        <v>8720.6266318537801</v>
      </c>
      <c r="AE70" s="41">
        <v>4178.6175139999996</v>
      </c>
      <c r="AF70" s="42">
        <v>1205.4236251761399</v>
      </c>
      <c r="AG70">
        <f>Table3[[#This Row],[Semis Imports (COMTRADE, kt)]]/AE69</f>
        <v>1.1409131975995579</v>
      </c>
      <c r="AH70">
        <f>Table3[[#This Row],[Nonscrap nonrefined imports (COMTRADE, kt)]]/AF69</f>
        <v>1.1000182780833492</v>
      </c>
    </row>
    <row r="73" spans="1:34" x14ac:dyDescent="0.2">
      <c r="I73" s="7"/>
      <c r="J73" s="7"/>
      <c r="K73" s="7"/>
      <c r="L73" s="7"/>
      <c r="M73" s="7"/>
      <c r="N73" s="7"/>
      <c r="O73" s="7"/>
    </row>
    <row r="74" spans="1:34" x14ac:dyDescent="0.2">
      <c r="J74" s="7"/>
      <c r="K74" s="7"/>
      <c r="L74" s="7"/>
      <c r="M74" s="7"/>
      <c r="N74" s="7"/>
      <c r="O74" s="7"/>
    </row>
    <row r="75" spans="1:34" x14ac:dyDescent="0.2">
      <c r="J75" s="7"/>
      <c r="K75" s="7"/>
      <c r="L75" s="7"/>
      <c r="M75" s="7"/>
      <c r="N75" s="7"/>
      <c r="O75" s="7"/>
    </row>
    <row r="86" spans="10:14" x14ac:dyDescent="0.2">
      <c r="J86" t="s">
        <v>570</v>
      </c>
      <c r="K86" t="s">
        <v>566</v>
      </c>
      <c r="L86" t="s">
        <v>567</v>
      </c>
      <c r="M86" t="s">
        <v>568</v>
      </c>
      <c r="N86" t="s">
        <v>569</v>
      </c>
    </row>
    <row r="87" spans="10:14" x14ac:dyDescent="0.2">
      <c r="J87">
        <v>2019</v>
      </c>
      <c r="K87" s="5">
        <f>K70+150</f>
        <v>1373.208584481692</v>
      </c>
      <c r="L87" s="5">
        <f>K87-50</f>
        <v>1323.208584481692</v>
      </c>
      <c r="M87" s="5">
        <f>K87-250</f>
        <v>1123.208584481692</v>
      </c>
      <c r="N87" s="5">
        <f>K87-150-200</f>
        <v>1023.208584481692</v>
      </c>
    </row>
    <row r="88" spans="10:14" x14ac:dyDescent="0.2">
      <c r="J88">
        <v>2020</v>
      </c>
      <c r="K88" s="5">
        <f>K87+200</f>
        <v>1573.208584481692</v>
      </c>
      <c r="L88" s="5">
        <f>L87+100</f>
        <v>1423.208584481692</v>
      </c>
      <c r="M88" s="5">
        <f>M87-100</f>
        <v>1023.208584481692</v>
      </c>
      <c r="N88" s="5">
        <f>N87-200</f>
        <v>823.20858448169201</v>
      </c>
    </row>
    <row r="89" spans="10:14" x14ac:dyDescent="0.2">
      <c r="J89">
        <v>2021</v>
      </c>
      <c r="K89" s="5">
        <f>K88+150</f>
        <v>1723.208584481692</v>
      </c>
      <c r="L89" s="5">
        <f t="shared" ref="L89:L108" si="8">L88+100</f>
        <v>1523.208584481692</v>
      </c>
      <c r="M89" s="5">
        <f t="shared" ref="M89:M98" si="9">M88-100</f>
        <v>923.20858448169201</v>
      </c>
      <c r="N89" s="5">
        <f>N88-200</f>
        <v>623.20858448169201</v>
      </c>
    </row>
    <row r="90" spans="10:14" x14ac:dyDescent="0.2">
      <c r="J90">
        <v>2022</v>
      </c>
      <c r="K90" s="5">
        <f t="shared" ref="K90:K96" si="10">K89+150</f>
        <v>1873.208584481692</v>
      </c>
      <c r="L90" s="5">
        <f t="shared" si="8"/>
        <v>1623.208584481692</v>
      </c>
      <c r="M90" s="5">
        <f t="shared" si="9"/>
        <v>823.20858448169201</v>
      </c>
      <c r="N90" s="5">
        <f t="shared" ref="N90:N92" si="11">N89-200</f>
        <v>423.20858448169201</v>
      </c>
    </row>
    <row r="91" spans="10:14" x14ac:dyDescent="0.2">
      <c r="J91">
        <v>2023</v>
      </c>
      <c r="K91" s="5">
        <f t="shared" si="10"/>
        <v>2023.208584481692</v>
      </c>
      <c r="L91" s="5">
        <f t="shared" si="8"/>
        <v>1723.208584481692</v>
      </c>
      <c r="M91" s="5">
        <f t="shared" si="9"/>
        <v>723.20858448169201</v>
      </c>
      <c r="N91" s="5">
        <f t="shared" si="11"/>
        <v>223.20858448169201</v>
      </c>
    </row>
    <row r="92" spans="10:14" x14ac:dyDescent="0.2">
      <c r="J92">
        <v>2024</v>
      </c>
      <c r="K92" s="5">
        <f t="shared" si="10"/>
        <v>2173.208584481692</v>
      </c>
      <c r="L92" s="5">
        <f t="shared" si="8"/>
        <v>1823.208584481692</v>
      </c>
      <c r="M92" s="5">
        <f t="shared" si="9"/>
        <v>623.20858448169201</v>
      </c>
      <c r="N92" s="5">
        <f t="shared" si="11"/>
        <v>23.208584481692014</v>
      </c>
    </row>
    <row r="93" spans="10:14" x14ac:dyDescent="0.2">
      <c r="J93">
        <v>2025</v>
      </c>
      <c r="K93" s="5">
        <f t="shared" si="10"/>
        <v>2323.208584481692</v>
      </c>
      <c r="L93" s="5">
        <f t="shared" si="8"/>
        <v>1923.208584481692</v>
      </c>
      <c r="M93" s="5">
        <f t="shared" si="9"/>
        <v>523.20858448169201</v>
      </c>
      <c r="N93" s="5">
        <v>0</v>
      </c>
    </row>
    <row r="94" spans="10:14" x14ac:dyDescent="0.2">
      <c r="J94">
        <v>2026</v>
      </c>
      <c r="K94" s="5">
        <f t="shared" si="10"/>
        <v>2473.208584481692</v>
      </c>
      <c r="L94" s="5">
        <f t="shared" si="8"/>
        <v>2023.208584481692</v>
      </c>
      <c r="M94" s="5">
        <f t="shared" si="9"/>
        <v>423.20858448169201</v>
      </c>
      <c r="N94" s="5">
        <v>0</v>
      </c>
    </row>
    <row r="95" spans="10:14" x14ac:dyDescent="0.2">
      <c r="J95">
        <v>2027</v>
      </c>
      <c r="K95" s="5">
        <f t="shared" si="10"/>
        <v>2623.208584481692</v>
      </c>
      <c r="L95" s="5">
        <f t="shared" si="8"/>
        <v>2123.208584481692</v>
      </c>
      <c r="M95" s="5">
        <f t="shared" si="9"/>
        <v>323.20858448169201</v>
      </c>
      <c r="N95" s="5">
        <v>0</v>
      </c>
    </row>
    <row r="96" spans="10:14" x14ac:dyDescent="0.2">
      <c r="J96">
        <v>2028</v>
      </c>
      <c r="K96" s="5">
        <f t="shared" si="10"/>
        <v>2773.208584481692</v>
      </c>
      <c r="L96" s="5">
        <f t="shared" si="8"/>
        <v>2223.208584481692</v>
      </c>
      <c r="M96" s="5">
        <f t="shared" si="9"/>
        <v>223.20858448169201</v>
      </c>
      <c r="N96" s="5">
        <v>0</v>
      </c>
    </row>
    <row r="97" spans="10:36" x14ac:dyDescent="0.2">
      <c r="J97">
        <v>2029</v>
      </c>
      <c r="K97" s="5">
        <f t="shared" ref="K97:K102" si="12">K96+150</f>
        <v>2923.208584481692</v>
      </c>
      <c r="L97" s="5">
        <f t="shared" si="8"/>
        <v>2323.208584481692</v>
      </c>
      <c r="M97" s="5">
        <f t="shared" si="9"/>
        <v>123.20858448169201</v>
      </c>
      <c r="N97" s="5">
        <v>0</v>
      </c>
    </row>
    <row r="98" spans="10:36" x14ac:dyDescent="0.2">
      <c r="J98">
        <v>2030</v>
      </c>
      <c r="K98" s="5">
        <f t="shared" si="12"/>
        <v>3073.208584481692</v>
      </c>
      <c r="L98" s="5">
        <f t="shared" si="8"/>
        <v>2423.208584481692</v>
      </c>
      <c r="M98" s="5">
        <f t="shared" si="9"/>
        <v>23.208584481692014</v>
      </c>
      <c r="N98" s="5">
        <v>0</v>
      </c>
    </row>
    <row r="99" spans="10:36" x14ac:dyDescent="0.2">
      <c r="J99">
        <v>2031</v>
      </c>
      <c r="K99" s="5">
        <f t="shared" si="12"/>
        <v>3223.208584481692</v>
      </c>
      <c r="L99" s="5">
        <f t="shared" si="8"/>
        <v>2523.208584481692</v>
      </c>
      <c r="M99" s="5">
        <v>0</v>
      </c>
      <c r="N99" s="5">
        <v>0</v>
      </c>
    </row>
    <row r="100" spans="10:36" x14ac:dyDescent="0.2">
      <c r="J100">
        <v>2032</v>
      </c>
      <c r="K100" s="5">
        <f t="shared" si="12"/>
        <v>3373.208584481692</v>
      </c>
      <c r="L100" s="5">
        <f t="shared" si="8"/>
        <v>2623.208584481692</v>
      </c>
      <c r="M100" s="5">
        <v>0</v>
      </c>
      <c r="N100" s="5">
        <v>0</v>
      </c>
    </row>
    <row r="101" spans="10:36" x14ac:dyDescent="0.2">
      <c r="J101">
        <v>2033</v>
      </c>
      <c r="K101" s="5">
        <f t="shared" si="12"/>
        <v>3523.208584481692</v>
      </c>
      <c r="L101" s="5">
        <f t="shared" si="8"/>
        <v>2723.208584481692</v>
      </c>
      <c r="M101" s="5">
        <v>0</v>
      </c>
      <c r="N101" s="5">
        <v>0</v>
      </c>
    </row>
    <row r="102" spans="10:36" x14ac:dyDescent="0.2">
      <c r="J102">
        <v>2034</v>
      </c>
      <c r="K102" s="5">
        <f t="shared" si="12"/>
        <v>3673.208584481692</v>
      </c>
      <c r="L102" s="5">
        <f t="shared" si="8"/>
        <v>2823.208584481692</v>
      </c>
      <c r="M102" s="5">
        <v>0</v>
      </c>
      <c r="N102" s="5">
        <v>0</v>
      </c>
    </row>
    <row r="103" spans="10:36" x14ac:dyDescent="0.2">
      <c r="J103">
        <v>2035</v>
      </c>
      <c r="K103" s="5">
        <f>K102+150</f>
        <v>3823.208584481692</v>
      </c>
      <c r="L103" s="5">
        <f t="shared" si="8"/>
        <v>2923.208584481692</v>
      </c>
      <c r="M103" s="5">
        <v>0</v>
      </c>
      <c r="N103" s="5">
        <v>0</v>
      </c>
    </row>
    <row r="104" spans="10:36" x14ac:dyDescent="0.2">
      <c r="J104">
        <v>2036</v>
      </c>
      <c r="K104" s="5">
        <f>K103+150</f>
        <v>3973.208584481692</v>
      </c>
      <c r="L104" s="5">
        <f t="shared" si="8"/>
        <v>3023.208584481692</v>
      </c>
      <c r="M104" s="5">
        <v>0</v>
      </c>
      <c r="N104" s="5">
        <v>0</v>
      </c>
    </row>
    <row r="105" spans="10:36" x14ac:dyDescent="0.2">
      <c r="J105">
        <v>2037</v>
      </c>
      <c r="K105" s="5">
        <f t="shared" ref="K105:K108" si="13">K104+150</f>
        <v>4123.208584481692</v>
      </c>
      <c r="L105" s="5">
        <f t="shared" si="8"/>
        <v>3123.208584481692</v>
      </c>
      <c r="M105" s="5">
        <v>0</v>
      </c>
      <c r="N105" s="5">
        <v>0</v>
      </c>
    </row>
    <row r="106" spans="10:36" x14ac:dyDescent="0.2">
      <c r="J106">
        <v>2038</v>
      </c>
      <c r="K106" s="5">
        <f t="shared" si="13"/>
        <v>4273.208584481692</v>
      </c>
      <c r="L106" s="5">
        <f t="shared" si="8"/>
        <v>3223.208584481692</v>
      </c>
      <c r="M106" s="5">
        <v>0</v>
      </c>
      <c r="N106" s="5">
        <v>0</v>
      </c>
      <c r="Q106" t="s">
        <v>574</v>
      </c>
      <c r="R106" t="s">
        <v>571</v>
      </c>
      <c r="S106" t="s">
        <v>573</v>
      </c>
      <c r="T106" t="s">
        <v>580</v>
      </c>
      <c r="U106" t="s">
        <v>585</v>
      </c>
      <c r="V106" t="s">
        <v>584</v>
      </c>
      <c r="W106" t="s">
        <v>583</v>
      </c>
      <c r="X106" t="s">
        <v>586</v>
      </c>
      <c r="Y106" t="s">
        <v>581</v>
      </c>
      <c r="Z106" t="s">
        <v>582</v>
      </c>
      <c r="AA106" t="s">
        <v>587</v>
      </c>
      <c r="AB106" t="s">
        <v>590</v>
      </c>
      <c r="AC106" t="s">
        <v>589</v>
      </c>
      <c r="AD106" t="s">
        <v>588</v>
      </c>
      <c r="AE106" t="s">
        <v>575</v>
      </c>
      <c r="AF106" t="s">
        <v>572</v>
      </c>
      <c r="AG106" t="s">
        <v>576</v>
      </c>
      <c r="AH106" t="s">
        <v>577</v>
      </c>
      <c r="AI106" t="s">
        <v>578</v>
      </c>
      <c r="AJ106" t="s">
        <v>579</v>
      </c>
    </row>
    <row r="107" spans="10:36" x14ac:dyDescent="0.2">
      <c r="J107">
        <v>2039</v>
      </c>
      <c r="K107" s="5">
        <f t="shared" si="13"/>
        <v>4423.208584481692</v>
      </c>
      <c r="L107" s="5">
        <f t="shared" si="8"/>
        <v>3323.208584481692</v>
      </c>
      <c r="M107" s="5">
        <v>0</v>
      </c>
      <c r="N107" s="5">
        <v>0</v>
      </c>
      <c r="Q107">
        <v>2018</v>
      </c>
      <c r="R107">
        <f>X70</f>
        <v>1276.2066835871699</v>
      </c>
      <c r="S107">
        <f>X70</f>
        <v>1276.2066835871699</v>
      </c>
      <c r="T107">
        <f>R107</f>
        <v>1276.2066835871699</v>
      </c>
      <c r="U107">
        <f>S107</f>
        <v>1276.2066835871699</v>
      </c>
      <c r="V107">
        <f>R107</f>
        <v>1276.2066835871699</v>
      </c>
      <c r="W107">
        <f>S107</f>
        <v>1276.2066835871699</v>
      </c>
      <c r="X107">
        <f>T107</f>
        <v>1276.2066835871699</v>
      </c>
      <c r="Y107">
        <f>T107</f>
        <v>1276.2066835871699</v>
      </c>
      <c r="Z107">
        <f>V107</f>
        <v>1276.2066835871699</v>
      </c>
      <c r="AA107">
        <f>W107</f>
        <v>1276.2066835871699</v>
      </c>
      <c r="AB107">
        <v>1243.6199999999999</v>
      </c>
      <c r="AC107">
        <v>1035.7200000000003</v>
      </c>
      <c r="AD107">
        <v>827.82</v>
      </c>
      <c r="AE107">
        <v>579.58600000000001</v>
      </c>
      <c r="AF107">
        <f>AE107</f>
        <v>579.58600000000001</v>
      </c>
      <c r="AG107">
        <f>AE107</f>
        <v>579.58600000000001</v>
      </c>
      <c r="AH107">
        <v>242.86</v>
      </c>
      <c r="AI107">
        <f>AH107</f>
        <v>242.86</v>
      </c>
      <c r="AJ107">
        <f>AH107</f>
        <v>242.86</v>
      </c>
    </row>
    <row r="108" spans="10:36" x14ac:dyDescent="0.2">
      <c r="J108">
        <v>2040</v>
      </c>
      <c r="K108" s="5">
        <f t="shared" si="13"/>
        <v>4573.208584481692</v>
      </c>
      <c r="L108" s="5">
        <f t="shared" si="8"/>
        <v>3423.208584481692</v>
      </c>
      <c r="M108" s="5">
        <v>0</v>
      </c>
      <c r="N108" s="5">
        <v>0</v>
      </c>
      <c r="Q108">
        <v>2019</v>
      </c>
      <c r="R108">
        <f>R107</f>
        <v>1276.2066835871699</v>
      </c>
      <c r="S108">
        <f>453.76+(S107-453.76)*0.5</f>
        <v>864.98334179358494</v>
      </c>
      <c r="T108">
        <f>453.76+(T107-453.76)*0.25</f>
        <v>659.37167089679247</v>
      </c>
      <c r="U108">
        <f>453.76+(U107-453.76)*0.75</f>
        <v>1070.5950126903774</v>
      </c>
      <c r="V108">
        <f t="shared" ref="V108:V129" si="14">453.76+$AI$107+(V107-$T$129-$AI$107)*0.5</f>
        <v>986.41334179356159</v>
      </c>
      <c r="W108">
        <f t="shared" ref="W108:W129" si="15">453.76+$AI$107+(W107-$T$129-$AI$107)*0.25</f>
        <v>841.51667089678085</v>
      </c>
      <c r="X108">
        <f t="shared" ref="X108:X129" si="16">453.76+$AI$107+(X107-$T$129-$AI$107)*0.75</f>
        <v>1131.3100126903423</v>
      </c>
      <c r="Y108">
        <f t="shared" ref="Y108:Y129" si="17">453.76+$AG$107+(Y107-$T$129-$AG$107)*0.5</f>
        <v>1154.7763417935616</v>
      </c>
      <c r="Z108">
        <f t="shared" ref="Z108:Z129" si="18">453.76+$AG$107+(Z107-$T$129-$AG$107)*0.25</f>
        <v>1094.0611708967808</v>
      </c>
      <c r="AA108">
        <f t="shared" ref="AA108:AA129" si="19">453.76+$AG$107+(AA107-$T$129-$AG$107)*0.75</f>
        <v>1215.4915126903425</v>
      </c>
      <c r="AB108">
        <v>1194.48</v>
      </c>
      <c r="AC108">
        <v>918.54000000000008</v>
      </c>
      <c r="AD108">
        <v>642.59999999999991</v>
      </c>
      <c r="AE108">
        <v>579.58600000000001</v>
      </c>
      <c r="AF108">
        <f>AF107*0.5</f>
        <v>289.79300000000001</v>
      </c>
      <c r="AG108">
        <f>AG107*0.25</f>
        <v>144.8965</v>
      </c>
      <c r="AH108">
        <f>AH107</f>
        <v>242.86</v>
      </c>
      <c r="AI108">
        <f>AI107*0.5</f>
        <v>121.43</v>
      </c>
      <c r="AJ108">
        <f>AJ107*0.25</f>
        <v>60.715000000000003</v>
      </c>
    </row>
    <row r="109" spans="10:36" x14ac:dyDescent="0.2">
      <c r="Q109">
        <v>2020</v>
      </c>
      <c r="R109">
        <f t="shared" ref="R109:R129" si="20">R108</f>
        <v>1276.2066835871699</v>
      </c>
      <c r="S109">
        <f t="shared" ref="S109:S129" si="21">453.76+(S108-453.76)*0.5</f>
        <v>659.37167089679247</v>
      </c>
      <c r="T109">
        <f t="shared" ref="T109:T129" si="22">453.76+(T108-453.76)*0.25</f>
        <v>505.16291772419811</v>
      </c>
      <c r="U109">
        <f t="shared" ref="U109:U129" si="23">453.76+(U108-453.76)*0.75</f>
        <v>916.38625951778306</v>
      </c>
      <c r="V109">
        <f t="shared" si="14"/>
        <v>841.51667089675743</v>
      </c>
      <c r="W109">
        <f t="shared" si="15"/>
        <v>732.84416772418354</v>
      </c>
      <c r="X109">
        <f t="shared" si="16"/>
        <v>1022.6375095177217</v>
      </c>
      <c r="Y109">
        <f t="shared" si="17"/>
        <v>1094.0611708967574</v>
      </c>
      <c r="Z109">
        <f t="shared" si="18"/>
        <v>1048.5247927241835</v>
      </c>
      <c r="AA109">
        <f t="shared" si="19"/>
        <v>1169.9551345177217</v>
      </c>
      <c r="AB109">
        <v>1126.44</v>
      </c>
      <c r="AC109">
        <v>805.14</v>
      </c>
      <c r="AD109">
        <v>483.84</v>
      </c>
      <c r="AE109">
        <v>579.58600000000001</v>
      </c>
      <c r="AF109">
        <f t="shared" ref="AF109:AF129" si="24">AF108*0.5</f>
        <v>144.8965</v>
      </c>
      <c r="AG109">
        <f t="shared" ref="AG109:AG129" si="25">AG108*0.25</f>
        <v>36.224125000000001</v>
      </c>
      <c r="AH109">
        <f t="shared" ref="AH109:AH129" si="26">AH108</f>
        <v>242.86</v>
      </c>
      <c r="AI109">
        <f t="shared" ref="AI109:AI129" si="27">AI108*0.5</f>
        <v>60.715000000000003</v>
      </c>
      <c r="AJ109">
        <f t="shared" ref="AJ109:AJ129" si="28">AJ108*0.25</f>
        <v>15.178750000000001</v>
      </c>
    </row>
    <row r="110" spans="10:36" x14ac:dyDescent="0.2">
      <c r="Q110">
        <v>2021</v>
      </c>
      <c r="R110">
        <f t="shared" si="20"/>
        <v>1276.2066835871699</v>
      </c>
      <c r="S110">
        <f t="shared" si="21"/>
        <v>556.56583544839623</v>
      </c>
      <c r="T110">
        <f t="shared" si="22"/>
        <v>466.61072943104955</v>
      </c>
      <c r="U110">
        <f t="shared" si="23"/>
        <v>800.72969463833726</v>
      </c>
      <c r="V110">
        <f t="shared" si="14"/>
        <v>769.06833544835536</v>
      </c>
      <c r="W110">
        <f t="shared" si="15"/>
        <v>705.67604193103421</v>
      </c>
      <c r="X110">
        <f t="shared" si="16"/>
        <v>941.1331321382562</v>
      </c>
      <c r="Y110">
        <f t="shared" si="17"/>
        <v>1063.7035854483554</v>
      </c>
      <c r="Z110">
        <f t="shared" si="18"/>
        <v>1037.1406981810342</v>
      </c>
      <c r="AA110">
        <f t="shared" si="19"/>
        <v>1135.8028508882562</v>
      </c>
      <c r="AB110">
        <v>1031.94</v>
      </c>
      <c r="AC110">
        <v>687.96</v>
      </c>
      <c r="AD110">
        <v>343.98</v>
      </c>
      <c r="AE110">
        <v>579.58600000000001</v>
      </c>
      <c r="AF110">
        <f t="shared" si="24"/>
        <v>72.448250000000002</v>
      </c>
      <c r="AG110">
        <f t="shared" si="25"/>
        <v>9.0560312500000002</v>
      </c>
      <c r="AH110">
        <f t="shared" si="26"/>
        <v>242.86</v>
      </c>
      <c r="AI110">
        <f t="shared" si="27"/>
        <v>30.357500000000002</v>
      </c>
      <c r="AJ110">
        <f t="shared" si="28"/>
        <v>3.7946875000000002</v>
      </c>
    </row>
    <row r="111" spans="10:36" x14ac:dyDescent="0.2">
      <c r="Q111">
        <v>2022</v>
      </c>
      <c r="R111">
        <f t="shared" si="20"/>
        <v>1276.2066835871699</v>
      </c>
      <c r="S111">
        <f t="shared" si="21"/>
        <v>505.16291772419811</v>
      </c>
      <c r="T111">
        <f t="shared" si="22"/>
        <v>456.97268235776238</v>
      </c>
      <c r="U111">
        <f t="shared" si="23"/>
        <v>713.98727097875292</v>
      </c>
      <c r="V111">
        <f t="shared" si="14"/>
        <v>732.84416772415432</v>
      </c>
      <c r="W111">
        <f t="shared" si="15"/>
        <v>698.88401048274682</v>
      </c>
      <c r="X111">
        <f t="shared" si="16"/>
        <v>880.00484910365708</v>
      </c>
      <c r="Y111">
        <f t="shared" si="17"/>
        <v>1048.5247927241544</v>
      </c>
      <c r="Z111">
        <f t="shared" si="18"/>
        <v>1034.2946745452468</v>
      </c>
      <c r="AA111">
        <f t="shared" si="19"/>
        <v>1110.188638166157</v>
      </c>
      <c r="AB111">
        <v>914.76</v>
      </c>
      <c r="AC111">
        <v>570.78</v>
      </c>
      <c r="AD111">
        <v>226.8</v>
      </c>
      <c r="AE111">
        <v>579.58600000000001</v>
      </c>
      <c r="AF111">
        <f t="shared" si="24"/>
        <v>36.224125000000001</v>
      </c>
      <c r="AG111">
        <f t="shared" si="25"/>
        <v>2.2640078125</v>
      </c>
      <c r="AH111">
        <f t="shared" si="26"/>
        <v>242.86</v>
      </c>
      <c r="AI111">
        <f t="shared" si="27"/>
        <v>15.178750000000001</v>
      </c>
      <c r="AJ111">
        <f t="shared" si="28"/>
        <v>0.94867187500000005</v>
      </c>
    </row>
    <row r="112" spans="10:36" x14ac:dyDescent="0.2">
      <c r="Q112">
        <v>2023</v>
      </c>
      <c r="R112">
        <f t="shared" si="20"/>
        <v>1276.2066835871699</v>
      </c>
      <c r="S112">
        <f t="shared" si="21"/>
        <v>479.46145886209905</v>
      </c>
      <c r="T112">
        <f t="shared" si="22"/>
        <v>454.56317058944057</v>
      </c>
      <c r="U112">
        <f t="shared" si="23"/>
        <v>648.93045323406466</v>
      </c>
      <c r="V112">
        <f t="shared" si="14"/>
        <v>714.73208386205374</v>
      </c>
      <c r="W112">
        <f t="shared" si="15"/>
        <v>697.18600262067503</v>
      </c>
      <c r="X112">
        <f t="shared" si="16"/>
        <v>834.15863682770782</v>
      </c>
      <c r="Y112">
        <f t="shared" si="17"/>
        <v>1040.9353963620538</v>
      </c>
      <c r="Z112">
        <f t="shared" si="18"/>
        <v>1033.5831686363001</v>
      </c>
      <c r="AA112">
        <f t="shared" si="19"/>
        <v>1090.9779786245826</v>
      </c>
      <c r="AB112">
        <v>771.12</v>
      </c>
      <c r="AC112">
        <v>453.6</v>
      </c>
      <c r="AD112">
        <v>136.08000000000001</v>
      </c>
      <c r="AE112">
        <v>579.58600000000001</v>
      </c>
      <c r="AF112">
        <f t="shared" si="24"/>
        <v>18.1120625</v>
      </c>
      <c r="AG112">
        <f t="shared" si="25"/>
        <v>0.56600195312500001</v>
      </c>
      <c r="AH112">
        <f t="shared" si="26"/>
        <v>242.86</v>
      </c>
      <c r="AI112">
        <f t="shared" si="27"/>
        <v>7.5893750000000004</v>
      </c>
      <c r="AJ112">
        <f t="shared" si="28"/>
        <v>0.23716796875000001</v>
      </c>
    </row>
    <row r="113" spans="17:36" x14ac:dyDescent="0.2">
      <c r="Q113">
        <v>2024</v>
      </c>
      <c r="R113">
        <f t="shared" si="20"/>
        <v>1276.2066835871699</v>
      </c>
      <c r="S113">
        <f t="shared" si="21"/>
        <v>466.61072943104955</v>
      </c>
      <c r="T113">
        <f t="shared" si="22"/>
        <v>453.96079264736011</v>
      </c>
      <c r="U113">
        <f t="shared" si="23"/>
        <v>600.13783992554852</v>
      </c>
      <c r="V113">
        <f t="shared" si="14"/>
        <v>705.67604193100351</v>
      </c>
      <c r="W113">
        <f t="shared" si="15"/>
        <v>696.76150065515708</v>
      </c>
      <c r="X113">
        <f t="shared" si="16"/>
        <v>799.77397762074588</v>
      </c>
      <c r="Y113">
        <f t="shared" si="17"/>
        <v>1037.1406981810035</v>
      </c>
      <c r="Z113">
        <f t="shared" si="18"/>
        <v>1033.4052921590633</v>
      </c>
      <c r="AA113">
        <f t="shared" si="19"/>
        <v>1076.5699839684019</v>
      </c>
      <c r="AB113">
        <v>604.79999999999995</v>
      </c>
      <c r="AC113">
        <v>336.42</v>
      </c>
      <c r="AD113">
        <v>68.040000000000006</v>
      </c>
      <c r="AE113">
        <v>579.58600000000001</v>
      </c>
      <c r="AF113">
        <f t="shared" si="24"/>
        <v>9.0560312500000002</v>
      </c>
      <c r="AG113">
        <f t="shared" si="25"/>
        <v>0.14150048828125</v>
      </c>
      <c r="AH113">
        <f t="shared" si="26"/>
        <v>242.86</v>
      </c>
      <c r="AI113">
        <f t="shared" si="27"/>
        <v>3.7946875000000002</v>
      </c>
      <c r="AJ113">
        <f t="shared" si="28"/>
        <v>5.9291992187500003E-2</v>
      </c>
    </row>
    <row r="114" spans="17:36" x14ac:dyDescent="0.2">
      <c r="Q114">
        <v>2025</v>
      </c>
      <c r="R114">
        <f t="shared" si="20"/>
        <v>1276.2066835871699</v>
      </c>
      <c r="S114">
        <f t="shared" si="21"/>
        <v>460.18536471552477</v>
      </c>
      <c r="T114">
        <f t="shared" si="22"/>
        <v>453.81019816184005</v>
      </c>
      <c r="U114">
        <f t="shared" si="23"/>
        <v>563.54337994416142</v>
      </c>
      <c r="V114">
        <f t="shared" si="14"/>
        <v>701.14802096547839</v>
      </c>
      <c r="W114">
        <f t="shared" si="15"/>
        <v>696.65537516377753</v>
      </c>
      <c r="X114">
        <f t="shared" si="16"/>
        <v>773.98548321552437</v>
      </c>
      <c r="Y114">
        <f t="shared" si="17"/>
        <v>1035.2433490904784</v>
      </c>
      <c r="Z114">
        <f t="shared" si="18"/>
        <v>1033.3608230397542</v>
      </c>
      <c r="AA114">
        <f t="shared" si="19"/>
        <v>1065.7639879762664</v>
      </c>
      <c r="AB114">
        <v>415.80000000000007</v>
      </c>
      <c r="AC114">
        <v>219.23999999999998</v>
      </c>
      <c r="AD114">
        <v>22.68</v>
      </c>
      <c r="AE114">
        <v>579.58600000000001</v>
      </c>
      <c r="AF114">
        <f t="shared" si="24"/>
        <v>4.5280156250000001</v>
      </c>
      <c r="AG114">
        <f t="shared" si="25"/>
        <v>3.5375122070312501E-2</v>
      </c>
      <c r="AH114">
        <f t="shared" si="26"/>
        <v>242.86</v>
      </c>
      <c r="AI114">
        <f t="shared" si="27"/>
        <v>1.8973437500000001</v>
      </c>
      <c r="AJ114">
        <f t="shared" si="28"/>
        <v>1.4822998046875001E-2</v>
      </c>
    </row>
    <row r="115" spans="17:36" x14ac:dyDescent="0.2">
      <c r="Q115">
        <v>2026</v>
      </c>
      <c r="R115">
        <f t="shared" si="20"/>
        <v>1276.2066835871699</v>
      </c>
      <c r="S115">
        <f t="shared" si="21"/>
        <v>456.97268235776238</v>
      </c>
      <c r="T115">
        <f t="shared" si="22"/>
        <v>453.77254954045998</v>
      </c>
      <c r="U115">
        <f t="shared" si="23"/>
        <v>536.09753495812106</v>
      </c>
      <c r="V115">
        <f t="shared" si="14"/>
        <v>698.88401048271589</v>
      </c>
      <c r="W115">
        <f t="shared" si="15"/>
        <v>696.62884379093271</v>
      </c>
      <c r="X115">
        <f t="shared" si="16"/>
        <v>754.64411241160826</v>
      </c>
      <c r="Y115">
        <f t="shared" si="17"/>
        <v>1034.2946745452159</v>
      </c>
      <c r="Z115">
        <f t="shared" si="18"/>
        <v>1033.3497057599268</v>
      </c>
      <c r="AA115">
        <f t="shared" si="19"/>
        <v>1057.6594909821647</v>
      </c>
      <c r="AB115">
        <v>204.12000000000003</v>
      </c>
      <c r="AC115">
        <v>102.06000000000002</v>
      </c>
      <c r="AD115">
        <v>0</v>
      </c>
      <c r="AE115">
        <v>579.58600000000001</v>
      </c>
      <c r="AF115">
        <f t="shared" si="24"/>
        <v>2.2640078125</v>
      </c>
      <c r="AG115">
        <f t="shared" si="25"/>
        <v>8.8437805175781252E-3</v>
      </c>
      <c r="AH115">
        <f t="shared" si="26"/>
        <v>242.86</v>
      </c>
      <c r="AI115">
        <f t="shared" si="27"/>
        <v>0.94867187500000005</v>
      </c>
      <c r="AJ115">
        <f t="shared" si="28"/>
        <v>3.7057495117187502E-3</v>
      </c>
    </row>
    <row r="116" spans="17:36" x14ac:dyDescent="0.2">
      <c r="Q116">
        <v>2027</v>
      </c>
      <c r="R116">
        <f t="shared" si="20"/>
        <v>1276.2066835871699</v>
      </c>
      <c r="S116">
        <f t="shared" si="21"/>
        <v>455.36634117888116</v>
      </c>
      <c r="T116">
        <f t="shared" si="22"/>
        <v>453.76313738511499</v>
      </c>
      <c r="U116">
        <f t="shared" si="23"/>
        <v>515.51315121859079</v>
      </c>
      <c r="V116">
        <f t="shared" si="14"/>
        <v>697.75200524133459</v>
      </c>
      <c r="W116">
        <f t="shared" si="15"/>
        <v>696.62221094772144</v>
      </c>
      <c r="X116">
        <f t="shared" si="16"/>
        <v>740.13808430867118</v>
      </c>
      <c r="Y116">
        <f t="shared" si="17"/>
        <v>1033.8203372725845</v>
      </c>
      <c r="Z116">
        <f t="shared" si="18"/>
        <v>1033.34692643997</v>
      </c>
      <c r="AA116">
        <f t="shared" si="19"/>
        <v>1051.5811182365885</v>
      </c>
      <c r="AB116">
        <v>102.06000000000002</v>
      </c>
      <c r="AC116">
        <v>0</v>
      </c>
      <c r="AD116">
        <v>0</v>
      </c>
      <c r="AE116">
        <v>579.58600000000001</v>
      </c>
      <c r="AF116">
        <f t="shared" si="24"/>
        <v>1.13200390625</v>
      </c>
      <c r="AG116">
        <f t="shared" si="25"/>
        <v>2.2109451293945313E-3</v>
      </c>
      <c r="AH116">
        <f t="shared" si="26"/>
        <v>242.86</v>
      </c>
      <c r="AI116">
        <f t="shared" si="27"/>
        <v>0.47433593750000003</v>
      </c>
      <c r="AJ116">
        <f t="shared" si="28"/>
        <v>9.2643737792968755E-4</v>
      </c>
    </row>
    <row r="117" spans="17:36" x14ac:dyDescent="0.2">
      <c r="Q117">
        <v>2028</v>
      </c>
      <c r="R117">
        <f t="shared" si="20"/>
        <v>1276.2066835871699</v>
      </c>
      <c r="S117">
        <f t="shared" si="21"/>
        <v>454.56317058944057</v>
      </c>
      <c r="T117">
        <f t="shared" si="22"/>
        <v>453.76078434627874</v>
      </c>
      <c r="U117">
        <f t="shared" si="23"/>
        <v>500.07486341394309</v>
      </c>
      <c r="V117">
        <f t="shared" si="14"/>
        <v>697.18600262064388</v>
      </c>
      <c r="W117">
        <f t="shared" si="15"/>
        <v>696.62055273691863</v>
      </c>
      <c r="X117">
        <f t="shared" si="16"/>
        <v>729.25856323146832</v>
      </c>
      <c r="Y117">
        <f t="shared" si="17"/>
        <v>1033.583168636269</v>
      </c>
      <c r="Z117">
        <f t="shared" si="18"/>
        <v>1033.3462316099808</v>
      </c>
      <c r="AA117">
        <f t="shared" si="19"/>
        <v>1047.0223386774064</v>
      </c>
      <c r="AB117">
        <v>102.06000000000002</v>
      </c>
      <c r="AC117">
        <v>0</v>
      </c>
      <c r="AD117">
        <v>0</v>
      </c>
      <c r="AE117">
        <v>579.58600000000001</v>
      </c>
      <c r="AF117">
        <f t="shared" si="24"/>
        <v>0.56600195312500001</v>
      </c>
      <c r="AG117">
        <f t="shared" si="25"/>
        <v>5.5273628234863282E-4</v>
      </c>
      <c r="AH117">
        <f t="shared" si="26"/>
        <v>242.86</v>
      </c>
      <c r="AI117">
        <f t="shared" si="27"/>
        <v>0.23716796875000001</v>
      </c>
      <c r="AJ117">
        <f t="shared" si="28"/>
        <v>2.3160934448242189E-4</v>
      </c>
    </row>
    <row r="118" spans="17:36" x14ac:dyDescent="0.2">
      <c r="Q118">
        <v>2029</v>
      </c>
      <c r="R118">
        <f t="shared" si="20"/>
        <v>1276.2066835871699</v>
      </c>
      <c r="S118">
        <f t="shared" si="21"/>
        <v>454.16158529472028</v>
      </c>
      <c r="T118">
        <f t="shared" si="22"/>
        <v>453.76019608656969</v>
      </c>
      <c r="U118">
        <f t="shared" si="23"/>
        <v>488.4961475604573</v>
      </c>
      <c r="V118">
        <f t="shared" si="14"/>
        <v>696.90300131029858</v>
      </c>
      <c r="W118">
        <f t="shared" si="15"/>
        <v>696.62013818421792</v>
      </c>
      <c r="X118">
        <f t="shared" si="16"/>
        <v>721.09892242356614</v>
      </c>
      <c r="Y118">
        <f t="shared" si="17"/>
        <v>1033.4645843181111</v>
      </c>
      <c r="Z118">
        <f t="shared" si="18"/>
        <v>1033.3460579024836</v>
      </c>
      <c r="AA118">
        <f t="shared" si="19"/>
        <v>1043.6032540080198</v>
      </c>
      <c r="AB118">
        <v>102.06000000000002</v>
      </c>
      <c r="AC118">
        <v>0</v>
      </c>
      <c r="AD118">
        <v>0</v>
      </c>
      <c r="AE118">
        <v>579.58600000000001</v>
      </c>
      <c r="AF118">
        <f t="shared" si="24"/>
        <v>0.28300097656250001</v>
      </c>
      <c r="AG118">
        <f t="shared" si="25"/>
        <v>1.3818407058715821E-4</v>
      </c>
      <c r="AH118">
        <f t="shared" si="26"/>
        <v>242.86</v>
      </c>
      <c r="AI118">
        <f t="shared" si="27"/>
        <v>0.11858398437500001</v>
      </c>
      <c r="AJ118">
        <f t="shared" si="28"/>
        <v>5.7902336120605472E-5</v>
      </c>
    </row>
    <row r="119" spans="17:36" x14ac:dyDescent="0.2">
      <c r="Q119">
        <v>2030</v>
      </c>
      <c r="R119">
        <f t="shared" si="20"/>
        <v>1276.2066835871699</v>
      </c>
      <c r="S119">
        <f t="shared" si="21"/>
        <v>453.96079264736011</v>
      </c>
      <c r="T119">
        <f t="shared" si="22"/>
        <v>453.76004902164243</v>
      </c>
      <c r="U119">
        <f t="shared" si="23"/>
        <v>479.81211067034297</v>
      </c>
      <c r="V119">
        <f t="shared" si="14"/>
        <v>696.76150065512593</v>
      </c>
      <c r="W119">
        <f t="shared" si="15"/>
        <v>696.6200345460428</v>
      </c>
      <c r="X119">
        <f t="shared" si="16"/>
        <v>714.9791918176395</v>
      </c>
      <c r="Y119">
        <f t="shared" si="17"/>
        <v>1033.4052921590321</v>
      </c>
      <c r="Z119">
        <f t="shared" si="18"/>
        <v>1033.3460144756093</v>
      </c>
      <c r="AA119">
        <f t="shared" si="19"/>
        <v>1041.0389405059798</v>
      </c>
      <c r="AB119">
        <v>102.06000000000002</v>
      </c>
      <c r="AC119">
        <v>0</v>
      </c>
      <c r="AD119">
        <v>0</v>
      </c>
      <c r="AE119">
        <v>579.58600000000001</v>
      </c>
      <c r="AF119">
        <f t="shared" si="24"/>
        <v>0.14150048828125</v>
      </c>
      <c r="AG119">
        <f t="shared" si="25"/>
        <v>3.4546017646789552E-5</v>
      </c>
      <c r="AH119">
        <f t="shared" si="26"/>
        <v>242.86</v>
      </c>
      <c r="AI119">
        <f t="shared" si="27"/>
        <v>5.9291992187500003E-2</v>
      </c>
      <c r="AJ119">
        <f t="shared" si="28"/>
        <v>1.4475584030151368E-5</v>
      </c>
    </row>
    <row r="120" spans="17:36" x14ac:dyDescent="0.2">
      <c r="Q120">
        <v>2031</v>
      </c>
      <c r="R120">
        <f t="shared" si="20"/>
        <v>1276.2066835871699</v>
      </c>
      <c r="S120">
        <f t="shared" si="21"/>
        <v>453.86039632368005</v>
      </c>
      <c r="T120">
        <f t="shared" si="22"/>
        <v>453.76001225541063</v>
      </c>
      <c r="U120">
        <f t="shared" si="23"/>
        <v>473.29908300275724</v>
      </c>
      <c r="V120">
        <f t="shared" si="14"/>
        <v>696.6907503275396</v>
      </c>
      <c r="W120">
        <f t="shared" si="15"/>
        <v>696.62000863649905</v>
      </c>
      <c r="X120">
        <f t="shared" si="16"/>
        <v>710.38939386319453</v>
      </c>
      <c r="Y120">
        <f t="shared" si="17"/>
        <v>1033.3756460794928</v>
      </c>
      <c r="Z120">
        <f t="shared" si="18"/>
        <v>1033.3460036188906</v>
      </c>
      <c r="AA120">
        <f t="shared" si="19"/>
        <v>1039.1157053794498</v>
      </c>
      <c r="AB120">
        <v>102.06000000000002</v>
      </c>
      <c r="AC120">
        <v>0</v>
      </c>
      <c r="AD120">
        <v>0</v>
      </c>
      <c r="AE120">
        <v>579.58600000000001</v>
      </c>
      <c r="AF120">
        <f t="shared" si="24"/>
        <v>7.0750244140625002E-2</v>
      </c>
      <c r="AG120">
        <f t="shared" si="25"/>
        <v>8.6365044116973879E-6</v>
      </c>
      <c r="AH120">
        <f t="shared" si="26"/>
        <v>242.86</v>
      </c>
      <c r="AI120">
        <f t="shared" si="27"/>
        <v>2.9645996093750002E-2</v>
      </c>
      <c r="AJ120">
        <f t="shared" si="28"/>
        <v>3.618896007537842E-6</v>
      </c>
    </row>
    <row r="121" spans="17:36" x14ac:dyDescent="0.2">
      <c r="Q121">
        <v>2032</v>
      </c>
      <c r="R121">
        <f t="shared" si="20"/>
        <v>1276.2066835871699</v>
      </c>
      <c r="S121">
        <f t="shared" si="21"/>
        <v>453.81019816184005</v>
      </c>
      <c r="T121">
        <f t="shared" si="22"/>
        <v>453.76000306385265</v>
      </c>
      <c r="U121">
        <f t="shared" si="23"/>
        <v>468.41431225206793</v>
      </c>
      <c r="V121">
        <f t="shared" si="14"/>
        <v>696.65537516374638</v>
      </c>
      <c r="W121">
        <f t="shared" si="15"/>
        <v>696.62000215911303</v>
      </c>
      <c r="X121">
        <f t="shared" si="16"/>
        <v>706.94704539736085</v>
      </c>
      <c r="Y121">
        <f t="shared" si="17"/>
        <v>1033.3608230397231</v>
      </c>
      <c r="Z121">
        <f t="shared" si="18"/>
        <v>1033.346000904711</v>
      </c>
      <c r="AA121">
        <f t="shared" si="19"/>
        <v>1037.6732790345523</v>
      </c>
      <c r="AB121">
        <v>102.06000000000002</v>
      </c>
      <c r="AC121">
        <v>0</v>
      </c>
      <c r="AD121">
        <v>0</v>
      </c>
      <c r="AE121">
        <v>579.58600000000001</v>
      </c>
      <c r="AF121">
        <f t="shared" si="24"/>
        <v>3.5375122070312501E-2</v>
      </c>
      <c r="AG121">
        <f t="shared" si="25"/>
        <v>2.159126102924347E-6</v>
      </c>
      <c r="AH121">
        <f t="shared" si="26"/>
        <v>242.86</v>
      </c>
      <c r="AI121">
        <f t="shared" si="27"/>
        <v>1.4822998046875001E-2</v>
      </c>
      <c r="AJ121">
        <f t="shared" si="28"/>
        <v>9.047240018844605E-7</v>
      </c>
    </row>
    <row r="122" spans="17:36" x14ac:dyDescent="0.2">
      <c r="Q122">
        <v>2033</v>
      </c>
      <c r="R122">
        <f t="shared" si="20"/>
        <v>1276.2066835871699</v>
      </c>
      <c r="S122">
        <f t="shared" si="21"/>
        <v>453.78509908092002</v>
      </c>
      <c r="T122">
        <f t="shared" si="22"/>
        <v>453.76000076596313</v>
      </c>
      <c r="U122">
        <f t="shared" si="23"/>
        <v>464.75073418905095</v>
      </c>
      <c r="V122">
        <f t="shared" si="14"/>
        <v>696.63768758184983</v>
      </c>
      <c r="W122">
        <f t="shared" si="15"/>
        <v>696.62000053976658</v>
      </c>
      <c r="X122">
        <f t="shared" si="16"/>
        <v>704.3652840479856</v>
      </c>
      <c r="Y122">
        <f t="shared" si="17"/>
        <v>1033.3534115198381</v>
      </c>
      <c r="Z122">
        <f t="shared" si="18"/>
        <v>1033.3460002261661</v>
      </c>
      <c r="AA122">
        <f t="shared" si="19"/>
        <v>1036.5914592758791</v>
      </c>
      <c r="AB122">
        <v>102.06000000000002</v>
      </c>
      <c r="AC122">
        <v>0</v>
      </c>
      <c r="AD122">
        <v>0</v>
      </c>
      <c r="AE122">
        <v>579.58600000000001</v>
      </c>
      <c r="AF122">
        <f t="shared" si="24"/>
        <v>1.768756103515625E-2</v>
      </c>
      <c r="AG122">
        <f t="shared" si="25"/>
        <v>5.3978152573108674E-7</v>
      </c>
      <c r="AH122">
        <f t="shared" si="26"/>
        <v>242.86</v>
      </c>
      <c r="AI122">
        <f t="shared" si="27"/>
        <v>7.4114990234375004E-3</v>
      </c>
      <c r="AJ122">
        <f t="shared" si="28"/>
        <v>2.2618100047111513E-7</v>
      </c>
    </row>
    <row r="123" spans="17:36" x14ac:dyDescent="0.2">
      <c r="Q123">
        <v>2034</v>
      </c>
      <c r="R123">
        <f t="shared" si="20"/>
        <v>1276.2066835871699</v>
      </c>
      <c r="S123">
        <f t="shared" si="21"/>
        <v>453.77254954045998</v>
      </c>
      <c r="T123">
        <f t="shared" si="22"/>
        <v>453.7600001914908</v>
      </c>
      <c r="U123">
        <f t="shared" si="23"/>
        <v>462.00305064178821</v>
      </c>
      <c r="V123">
        <f t="shared" si="14"/>
        <v>696.62884379090156</v>
      </c>
      <c r="W123">
        <f t="shared" si="15"/>
        <v>696.62000013493002</v>
      </c>
      <c r="X123">
        <f t="shared" si="16"/>
        <v>702.42896303595421</v>
      </c>
      <c r="Y123">
        <f t="shared" si="17"/>
        <v>1033.3497057598956</v>
      </c>
      <c r="Z123">
        <f t="shared" si="18"/>
        <v>1033.3460000565299</v>
      </c>
      <c r="AA123">
        <f t="shared" si="19"/>
        <v>1035.7800944568742</v>
      </c>
      <c r="AB123">
        <v>102.06000000000002</v>
      </c>
      <c r="AC123">
        <v>0</v>
      </c>
      <c r="AD123">
        <v>0</v>
      </c>
      <c r="AE123">
        <v>579.58600000000001</v>
      </c>
      <c r="AF123">
        <f t="shared" si="24"/>
        <v>8.8437805175781252E-3</v>
      </c>
      <c r="AG123">
        <f t="shared" si="25"/>
        <v>1.3494538143277169E-7</v>
      </c>
      <c r="AH123">
        <f t="shared" si="26"/>
        <v>242.86</v>
      </c>
      <c r="AI123">
        <f t="shared" si="27"/>
        <v>3.7057495117187502E-3</v>
      </c>
      <c r="AJ123">
        <f t="shared" si="28"/>
        <v>5.6545250117778781E-8</v>
      </c>
    </row>
    <row r="124" spans="17:36" x14ac:dyDescent="0.2">
      <c r="Q124">
        <v>2035</v>
      </c>
      <c r="R124">
        <f t="shared" si="20"/>
        <v>1276.2066835871699</v>
      </c>
      <c r="S124">
        <f t="shared" si="21"/>
        <v>453.76627477022998</v>
      </c>
      <c r="T124">
        <f t="shared" si="22"/>
        <v>453.76000004787272</v>
      </c>
      <c r="U124">
        <f t="shared" si="23"/>
        <v>459.94228798134117</v>
      </c>
      <c r="V124">
        <f t="shared" si="14"/>
        <v>696.62442189542742</v>
      </c>
      <c r="W124">
        <f t="shared" si="15"/>
        <v>696.62000003372077</v>
      </c>
      <c r="X124">
        <f t="shared" si="16"/>
        <v>700.97672227693056</v>
      </c>
      <c r="Y124">
        <f t="shared" si="17"/>
        <v>1033.3478528799244</v>
      </c>
      <c r="Z124">
        <f t="shared" si="18"/>
        <v>1033.3460000141208</v>
      </c>
      <c r="AA124">
        <f t="shared" si="19"/>
        <v>1035.1715708426207</v>
      </c>
      <c r="AB124">
        <v>102.06000000000002</v>
      </c>
      <c r="AC124">
        <v>0</v>
      </c>
      <c r="AD124">
        <v>0</v>
      </c>
      <c r="AE124">
        <v>579.58600000000001</v>
      </c>
      <c r="AF124">
        <f t="shared" si="24"/>
        <v>4.4218902587890626E-3</v>
      </c>
      <c r="AG124">
        <f t="shared" si="25"/>
        <v>3.3736345358192921E-8</v>
      </c>
      <c r="AH124">
        <f t="shared" si="26"/>
        <v>242.86</v>
      </c>
      <c r="AI124">
        <f t="shared" si="27"/>
        <v>1.8528747558593751E-3</v>
      </c>
      <c r="AJ124">
        <f t="shared" si="28"/>
        <v>1.4136312529444695E-8</v>
      </c>
    </row>
    <row r="125" spans="17:36" x14ac:dyDescent="0.2">
      <c r="Q125">
        <v>2036</v>
      </c>
      <c r="R125">
        <f t="shared" si="20"/>
        <v>1276.2066835871699</v>
      </c>
      <c r="S125">
        <f t="shared" si="21"/>
        <v>453.76313738511499</v>
      </c>
      <c r="T125">
        <f t="shared" si="22"/>
        <v>453.76000001196815</v>
      </c>
      <c r="U125">
        <f t="shared" si="23"/>
        <v>458.39671598600586</v>
      </c>
      <c r="V125">
        <f t="shared" si="14"/>
        <v>696.62221094769029</v>
      </c>
      <c r="W125">
        <f t="shared" si="15"/>
        <v>696.62000000841851</v>
      </c>
      <c r="X125">
        <f t="shared" si="16"/>
        <v>699.88754170766288</v>
      </c>
      <c r="Y125">
        <f t="shared" si="17"/>
        <v>1033.3469264399389</v>
      </c>
      <c r="Z125">
        <f t="shared" si="18"/>
        <v>1033.3460000035186</v>
      </c>
      <c r="AA125">
        <f t="shared" si="19"/>
        <v>1034.7151781319305</v>
      </c>
      <c r="AB125">
        <v>102.06000000000002</v>
      </c>
      <c r="AC125">
        <v>0</v>
      </c>
      <c r="AD125">
        <v>0</v>
      </c>
      <c r="AE125">
        <v>579.58600000000001</v>
      </c>
      <c r="AF125">
        <f t="shared" si="24"/>
        <v>2.2109451293945313E-3</v>
      </c>
      <c r="AG125">
        <f t="shared" si="25"/>
        <v>8.4340863395482304E-9</v>
      </c>
      <c r="AH125">
        <f t="shared" si="26"/>
        <v>242.86</v>
      </c>
      <c r="AI125">
        <f t="shared" si="27"/>
        <v>9.2643737792968755E-4</v>
      </c>
      <c r="AJ125">
        <f t="shared" si="28"/>
        <v>3.5340781323611738E-9</v>
      </c>
    </row>
    <row r="126" spans="17:36" x14ac:dyDescent="0.2">
      <c r="Q126">
        <v>2037</v>
      </c>
      <c r="R126">
        <f t="shared" si="20"/>
        <v>1276.2066835871699</v>
      </c>
      <c r="S126">
        <f t="shared" si="21"/>
        <v>453.76156869255749</v>
      </c>
      <c r="T126">
        <f t="shared" si="22"/>
        <v>453.760000002992</v>
      </c>
      <c r="U126">
        <f t="shared" si="23"/>
        <v>457.23753698950441</v>
      </c>
      <c r="V126">
        <f t="shared" si="14"/>
        <v>696.62110547382179</v>
      </c>
      <c r="W126">
        <f t="shared" si="15"/>
        <v>696.62000000209298</v>
      </c>
      <c r="X126">
        <f t="shared" si="16"/>
        <v>699.07065628071211</v>
      </c>
      <c r="Y126">
        <f t="shared" si="17"/>
        <v>1033.3464632199461</v>
      </c>
      <c r="Z126">
        <f t="shared" si="18"/>
        <v>1033.3460000008679</v>
      </c>
      <c r="AA126">
        <f t="shared" si="19"/>
        <v>1034.3728835989129</v>
      </c>
      <c r="AB126">
        <v>102.06000000000002</v>
      </c>
      <c r="AC126">
        <v>0</v>
      </c>
      <c r="AD126">
        <v>0</v>
      </c>
      <c r="AE126">
        <v>579.58600000000001</v>
      </c>
      <c r="AF126">
        <f t="shared" si="24"/>
        <v>1.1054725646972656E-3</v>
      </c>
      <c r="AG126">
        <f t="shared" si="25"/>
        <v>2.1085215848870576E-9</v>
      </c>
      <c r="AH126">
        <f t="shared" si="26"/>
        <v>242.86</v>
      </c>
      <c r="AI126">
        <f t="shared" si="27"/>
        <v>4.6321868896484378E-4</v>
      </c>
      <c r="AJ126">
        <f t="shared" si="28"/>
        <v>8.8351953309029346E-10</v>
      </c>
    </row>
    <row r="127" spans="17:36" x14ac:dyDescent="0.2">
      <c r="Q127">
        <v>2038</v>
      </c>
      <c r="R127">
        <f t="shared" si="20"/>
        <v>1276.2066835871699</v>
      </c>
      <c r="S127">
        <f t="shared" si="21"/>
        <v>453.76078434627874</v>
      </c>
      <c r="T127">
        <f t="shared" si="22"/>
        <v>453.76000000074799</v>
      </c>
      <c r="U127">
        <f t="shared" si="23"/>
        <v>456.3681527421283</v>
      </c>
      <c r="V127">
        <f t="shared" si="14"/>
        <v>696.62055273688748</v>
      </c>
      <c r="W127">
        <f t="shared" si="15"/>
        <v>696.6200000005116</v>
      </c>
      <c r="X127">
        <f t="shared" si="16"/>
        <v>698.45799221049901</v>
      </c>
      <c r="Y127">
        <f t="shared" si="17"/>
        <v>1033.3462316099497</v>
      </c>
      <c r="Z127">
        <f t="shared" si="18"/>
        <v>1033.3460000002053</v>
      </c>
      <c r="AA127">
        <f t="shared" si="19"/>
        <v>1034.1161626991498</v>
      </c>
      <c r="AB127">
        <v>102.06000000000002</v>
      </c>
      <c r="AC127">
        <v>0</v>
      </c>
      <c r="AD127">
        <v>0</v>
      </c>
      <c r="AE127">
        <v>579.58600000000001</v>
      </c>
      <c r="AF127">
        <f t="shared" si="24"/>
        <v>5.5273628234863282E-4</v>
      </c>
      <c r="AG127">
        <f t="shared" si="25"/>
        <v>5.271303962217644E-10</v>
      </c>
      <c r="AH127">
        <f t="shared" si="26"/>
        <v>242.86</v>
      </c>
      <c r="AI127">
        <f t="shared" si="27"/>
        <v>2.3160934448242189E-4</v>
      </c>
      <c r="AJ127">
        <f t="shared" si="28"/>
        <v>2.2087988327257336E-10</v>
      </c>
    </row>
    <row r="128" spans="17:36" x14ac:dyDescent="0.2">
      <c r="Q128">
        <v>2039</v>
      </c>
      <c r="R128">
        <f t="shared" si="20"/>
        <v>1276.2066835871699</v>
      </c>
      <c r="S128">
        <f t="shared" si="21"/>
        <v>453.76039217313939</v>
      </c>
      <c r="T128">
        <f t="shared" si="22"/>
        <v>453.76000000018701</v>
      </c>
      <c r="U128">
        <f t="shared" si="23"/>
        <v>455.71611455659621</v>
      </c>
      <c r="V128">
        <f t="shared" si="14"/>
        <v>696.62027636842038</v>
      </c>
      <c r="W128">
        <f t="shared" si="15"/>
        <v>696.62000000011619</v>
      </c>
      <c r="X128">
        <f t="shared" si="16"/>
        <v>697.99849415783922</v>
      </c>
      <c r="Y128">
        <f t="shared" si="17"/>
        <v>1033.3461158049515</v>
      </c>
      <c r="Z128">
        <f t="shared" si="18"/>
        <v>1033.3460000000396</v>
      </c>
      <c r="AA128">
        <f t="shared" si="19"/>
        <v>1033.9236220243272</v>
      </c>
      <c r="AB128">
        <v>102.06000000000002</v>
      </c>
      <c r="AC128">
        <v>0</v>
      </c>
      <c r="AD128">
        <v>0</v>
      </c>
      <c r="AE128">
        <v>579.58600000000001</v>
      </c>
      <c r="AF128">
        <f t="shared" si="24"/>
        <v>2.7636814117431641E-4</v>
      </c>
      <c r="AG128">
        <f t="shared" si="25"/>
        <v>1.317825990554411E-10</v>
      </c>
      <c r="AH128">
        <f t="shared" si="26"/>
        <v>242.86</v>
      </c>
      <c r="AI128">
        <f t="shared" si="27"/>
        <v>1.1580467224121094E-4</v>
      </c>
      <c r="AJ128">
        <f t="shared" si="28"/>
        <v>5.5219970818143341E-11</v>
      </c>
    </row>
    <row r="129" spans="17:36" x14ac:dyDescent="0.2">
      <c r="Q129">
        <v>2040</v>
      </c>
      <c r="R129">
        <f t="shared" si="20"/>
        <v>1276.2066835871699</v>
      </c>
      <c r="S129">
        <f t="shared" si="21"/>
        <v>453.76019608656969</v>
      </c>
      <c r="T129">
        <f t="shared" si="22"/>
        <v>453.76000000004672</v>
      </c>
      <c r="U129">
        <f t="shared" si="23"/>
        <v>455.22708591744714</v>
      </c>
      <c r="V129">
        <f t="shared" si="14"/>
        <v>696.62013818418677</v>
      </c>
      <c r="W129">
        <f t="shared" si="15"/>
        <v>696.6200000000174</v>
      </c>
      <c r="X129">
        <f t="shared" si="16"/>
        <v>697.6538706183444</v>
      </c>
      <c r="Y129">
        <f t="shared" si="17"/>
        <v>1033.3460579024525</v>
      </c>
      <c r="Z129">
        <f t="shared" si="18"/>
        <v>1033.3459999999982</v>
      </c>
      <c r="AA129">
        <f t="shared" si="19"/>
        <v>1033.7792165182104</v>
      </c>
      <c r="AB129">
        <v>102.06000000000002</v>
      </c>
      <c r="AC129">
        <v>0</v>
      </c>
      <c r="AD129">
        <v>0</v>
      </c>
      <c r="AE129">
        <v>579.58600000000001</v>
      </c>
      <c r="AF129">
        <f t="shared" si="24"/>
        <v>1.3818407058715821E-4</v>
      </c>
      <c r="AG129">
        <f t="shared" si="25"/>
        <v>3.2945649763860275E-11</v>
      </c>
      <c r="AH129">
        <f t="shared" si="26"/>
        <v>242.86</v>
      </c>
      <c r="AI129">
        <f t="shared" si="27"/>
        <v>5.7902336120605472E-5</v>
      </c>
      <c r="AJ129">
        <f t="shared" si="28"/>
        <v>1.3804992704535835E-11</v>
      </c>
    </row>
  </sheetData>
  <pageMargins left="0.7" right="0.7" top="0.75" bottom="0.75" header="0.3" footer="0.3"/>
  <pageSetup orientation="portrait" r:id="rId1"/>
  <drawing r:id="rId2"/>
  <legacyDrawing r:id="rId3"/>
  <tableParts count="2">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9A4BD-2403-4E58-83FD-D754A00B00E1}">
  <dimension ref="A1:PT251"/>
  <sheetViews>
    <sheetView workbookViewId="0">
      <selection activeCell="P6" sqref="P6"/>
    </sheetView>
  </sheetViews>
  <sheetFormatPr baseColWidth="10" defaultColWidth="8.83203125" defaultRowHeight="15" x14ac:dyDescent="0.2"/>
  <cols>
    <col min="2" max="2" width="9.1640625" customWidth="1"/>
    <col min="3" max="3" width="10.33203125" customWidth="1"/>
    <col min="4" max="4" width="11.1640625" customWidth="1"/>
    <col min="5" max="5" width="10" customWidth="1"/>
    <col min="6" max="6" width="13" customWidth="1"/>
    <col min="7" max="7" width="6.83203125" customWidth="1"/>
    <col min="8" max="8" width="14.83203125" customWidth="1"/>
    <col min="12" max="12" width="9.1640625" customWidth="1"/>
    <col min="13" max="13" width="11.33203125" customWidth="1"/>
    <col min="14" max="14" width="12.83203125" customWidth="1"/>
    <col min="15" max="15" width="14.83203125" customWidth="1"/>
    <col min="16" max="16" width="17" customWidth="1"/>
    <col min="17" max="17" width="13.33203125" customWidth="1"/>
    <col min="18" max="23" width="10.1640625" customWidth="1"/>
    <col min="24" max="113" width="11.1640625" customWidth="1"/>
    <col min="114" max="436" width="12.1640625" customWidth="1"/>
  </cols>
  <sheetData>
    <row r="1" spans="1:436" x14ac:dyDescent="0.2">
      <c r="A1" t="s">
        <v>84</v>
      </c>
      <c r="B1" t="s">
        <v>92</v>
      </c>
      <c r="C1" s="7" t="s">
        <v>93</v>
      </c>
      <c r="D1" t="s">
        <v>94</v>
      </c>
      <c r="E1" t="s">
        <v>90</v>
      </c>
      <c r="F1" t="s">
        <v>95</v>
      </c>
      <c r="G1" s="7" t="s">
        <v>91</v>
      </c>
      <c r="H1" s="7" t="s">
        <v>96</v>
      </c>
      <c r="I1" t="s">
        <v>100</v>
      </c>
      <c r="J1" t="s">
        <v>104</v>
      </c>
      <c r="K1" t="s">
        <v>88</v>
      </c>
      <c r="L1" t="s">
        <v>89</v>
      </c>
      <c r="M1" t="s">
        <v>87</v>
      </c>
      <c r="N1" s="7" t="s">
        <v>101</v>
      </c>
      <c r="O1" s="7" t="s">
        <v>102</v>
      </c>
      <c r="P1" s="7" t="s">
        <v>103</v>
      </c>
      <c r="Q1" t="s">
        <v>520</v>
      </c>
      <c r="R1" t="s">
        <v>519</v>
      </c>
      <c r="S1" t="s">
        <v>518</v>
      </c>
      <c r="T1" t="s">
        <v>521</v>
      </c>
      <c r="U1" t="s">
        <v>522</v>
      </c>
      <c r="V1" t="s">
        <v>523</v>
      </c>
      <c r="W1" t="s">
        <v>524</v>
      </c>
      <c r="X1" t="s">
        <v>105</v>
      </c>
      <c r="Y1" t="s">
        <v>106</v>
      </c>
      <c r="Z1" t="s">
        <v>107</v>
      </c>
      <c r="AA1" t="s">
        <v>108</v>
      </c>
      <c r="AB1" t="s">
        <v>109</v>
      </c>
      <c r="AC1" t="s">
        <v>110</v>
      </c>
      <c r="AD1" t="s">
        <v>111</v>
      </c>
      <c r="AE1" t="s">
        <v>112</v>
      </c>
      <c r="AF1" t="s">
        <v>113</v>
      </c>
      <c r="AG1" t="s">
        <v>114</v>
      </c>
      <c r="AH1" t="s">
        <v>115</v>
      </c>
      <c r="AI1" t="s">
        <v>116</v>
      </c>
      <c r="AJ1" t="s">
        <v>117</v>
      </c>
      <c r="AK1" t="s">
        <v>118</v>
      </c>
      <c r="AL1" t="s">
        <v>119</v>
      </c>
      <c r="AM1" t="s">
        <v>120</v>
      </c>
      <c r="AN1" t="s">
        <v>121</v>
      </c>
      <c r="AO1" t="s">
        <v>122</v>
      </c>
      <c r="AP1" t="s">
        <v>123</v>
      </c>
      <c r="AQ1" t="s">
        <v>124</v>
      </c>
      <c r="AR1" t="s">
        <v>125</v>
      </c>
      <c r="AS1" t="s">
        <v>126</v>
      </c>
      <c r="AT1" t="s">
        <v>127</v>
      </c>
      <c r="AU1" t="s">
        <v>128</v>
      </c>
      <c r="AV1" t="s">
        <v>129</v>
      </c>
      <c r="AW1" t="s">
        <v>130</v>
      </c>
      <c r="AX1" t="s">
        <v>131</v>
      </c>
      <c r="AY1" t="s">
        <v>132</v>
      </c>
      <c r="AZ1" t="s">
        <v>133</v>
      </c>
      <c r="BA1" t="s">
        <v>134</v>
      </c>
      <c r="BB1" t="s">
        <v>135</v>
      </c>
      <c r="BC1" t="s">
        <v>136</v>
      </c>
      <c r="BD1" t="s">
        <v>137</v>
      </c>
      <c r="BE1" t="s">
        <v>138</v>
      </c>
      <c r="BF1" t="s">
        <v>139</v>
      </c>
      <c r="BG1" t="s">
        <v>140</v>
      </c>
      <c r="BH1" t="s">
        <v>141</v>
      </c>
      <c r="BI1" t="s">
        <v>142</v>
      </c>
      <c r="BJ1" t="s">
        <v>143</v>
      </c>
      <c r="BK1" t="s">
        <v>144</v>
      </c>
      <c r="BL1" t="s">
        <v>145</v>
      </c>
      <c r="BM1" t="s">
        <v>146</v>
      </c>
      <c r="BN1" t="s">
        <v>147</v>
      </c>
      <c r="BO1" t="s">
        <v>148</v>
      </c>
      <c r="BP1" t="s">
        <v>149</v>
      </c>
      <c r="BQ1" t="s">
        <v>150</v>
      </c>
      <c r="BR1" t="s">
        <v>151</v>
      </c>
      <c r="BS1" t="s">
        <v>152</v>
      </c>
      <c r="BT1" t="s">
        <v>153</v>
      </c>
      <c r="BU1" t="s">
        <v>154</v>
      </c>
      <c r="BV1" t="s">
        <v>155</v>
      </c>
      <c r="BW1" t="s">
        <v>156</v>
      </c>
      <c r="BX1" t="s">
        <v>157</v>
      </c>
      <c r="BY1" t="s">
        <v>158</v>
      </c>
      <c r="BZ1" t="s">
        <v>159</v>
      </c>
      <c r="CA1" t="s">
        <v>160</v>
      </c>
      <c r="CB1" t="s">
        <v>161</v>
      </c>
      <c r="CC1" t="s">
        <v>162</v>
      </c>
      <c r="CD1" t="s">
        <v>163</v>
      </c>
      <c r="CE1" t="s">
        <v>164</v>
      </c>
      <c r="CF1" t="s">
        <v>165</v>
      </c>
      <c r="CG1" t="s">
        <v>166</v>
      </c>
      <c r="CH1" t="s">
        <v>167</v>
      </c>
      <c r="CI1" t="s">
        <v>168</v>
      </c>
      <c r="CJ1" t="s">
        <v>169</v>
      </c>
      <c r="CK1" t="s">
        <v>170</v>
      </c>
      <c r="CL1" t="s">
        <v>171</v>
      </c>
      <c r="CM1" t="s">
        <v>172</v>
      </c>
      <c r="CN1" t="s">
        <v>173</v>
      </c>
      <c r="CO1" t="s">
        <v>174</v>
      </c>
      <c r="CP1" t="s">
        <v>175</v>
      </c>
      <c r="CQ1" t="s">
        <v>176</v>
      </c>
      <c r="CR1" t="s">
        <v>177</v>
      </c>
      <c r="CS1" t="s">
        <v>178</v>
      </c>
      <c r="CT1" t="s">
        <v>179</v>
      </c>
      <c r="CU1" t="s">
        <v>180</v>
      </c>
      <c r="CV1" t="s">
        <v>181</v>
      </c>
      <c r="CW1" t="s">
        <v>182</v>
      </c>
      <c r="CX1" t="s">
        <v>183</v>
      </c>
      <c r="CY1" t="s">
        <v>184</v>
      </c>
      <c r="CZ1" t="s">
        <v>185</v>
      </c>
      <c r="DA1" t="s">
        <v>186</v>
      </c>
      <c r="DB1" t="s">
        <v>187</v>
      </c>
      <c r="DC1" t="s">
        <v>188</v>
      </c>
      <c r="DD1" t="s">
        <v>189</v>
      </c>
      <c r="DE1" t="s">
        <v>190</v>
      </c>
      <c r="DF1" t="s">
        <v>191</v>
      </c>
      <c r="DG1" t="s">
        <v>192</v>
      </c>
      <c r="DH1" t="s">
        <v>193</v>
      </c>
      <c r="DI1" t="s">
        <v>194</v>
      </c>
      <c r="DJ1" t="s">
        <v>195</v>
      </c>
      <c r="DK1" t="s">
        <v>196</v>
      </c>
      <c r="DL1" t="s">
        <v>197</v>
      </c>
      <c r="DM1" t="s">
        <v>198</v>
      </c>
      <c r="DN1" t="s">
        <v>199</v>
      </c>
      <c r="DO1" t="s">
        <v>200</v>
      </c>
      <c r="DP1" t="s">
        <v>201</v>
      </c>
      <c r="DQ1" t="s">
        <v>202</v>
      </c>
      <c r="DR1" t="s">
        <v>203</v>
      </c>
      <c r="DS1" t="s">
        <v>204</v>
      </c>
      <c r="DT1" t="s">
        <v>205</v>
      </c>
      <c r="DU1" t="s">
        <v>206</v>
      </c>
      <c r="DV1" t="s">
        <v>207</v>
      </c>
      <c r="DW1" t="s">
        <v>208</v>
      </c>
      <c r="DX1" t="s">
        <v>209</v>
      </c>
      <c r="DY1" t="s">
        <v>210</v>
      </c>
      <c r="DZ1" t="s">
        <v>211</v>
      </c>
      <c r="EA1" t="s">
        <v>212</v>
      </c>
      <c r="EB1" t="s">
        <v>213</v>
      </c>
      <c r="EC1" t="s">
        <v>214</v>
      </c>
      <c r="ED1" t="s">
        <v>215</v>
      </c>
      <c r="EE1" t="s">
        <v>216</v>
      </c>
      <c r="EF1" t="s">
        <v>217</v>
      </c>
      <c r="EG1" t="s">
        <v>218</v>
      </c>
      <c r="EH1" t="s">
        <v>219</v>
      </c>
      <c r="EI1" t="s">
        <v>220</v>
      </c>
      <c r="EJ1" t="s">
        <v>221</v>
      </c>
      <c r="EK1" t="s">
        <v>222</v>
      </c>
      <c r="EL1" t="s">
        <v>223</v>
      </c>
      <c r="EM1" t="s">
        <v>224</v>
      </c>
      <c r="EN1" t="s">
        <v>225</v>
      </c>
      <c r="EO1" t="s">
        <v>226</v>
      </c>
      <c r="EP1" t="s">
        <v>227</v>
      </c>
      <c r="EQ1" t="s">
        <v>228</v>
      </c>
      <c r="ER1" t="s">
        <v>229</v>
      </c>
      <c r="ES1" t="s">
        <v>230</v>
      </c>
      <c r="ET1" t="s">
        <v>231</v>
      </c>
      <c r="EU1" t="s">
        <v>232</v>
      </c>
      <c r="EV1" t="s">
        <v>233</v>
      </c>
      <c r="EW1" t="s">
        <v>234</v>
      </c>
      <c r="EX1" t="s">
        <v>235</v>
      </c>
      <c r="EY1" t="s">
        <v>236</v>
      </c>
      <c r="EZ1" t="s">
        <v>237</v>
      </c>
      <c r="FA1" t="s">
        <v>238</v>
      </c>
      <c r="FB1" t="s">
        <v>239</v>
      </c>
      <c r="FC1" t="s">
        <v>240</v>
      </c>
      <c r="FD1" t="s">
        <v>241</v>
      </c>
      <c r="FE1" t="s">
        <v>242</v>
      </c>
      <c r="FF1" t="s">
        <v>243</v>
      </c>
      <c r="FG1" t="s">
        <v>244</v>
      </c>
      <c r="FH1" t="s">
        <v>245</v>
      </c>
      <c r="FI1" t="s">
        <v>246</v>
      </c>
      <c r="FJ1" t="s">
        <v>247</v>
      </c>
      <c r="FK1" t="s">
        <v>248</v>
      </c>
      <c r="FL1" t="s">
        <v>249</v>
      </c>
      <c r="FM1" t="s">
        <v>250</v>
      </c>
      <c r="FN1" t="s">
        <v>251</v>
      </c>
      <c r="FO1" t="s">
        <v>252</v>
      </c>
      <c r="FP1" t="s">
        <v>253</v>
      </c>
      <c r="FQ1" t="s">
        <v>254</v>
      </c>
      <c r="FR1" t="s">
        <v>255</v>
      </c>
      <c r="FS1" t="s">
        <v>256</v>
      </c>
      <c r="FT1" t="s">
        <v>257</v>
      </c>
      <c r="FU1" t="s">
        <v>258</v>
      </c>
      <c r="FV1" t="s">
        <v>259</v>
      </c>
      <c r="FW1" t="s">
        <v>260</v>
      </c>
      <c r="FX1" t="s">
        <v>261</v>
      </c>
      <c r="FY1" t="s">
        <v>262</v>
      </c>
      <c r="FZ1" t="s">
        <v>263</v>
      </c>
      <c r="GA1" t="s">
        <v>264</v>
      </c>
      <c r="GB1" t="s">
        <v>265</v>
      </c>
      <c r="GC1" t="s">
        <v>266</v>
      </c>
      <c r="GD1" t="s">
        <v>267</v>
      </c>
      <c r="GE1" t="s">
        <v>268</v>
      </c>
      <c r="GF1" t="s">
        <v>269</v>
      </c>
      <c r="GG1" t="s">
        <v>270</v>
      </c>
      <c r="GH1" t="s">
        <v>271</v>
      </c>
      <c r="GI1" t="s">
        <v>272</v>
      </c>
      <c r="GJ1" t="s">
        <v>273</v>
      </c>
      <c r="GK1" t="s">
        <v>274</v>
      </c>
      <c r="GL1" t="s">
        <v>275</v>
      </c>
      <c r="GM1" t="s">
        <v>276</v>
      </c>
      <c r="GN1" t="s">
        <v>277</v>
      </c>
      <c r="GO1" t="s">
        <v>278</v>
      </c>
      <c r="GP1" t="s">
        <v>279</v>
      </c>
      <c r="GQ1" t="s">
        <v>280</v>
      </c>
      <c r="GR1" t="s">
        <v>281</v>
      </c>
      <c r="GS1" t="s">
        <v>282</v>
      </c>
      <c r="GT1" t="s">
        <v>283</v>
      </c>
      <c r="GU1" t="s">
        <v>284</v>
      </c>
      <c r="GV1" t="s">
        <v>285</v>
      </c>
      <c r="GW1" t="s">
        <v>286</v>
      </c>
      <c r="GX1" t="s">
        <v>287</v>
      </c>
      <c r="GY1" t="s">
        <v>288</v>
      </c>
      <c r="GZ1" t="s">
        <v>289</v>
      </c>
      <c r="HA1" t="s">
        <v>290</v>
      </c>
      <c r="HB1" t="s">
        <v>291</v>
      </c>
      <c r="HC1" t="s">
        <v>292</v>
      </c>
      <c r="HD1" t="s">
        <v>293</v>
      </c>
      <c r="HE1" t="s">
        <v>294</v>
      </c>
      <c r="HF1" t="s">
        <v>295</v>
      </c>
      <c r="HG1" t="s">
        <v>296</v>
      </c>
      <c r="HH1" t="s">
        <v>297</v>
      </c>
      <c r="HI1" t="s">
        <v>298</v>
      </c>
      <c r="HJ1" t="s">
        <v>299</v>
      </c>
      <c r="HK1" t="s">
        <v>300</v>
      </c>
      <c r="HL1" t="s">
        <v>301</v>
      </c>
      <c r="HM1" t="s">
        <v>302</v>
      </c>
      <c r="HN1" t="s">
        <v>303</v>
      </c>
      <c r="HO1" t="s">
        <v>304</v>
      </c>
      <c r="HP1" t="s">
        <v>305</v>
      </c>
      <c r="HQ1" t="s">
        <v>306</v>
      </c>
      <c r="HR1" t="s">
        <v>307</v>
      </c>
      <c r="HS1" t="s">
        <v>308</v>
      </c>
      <c r="HT1" t="s">
        <v>309</v>
      </c>
      <c r="HU1" t="s">
        <v>310</v>
      </c>
      <c r="HV1" t="s">
        <v>311</v>
      </c>
      <c r="HW1" t="s">
        <v>312</v>
      </c>
      <c r="HX1" t="s">
        <v>313</v>
      </c>
      <c r="HY1" t="s">
        <v>314</v>
      </c>
      <c r="HZ1" t="s">
        <v>315</v>
      </c>
      <c r="IA1" t="s">
        <v>316</v>
      </c>
      <c r="IB1" t="s">
        <v>317</v>
      </c>
      <c r="IC1" t="s">
        <v>318</v>
      </c>
      <c r="ID1" t="s">
        <v>319</v>
      </c>
      <c r="IE1" t="s">
        <v>320</v>
      </c>
      <c r="IF1" t="s">
        <v>321</v>
      </c>
      <c r="IG1" t="s">
        <v>322</v>
      </c>
      <c r="IH1" t="s">
        <v>323</v>
      </c>
      <c r="II1" t="s">
        <v>324</v>
      </c>
      <c r="IJ1" t="s">
        <v>325</v>
      </c>
      <c r="IK1" t="s">
        <v>326</v>
      </c>
      <c r="IL1" t="s">
        <v>327</v>
      </c>
      <c r="IM1" t="s">
        <v>328</v>
      </c>
      <c r="IN1" t="s">
        <v>329</v>
      </c>
      <c r="IO1" t="s">
        <v>330</v>
      </c>
      <c r="IP1" t="s">
        <v>331</v>
      </c>
      <c r="IQ1" t="s">
        <v>332</v>
      </c>
      <c r="IR1" t="s">
        <v>333</v>
      </c>
      <c r="IS1" t="s">
        <v>334</v>
      </c>
      <c r="IT1" t="s">
        <v>335</v>
      </c>
      <c r="IU1" t="s">
        <v>336</v>
      </c>
      <c r="IV1" t="s">
        <v>337</v>
      </c>
      <c r="IW1" t="s">
        <v>338</v>
      </c>
      <c r="IX1" t="s">
        <v>339</v>
      </c>
      <c r="IY1" t="s">
        <v>340</v>
      </c>
      <c r="IZ1" t="s">
        <v>341</v>
      </c>
      <c r="JA1" t="s">
        <v>342</v>
      </c>
      <c r="JB1" t="s">
        <v>343</v>
      </c>
      <c r="JC1" t="s">
        <v>344</v>
      </c>
      <c r="JD1" t="s">
        <v>345</v>
      </c>
      <c r="JE1" t="s">
        <v>346</v>
      </c>
      <c r="JF1" t="s">
        <v>347</v>
      </c>
      <c r="JG1" t="s">
        <v>348</v>
      </c>
      <c r="JH1" t="s">
        <v>349</v>
      </c>
      <c r="JI1" t="s">
        <v>350</v>
      </c>
      <c r="JJ1" t="s">
        <v>351</v>
      </c>
      <c r="JK1" t="s">
        <v>352</v>
      </c>
      <c r="JL1" t="s">
        <v>353</v>
      </c>
      <c r="JM1" t="s">
        <v>354</v>
      </c>
      <c r="JN1" t="s">
        <v>355</v>
      </c>
      <c r="JO1" t="s">
        <v>356</v>
      </c>
      <c r="JP1" t="s">
        <v>357</v>
      </c>
      <c r="JQ1" t="s">
        <v>358</v>
      </c>
      <c r="JR1" t="s">
        <v>359</v>
      </c>
      <c r="JS1" t="s">
        <v>360</v>
      </c>
      <c r="JT1" t="s">
        <v>361</v>
      </c>
      <c r="JU1" t="s">
        <v>362</v>
      </c>
      <c r="JV1" t="s">
        <v>363</v>
      </c>
      <c r="JW1" t="s">
        <v>364</v>
      </c>
      <c r="JX1" t="s">
        <v>365</v>
      </c>
      <c r="JY1" t="s">
        <v>366</v>
      </c>
      <c r="JZ1" t="s">
        <v>367</v>
      </c>
      <c r="KA1" t="s">
        <v>368</v>
      </c>
      <c r="KB1" t="s">
        <v>369</v>
      </c>
      <c r="KC1" t="s">
        <v>370</v>
      </c>
      <c r="KD1" t="s">
        <v>371</v>
      </c>
      <c r="KE1" t="s">
        <v>372</v>
      </c>
      <c r="KF1" t="s">
        <v>373</v>
      </c>
      <c r="KG1" t="s">
        <v>374</v>
      </c>
      <c r="KH1" t="s">
        <v>375</v>
      </c>
      <c r="KI1" t="s">
        <v>376</v>
      </c>
      <c r="KJ1" t="s">
        <v>377</v>
      </c>
      <c r="KK1" t="s">
        <v>378</v>
      </c>
      <c r="KL1" t="s">
        <v>379</v>
      </c>
      <c r="KM1" t="s">
        <v>380</v>
      </c>
      <c r="KN1" t="s">
        <v>381</v>
      </c>
      <c r="KO1" t="s">
        <v>382</v>
      </c>
      <c r="KP1" t="s">
        <v>383</v>
      </c>
      <c r="KQ1" t="s">
        <v>384</v>
      </c>
      <c r="KR1" t="s">
        <v>385</v>
      </c>
      <c r="KS1" t="s">
        <v>386</v>
      </c>
      <c r="KT1" t="s">
        <v>387</v>
      </c>
      <c r="KU1" t="s">
        <v>388</v>
      </c>
      <c r="KV1" t="s">
        <v>389</v>
      </c>
      <c r="KW1" t="s">
        <v>390</v>
      </c>
      <c r="KX1" t="s">
        <v>391</v>
      </c>
      <c r="KY1" t="s">
        <v>392</v>
      </c>
      <c r="KZ1" t="s">
        <v>393</v>
      </c>
      <c r="LA1" t="s">
        <v>394</v>
      </c>
      <c r="LB1" t="s">
        <v>395</v>
      </c>
      <c r="LC1" t="s">
        <v>396</v>
      </c>
      <c r="LD1" t="s">
        <v>397</v>
      </c>
      <c r="LE1" t="s">
        <v>398</v>
      </c>
      <c r="LF1" t="s">
        <v>399</v>
      </c>
      <c r="LG1" t="s">
        <v>400</v>
      </c>
      <c r="LH1" t="s">
        <v>401</v>
      </c>
      <c r="LI1" t="s">
        <v>402</v>
      </c>
      <c r="LJ1" t="s">
        <v>403</v>
      </c>
      <c r="LK1" t="s">
        <v>404</v>
      </c>
      <c r="LL1" t="s">
        <v>405</v>
      </c>
      <c r="LM1" t="s">
        <v>406</v>
      </c>
      <c r="LN1" t="s">
        <v>407</v>
      </c>
      <c r="LO1" t="s">
        <v>408</v>
      </c>
      <c r="LP1" t="s">
        <v>409</v>
      </c>
      <c r="LQ1" t="s">
        <v>410</v>
      </c>
      <c r="LR1" t="s">
        <v>411</v>
      </c>
      <c r="LS1" t="s">
        <v>412</v>
      </c>
      <c r="LT1" t="s">
        <v>413</v>
      </c>
      <c r="LU1" t="s">
        <v>414</v>
      </c>
      <c r="LV1" t="s">
        <v>415</v>
      </c>
      <c r="LW1" t="s">
        <v>416</v>
      </c>
      <c r="LX1" t="s">
        <v>417</v>
      </c>
      <c r="LY1" t="s">
        <v>418</v>
      </c>
      <c r="LZ1" t="s">
        <v>419</v>
      </c>
      <c r="MA1" t="s">
        <v>420</v>
      </c>
      <c r="MB1" t="s">
        <v>421</v>
      </c>
      <c r="MC1" t="s">
        <v>422</v>
      </c>
      <c r="MD1" t="s">
        <v>423</v>
      </c>
      <c r="ME1" t="s">
        <v>424</v>
      </c>
      <c r="MF1" t="s">
        <v>425</v>
      </c>
      <c r="MG1" t="s">
        <v>426</v>
      </c>
      <c r="MH1" t="s">
        <v>427</v>
      </c>
      <c r="MI1" t="s">
        <v>428</v>
      </c>
      <c r="MJ1" t="s">
        <v>429</v>
      </c>
      <c r="MK1" t="s">
        <v>430</v>
      </c>
      <c r="ML1" t="s">
        <v>431</v>
      </c>
      <c r="MM1" t="s">
        <v>432</v>
      </c>
      <c r="MN1" t="s">
        <v>433</v>
      </c>
      <c r="MO1" t="s">
        <v>434</v>
      </c>
      <c r="MP1" t="s">
        <v>435</v>
      </c>
      <c r="MQ1" t="s">
        <v>436</v>
      </c>
      <c r="MR1" t="s">
        <v>437</v>
      </c>
      <c r="MS1" t="s">
        <v>438</v>
      </c>
      <c r="MT1" t="s">
        <v>439</v>
      </c>
      <c r="MU1" t="s">
        <v>440</v>
      </c>
      <c r="MV1" t="s">
        <v>441</v>
      </c>
      <c r="MW1" t="s">
        <v>442</v>
      </c>
      <c r="MX1" t="s">
        <v>443</v>
      </c>
      <c r="MY1" t="s">
        <v>444</v>
      </c>
      <c r="MZ1" t="s">
        <v>445</v>
      </c>
      <c r="NA1" t="s">
        <v>446</v>
      </c>
      <c r="NB1" t="s">
        <v>447</v>
      </c>
      <c r="NC1" t="s">
        <v>448</v>
      </c>
      <c r="ND1" t="s">
        <v>449</v>
      </c>
      <c r="NE1" t="s">
        <v>450</v>
      </c>
      <c r="NF1" t="s">
        <v>451</v>
      </c>
      <c r="NG1" t="s">
        <v>452</v>
      </c>
      <c r="NH1" t="s">
        <v>453</v>
      </c>
      <c r="NI1" t="s">
        <v>454</v>
      </c>
      <c r="NJ1" t="s">
        <v>455</v>
      </c>
      <c r="NK1" t="s">
        <v>456</v>
      </c>
      <c r="NL1" t="s">
        <v>457</v>
      </c>
      <c r="NM1" t="s">
        <v>458</v>
      </c>
      <c r="NN1" t="s">
        <v>459</v>
      </c>
      <c r="NO1" t="s">
        <v>460</v>
      </c>
      <c r="NP1" t="s">
        <v>461</v>
      </c>
      <c r="NQ1" t="s">
        <v>462</v>
      </c>
      <c r="NR1" t="s">
        <v>463</v>
      </c>
      <c r="NS1" t="s">
        <v>464</v>
      </c>
      <c r="NT1" t="s">
        <v>465</v>
      </c>
      <c r="NU1" t="s">
        <v>466</v>
      </c>
      <c r="NV1" t="s">
        <v>467</v>
      </c>
      <c r="NW1" t="s">
        <v>468</v>
      </c>
      <c r="NX1" t="s">
        <v>469</v>
      </c>
      <c r="NY1" t="s">
        <v>470</v>
      </c>
      <c r="NZ1" t="s">
        <v>471</v>
      </c>
      <c r="OA1" t="s">
        <v>472</v>
      </c>
      <c r="OB1" t="s">
        <v>473</v>
      </c>
      <c r="OC1" t="s">
        <v>474</v>
      </c>
      <c r="OD1" t="s">
        <v>475</v>
      </c>
      <c r="OE1" t="s">
        <v>476</v>
      </c>
      <c r="OF1" t="s">
        <v>477</v>
      </c>
      <c r="OG1" t="s">
        <v>478</v>
      </c>
      <c r="OH1" t="s">
        <v>479</v>
      </c>
      <c r="OI1" t="s">
        <v>480</v>
      </c>
      <c r="OJ1" t="s">
        <v>481</v>
      </c>
      <c r="OK1" t="s">
        <v>482</v>
      </c>
      <c r="OL1" t="s">
        <v>483</v>
      </c>
      <c r="OM1" t="s">
        <v>484</v>
      </c>
      <c r="ON1" t="s">
        <v>485</v>
      </c>
      <c r="OO1" t="s">
        <v>486</v>
      </c>
      <c r="OP1" t="s">
        <v>487</v>
      </c>
      <c r="OQ1" t="s">
        <v>488</v>
      </c>
      <c r="OR1" t="s">
        <v>489</v>
      </c>
      <c r="OS1" t="s">
        <v>490</v>
      </c>
      <c r="OT1" t="s">
        <v>491</v>
      </c>
      <c r="OU1" t="s">
        <v>492</v>
      </c>
      <c r="OV1" t="s">
        <v>493</v>
      </c>
      <c r="OW1" t="s">
        <v>494</v>
      </c>
      <c r="OX1" t="s">
        <v>495</v>
      </c>
      <c r="OY1" t="s">
        <v>496</v>
      </c>
      <c r="OZ1" t="s">
        <v>497</v>
      </c>
      <c r="PA1" t="s">
        <v>498</v>
      </c>
      <c r="PB1" t="s">
        <v>499</v>
      </c>
      <c r="PC1" t="s">
        <v>500</v>
      </c>
      <c r="PD1" t="s">
        <v>501</v>
      </c>
      <c r="PE1" t="s">
        <v>502</v>
      </c>
      <c r="PF1" t="s">
        <v>503</v>
      </c>
      <c r="PG1" t="s">
        <v>504</v>
      </c>
      <c r="PH1" t="s">
        <v>505</v>
      </c>
      <c r="PI1" t="s">
        <v>506</v>
      </c>
      <c r="PJ1" t="s">
        <v>507</v>
      </c>
      <c r="PK1" t="s">
        <v>508</v>
      </c>
      <c r="PL1" t="s">
        <v>509</v>
      </c>
      <c r="PM1" t="s">
        <v>510</v>
      </c>
      <c r="PN1" t="s">
        <v>511</v>
      </c>
      <c r="PO1" t="s">
        <v>512</v>
      </c>
      <c r="PP1" t="s">
        <v>513</v>
      </c>
      <c r="PQ1" t="s">
        <v>514</v>
      </c>
      <c r="PR1" t="s">
        <v>515</v>
      </c>
      <c r="PS1" t="s">
        <v>516</v>
      </c>
      <c r="PT1" t="s">
        <v>517</v>
      </c>
    </row>
    <row r="2" spans="1:436" x14ac:dyDescent="0.2">
      <c r="A2">
        <v>1980</v>
      </c>
      <c r="B2">
        <f t="shared" ref="B2:B29" si="0">D2-C2</f>
        <v>182.51771053709513</v>
      </c>
      <c r="C2">
        <f t="shared" ref="C2:C27" si="1">6.378E-61*EXP(A2*0.07237)</f>
        <v>108.61004471031015</v>
      </c>
      <c r="D2">
        <f>1.5*China!C32</f>
        <v>291.12775524740528</v>
      </c>
      <c r="H2" s="7"/>
      <c r="I2" t="s">
        <v>528</v>
      </c>
      <c r="J2">
        <v>1980</v>
      </c>
      <c r="K2">
        <f>2.11E-57*EXP(0.0642298*Table2[[#This Row],[Year2]])*Table2[[#This Row],[Global Total]]</f>
        <v>337.77533752526688</v>
      </c>
      <c r="N2" s="5">
        <v>9396</v>
      </c>
      <c r="Q2">
        <f>Table2[[#This Row],[Total]]/Table2[[#This Row],[Global Total]]</f>
        <v>3.5948843925635042E-2</v>
      </c>
      <c r="R2" t="e">
        <f>Table2[[#This Row],[Primary]]/Table2[[#This Row],[Global Primary]]</f>
        <v>#DIV/0!</v>
      </c>
      <c r="S2" t="e">
        <f>Table2[[#This Row],[Secondary]]/Table2[[#This Row],[Global Secondary]]</f>
        <v>#DIV/0!</v>
      </c>
      <c r="U2">
        <f>Table2[[#This Row],[Asia Refined]]/Table2[[#This Row],[Global Total]]</f>
        <v>0</v>
      </c>
      <c r="V2" t="e">
        <f>Table2[[#This Row],[Total]]/Table2[[#This Row],[Asia Refined]]</f>
        <v>#DIV/0!</v>
      </c>
    </row>
    <row r="3" spans="1:436" x14ac:dyDescent="0.2">
      <c r="A3">
        <v>1981</v>
      </c>
      <c r="B3">
        <f t="shared" si="0"/>
        <v>190.17443360500215</v>
      </c>
      <c r="C3">
        <f t="shared" si="1"/>
        <v>116.76155875233725</v>
      </c>
      <c r="D3">
        <f>1.5*China!C33</f>
        <v>306.93599235733939</v>
      </c>
      <c r="H3" s="7"/>
      <c r="J3">
        <v>1981</v>
      </c>
      <c r="K3">
        <f>2.11E-57*EXP(0.0642298*Table2[[#This Row],[Year2]])*Table2[[#This Row],[Global Total]]</f>
        <v>365.01251350926248</v>
      </c>
      <c r="N3" s="5">
        <v>9522</v>
      </c>
      <c r="Q3">
        <f>Table2[[#This Row],[Total]]/Table2[[#This Row],[Global Total]]</f>
        <v>3.8333597301959933E-2</v>
      </c>
      <c r="R3" t="e">
        <f>Table2[[#This Row],[Primary]]/Table2[[#This Row],[Global Primary]]</f>
        <v>#DIV/0!</v>
      </c>
      <c r="S3" t="e">
        <f>Table2[[#This Row],[Secondary]]/Table2[[#This Row],[Global Secondary]]</f>
        <v>#DIV/0!</v>
      </c>
      <c r="U3">
        <f>Table2[[#This Row],[Asia Refined]]/Table2[[#This Row],[Global Total]]</f>
        <v>0</v>
      </c>
      <c r="V3" t="e">
        <f>Table2[[#This Row],[Total]]/Table2[[#This Row],[Asia Refined]]</f>
        <v>#DIV/0!</v>
      </c>
    </row>
    <row r="4" spans="1:436" x14ac:dyDescent="0.2">
      <c r="A4">
        <v>1982</v>
      </c>
      <c r="B4">
        <f t="shared" si="0"/>
        <v>198.07774803761879</v>
      </c>
      <c r="C4">
        <f t="shared" si="1"/>
        <v>125.52486870472408</v>
      </c>
      <c r="D4">
        <f>1.5*China!C34</f>
        <v>323.60261674234289</v>
      </c>
      <c r="J4">
        <v>1982</v>
      </c>
      <c r="K4">
        <f>2.11E-57*EXP(0.0642298*Table2[[#This Row],[Year2]])*Table2[[#This Row],[Global Total]]</f>
        <v>371.5678308877109</v>
      </c>
      <c r="N4" s="5">
        <v>9090</v>
      </c>
      <c r="Q4">
        <f>Table2[[#This Row],[Total]]/Table2[[#This Row],[Global Total]]</f>
        <v>4.0876549052553453E-2</v>
      </c>
      <c r="R4" t="e">
        <f>Table2[[#This Row],[Primary]]/Table2[[#This Row],[Global Primary]]</f>
        <v>#DIV/0!</v>
      </c>
      <c r="S4" t="e">
        <f>Table2[[#This Row],[Secondary]]/Table2[[#This Row],[Global Secondary]]</f>
        <v>#DIV/0!</v>
      </c>
      <c r="U4">
        <f>Table2[[#This Row],[Asia Refined]]/Table2[[#This Row],[Global Total]]</f>
        <v>0</v>
      </c>
      <c r="V4" t="e">
        <f>Table2[[#This Row],[Total]]/Table2[[#This Row],[Asia Refined]]</f>
        <v>#DIV/0!</v>
      </c>
    </row>
    <row r="5" spans="1:436" x14ac:dyDescent="0.2">
      <c r="A5">
        <v>1983</v>
      </c>
      <c r="B5">
        <f t="shared" si="0"/>
        <v>206.22834712098529</v>
      </c>
      <c r="C5">
        <f t="shared" si="1"/>
        <v>134.94589171046687</v>
      </c>
      <c r="D5">
        <f>1.5*China!C35</f>
        <v>341.17423883145216</v>
      </c>
      <c r="J5">
        <v>1983</v>
      </c>
      <c r="K5">
        <f>2.11E-57*EXP(0.0642298*Table2[[#This Row],[Year2]])*Table2[[#This Row],[Global Total]]</f>
        <v>414.52372159832311</v>
      </c>
      <c r="N5" s="5">
        <v>9510</v>
      </c>
      <c r="Q5">
        <f>Table2[[#This Row],[Total]]/Table2[[#This Row],[Global Total]]</f>
        <v>4.3588193648614416E-2</v>
      </c>
      <c r="R5" t="e">
        <f>Table2[[#This Row],[Primary]]/Table2[[#This Row],[Global Primary]]</f>
        <v>#DIV/0!</v>
      </c>
      <c r="S5" t="e">
        <f>Table2[[#This Row],[Secondary]]/Table2[[#This Row],[Global Secondary]]</f>
        <v>#DIV/0!</v>
      </c>
      <c r="U5">
        <f>Table2[[#This Row],[Asia Refined]]/Table2[[#This Row],[Global Total]]</f>
        <v>0</v>
      </c>
      <c r="V5" t="e">
        <f>Table2[[#This Row],[Total]]/Table2[[#This Row],[Asia Refined]]</f>
        <v>#DIV/0!</v>
      </c>
    </row>
    <row r="6" spans="1:436" x14ac:dyDescent="0.2">
      <c r="A6">
        <v>1984</v>
      </c>
      <c r="B6">
        <f t="shared" si="0"/>
        <v>214.62600886625975</v>
      </c>
      <c r="C6">
        <f t="shared" si="1"/>
        <v>145.07399113374029</v>
      </c>
      <c r="D6">
        <f>1.5*China!C36</f>
        <v>359.70000000000005</v>
      </c>
      <c r="J6">
        <v>1984</v>
      </c>
      <c r="K6">
        <f>2.11E-57*EXP(0.0642298*Table2[[#This Row],[Year2]])*Table2[[#This Row],[Global Total]]</f>
        <v>461.54363685267748</v>
      </c>
      <c r="N6" s="5">
        <v>9930</v>
      </c>
      <c r="Q6">
        <f>Table2[[#This Row],[Total]]/Table2[[#This Row],[Global Total]]</f>
        <v>4.6479721737429758E-2</v>
      </c>
      <c r="R6" t="e">
        <f>Table2[[#This Row],[Primary]]/Table2[[#This Row],[Global Primary]]</f>
        <v>#DIV/0!</v>
      </c>
      <c r="S6" t="e">
        <f>Table2[[#This Row],[Secondary]]/Table2[[#This Row],[Global Secondary]]</f>
        <v>#DIV/0!</v>
      </c>
      <c r="U6">
        <f>Table2[[#This Row],[Asia Refined]]/Table2[[#This Row],[Global Total]]</f>
        <v>0</v>
      </c>
      <c r="V6" t="e">
        <f>Table2[[#This Row],[Total]]/Table2[[#This Row],[Asia Refined]]</f>
        <v>#DIV/0!</v>
      </c>
    </row>
    <row r="7" spans="1:436" x14ac:dyDescent="0.2">
      <c r="A7">
        <v>1985</v>
      </c>
      <c r="B7">
        <f t="shared" si="0"/>
        <v>203.73776479073419</v>
      </c>
      <c r="C7">
        <f t="shared" si="1"/>
        <v>155.96223520926586</v>
      </c>
      <c r="D7">
        <f>1.5*China!C37</f>
        <v>359.70000000000005</v>
      </c>
      <c r="J7">
        <v>1985</v>
      </c>
      <c r="K7">
        <f>2.11E-57*EXP(0.0642298*Table2[[#This Row],[Year2]])*Table2[[#This Row],[Global Total]]</f>
        <v>485.618923851386</v>
      </c>
      <c r="N7" s="5">
        <v>9798</v>
      </c>
      <c r="Q7">
        <f>Table2[[#This Row],[Total]]/Table2[[#This Row],[Global Total]]</f>
        <v>4.9563066324901615E-2</v>
      </c>
      <c r="R7" t="e">
        <f>Table2[[#This Row],[Primary]]/Table2[[#This Row],[Global Primary]]</f>
        <v>#DIV/0!</v>
      </c>
      <c r="S7" t="e">
        <f>Table2[[#This Row],[Secondary]]/Table2[[#This Row],[Global Secondary]]</f>
        <v>#DIV/0!</v>
      </c>
      <c r="U7">
        <f>Table2[[#This Row],[Asia Refined]]/Table2[[#This Row],[Global Total]]</f>
        <v>0</v>
      </c>
      <c r="V7" t="e">
        <f>Table2[[#This Row],[Total]]/Table2[[#This Row],[Asia Refined]]</f>
        <v>#DIV/0!</v>
      </c>
    </row>
    <row r="8" spans="1:436" x14ac:dyDescent="0.2">
      <c r="A8">
        <v>1986</v>
      </c>
      <c r="B8">
        <f t="shared" si="0"/>
        <v>212.58232489587238</v>
      </c>
      <c r="C8">
        <f t="shared" si="1"/>
        <v>167.66767510412762</v>
      </c>
      <c r="D8">
        <f>1.5*China!C38</f>
        <v>380.25</v>
      </c>
      <c r="J8">
        <v>1986</v>
      </c>
      <c r="K8">
        <f>2.11E-57*EXP(0.0642298*Table2[[#This Row],[Year2]])*Table2[[#This Row],[Global Total]]</f>
        <v>534.42882684337155</v>
      </c>
      <c r="N8" s="5">
        <v>10112</v>
      </c>
      <c r="Q8">
        <f>Table2[[#This Row],[Total]]/Table2[[#This Row],[Global Total]]</f>
        <v>5.2850952021694181E-2</v>
      </c>
      <c r="R8" t="e">
        <f>Table2[[#This Row],[Primary]]/Table2[[#This Row],[Global Primary]]</f>
        <v>#DIV/0!</v>
      </c>
      <c r="S8" t="e">
        <f>Table2[[#This Row],[Secondary]]/Table2[[#This Row],[Global Secondary]]</f>
        <v>#DIV/0!</v>
      </c>
      <c r="U8">
        <f>Table2[[#This Row],[Asia Refined]]/Table2[[#This Row],[Global Total]]</f>
        <v>0</v>
      </c>
      <c r="V8" t="e">
        <f>Table2[[#This Row],[Total]]/Table2[[#This Row],[Asia Refined]]</f>
        <v>#DIV/0!</v>
      </c>
    </row>
    <row r="9" spans="1:436" x14ac:dyDescent="0.2">
      <c r="A9">
        <v>1987</v>
      </c>
      <c r="B9">
        <f t="shared" si="0"/>
        <v>237.04835615107214</v>
      </c>
      <c r="C9">
        <f t="shared" si="1"/>
        <v>180.25164384892781</v>
      </c>
      <c r="D9">
        <f>1.5*China!C39</f>
        <v>417.29999999999995</v>
      </c>
      <c r="J9">
        <v>1987</v>
      </c>
      <c r="K9">
        <f>2.11E-57*EXP(0.0642298*Table2[[#This Row],[Year2]])*Table2[[#This Row],[Global Total]]</f>
        <v>580.08206119647286</v>
      </c>
      <c r="N9" s="5">
        <v>10293</v>
      </c>
      <c r="Q9">
        <f>Table2[[#This Row],[Total]]/Table2[[#This Row],[Global Total]]</f>
        <v>5.6356947556249183E-2</v>
      </c>
      <c r="R9" t="e">
        <f>Table2[[#This Row],[Primary]]/Table2[[#This Row],[Global Primary]]</f>
        <v>#DIV/0!</v>
      </c>
      <c r="S9" t="e">
        <f>Table2[[#This Row],[Secondary]]/Table2[[#This Row],[Global Secondary]]</f>
        <v>#DIV/0!</v>
      </c>
      <c r="U9">
        <f>Table2[[#This Row],[Asia Refined]]/Table2[[#This Row],[Global Total]]</f>
        <v>0</v>
      </c>
      <c r="V9" t="e">
        <f>Table2[[#This Row],[Total]]/Table2[[#This Row],[Asia Refined]]</f>
        <v>#DIV/0!</v>
      </c>
    </row>
    <row r="10" spans="1:436" x14ac:dyDescent="0.2">
      <c r="A10">
        <v>1988</v>
      </c>
      <c r="B10">
        <f t="shared" si="0"/>
        <v>229.06992229532099</v>
      </c>
      <c r="C10">
        <f t="shared" si="1"/>
        <v>193.78007770467897</v>
      </c>
      <c r="D10">
        <f>1.5*China!C40</f>
        <v>422.84999999999997</v>
      </c>
      <c r="J10">
        <v>1988</v>
      </c>
      <c r="K10">
        <f>2.11E-57*EXP(0.0642298*Table2[[#This Row],[Year2]])*Table2[[#This Row],[Global Total]]</f>
        <v>641.09902625707855</v>
      </c>
      <c r="N10" s="5">
        <v>10668</v>
      </c>
      <c r="O10" s="7"/>
      <c r="P10" s="7"/>
      <c r="Q10" s="7">
        <f>Table2[[#This Row],[Total]]/Table2[[#This Row],[Global Total]]</f>
        <v>6.0095521771379688E-2</v>
      </c>
      <c r="R10" s="7" t="e">
        <f>Table2[[#This Row],[Primary]]/Table2[[#This Row],[Global Primary]]</f>
        <v>#DIV/0!</v>
      </c>
      <c r="S10" s="7" t="e">
        <f>Table2[[#This Row],[Secondary]]/Table2[[#This Row],[Global Secondary]]</f>
        <v>#DIV/0!</v>
      </c>
      <c r="T10" s="7"/>
      <c r="U10" s="7">
        <f>Table2[[#This Row],[Asia Refined]]/Table2[[#This Row],[Global Total]]</f>
        <v>0</v>
      </c>
      <c r="V10" s="7" t="e">
        <f>Table2[[#This Row],[Total]]/Table2[[#This Row],[Asia Refined]]</f>
        <v>#DIV/0!</v>
      </c>
      <c r="W10" s="7"/>
      <c r="X10" s="7"/>
      <c r="Y10" s="7"/>
    </row>
    <row r="11" spans="1:436" x14ac:dyDescent="0.2">
      <c r="A11">
        <v>1989</v>
      </c>
      <c r="B11">
        <f t="shared" si="0"/>
        <v>240.3261383507699</v>
      </c>
      <c r="C11">
        <f t="shared" si="1"/>
        <v>208.32386164923014</v>
      </c>
      <c r="D11">
        <f>1.5*China!C41</f>
        <v>448.65000000000003</v>
      </c>
      <c r="J11">
        <v>1989</v>
      </c>
      <c r="K11">
        <f>2.11E-57*EXP(0.0642298*Table2[[#This Row],[Year2]])*Table2[[#This Row],[Global Total]]</f>
        <v>710.09378706095185</v>
      </c>
      <c r="N11" s="5">
        <v>11081</v>
      </c>
      <c r="O11" s="7"/>
      <c r="P11" s="7"/>
      <c r="Q11" s="7">
        <f>Table2[[#This Row],[Total]]/Table2[[#This Row],[Global Total]]</f>
        <v>6.4082103335524943E-2</v>
      </c>
      <c r="R11" s="7" t="e">
        <f>Table2[[#This Row],[Primary]]/Table2[[#This Row],[Global Primary]]</f>
        <v>#DIV/0!</v>
      </c>
      <c r="S11" s="7" t="e">
        <f>Table2[[#This Row],[Secondary]]/Table2[[#This Row],[Global Secondary]]</f>
        <v>#DIV/0!</v>
      </c>
      <c r="T11" s="7"/>
      <c r="U11" s="7">
        <f>Table2[[#This Row],[Asia Refined]]/Table2[[#This Row],[Global Total]]</f>
        <v>0</v>
      </c>
      <c r="V11" s="7" t="e">
        <f>Table2[[#This Row],[Total]]/Table2[[#This Row],[Asia Refined]]</f>
        <v>#DIV/0!</v>
      </c>
      <c r="W11" s="7"/>
      <c r="X11" s="7"/>
      <c r="Y11" s="7"/>
    </row>
    <row r="12" spans="1:436" x14ac:dyDescent="0.2">
      <c r="A12">
        <v>1990</v>
      </c>
      <c r="B12">
        <f t="shared" si="0"/>
        <v>219.89079920646594</v>
      </c>
      <c r="C12">
        <f t="shared" si="1"/>
        <v>223.95920079353402</v>
      </c>
      <c r="D12">
        <f>1.5*China!C42</f>
        <v>443.84999999999997</v>
      </c>
      <c r="J12">
        <v>1990</v>
      </c>
      <c r="K12">
        <f>2.11E-57*EXP(0.0642298*Table2[[#This Row],[Year2]])*Table2[[#This Row],[Global Total]]</f>
        <v>743.8746101028654</v>
      </c>
      <c r="N12" s="5">
        <v>10886</v>
      </c>
      <c r="O12" s="7"/>
      <c r="P12" s="7"/>
      <c r="Q12" s="7">
        <f>Table2[[#This Row],[Total]]/Table2[[#This Row],[Global Total]]</f>
        <v>6.8333144415107974E-2</v>
      </c>
      <c r="R12" s="7" t="e">
        <f>Table2[[#This Row],[Primary]]/Table2[[#This Row],[Global Primary]]</f>
        <v>#DIV/0!</v>
      </c>
      <c r="S12" s="7" t="e">
        <f>Table2[[#This Row],[Secondary]]/Table2[[#This Row],[Global Secondary]]</f>
        <v>#DIV/0!</v>
      </c>
      <c r="T12" s="7"/>
      <c r="U12" s="7">
        <f>Table2[[#This Row],[Asia Refined]]/Table2[[#This Row],[Global Total]]</f>
        <v>0</v>
      </c>
      <c r="V12" s="7" t="e">
        <f>Table2[[#This Row],[Total]]/Table2[[#This Row],[Asia Refined]]</f>
        <v>#DIV/0!</v>
      </c>
      <c r="W12" s="7"/>
      <c r="X12" s="7"/>
      <c r="Y12" s="7"/>
    </row>
    <row r="13" spans="1:436" x14ac:dyDescent="0.2">
      <c r="A13">
        <v>1991</v>
      </c>
      <c r="B13">
        <f t="shared" si="0"/>
        <v>624.68850729862709</v>
      </c>
      <c r="C13">
        <f t="shared" si="1"/>
        <v>240.76801967377438</v>
      </c>
      <c r="D13">
        <f t="shared" ref="D13:D29" si="2">E13*F13</f>
        <v>865.45652697240143</v>
      </c>
      <c r="E13">
        <v>2646.82627650927</v>
      </c>
      <c r="F13">
        <f t="shared" ref="F13:F29" si="3">(0.6390903-0.3220805)/(1+EXP(-1.3127343*(A13-2013.9816)))^0.1382229+0.3220805</f>
        <v>0.32697896898386425</v>
      </c>
      <c r="G13" s="33">
        <f t="shared" ref="G13:G30" si="4">-10.19534+0.0054512*A13</f>
        <v>0.65799919999999901</v>
      </c>
      <c r="H13">
        <f>D13/China!C43</f>
        <v>2.8468964703039519</v>
      </c>
      <c r="J13">
        <v>1991</v>
      </c>
      <c r="K13">
        <f>2.11E-57*EXP(0.0642298*Table2[[#This Row],[Year2]])*Table2[[#This Row],[Global Total]]</f>
        <v>769.685549872715</v>
      </c>
      <c r="N13" s="5">
        <v>10563</v>
      </c>
      <c r="Q13">
        <f>Table2[[#This Row],[Total]]/Table2[[#This Row],[Global Total]]</f>
        <v>7.2866188570738899E-2</v>
      </c>
      <c r="R13" t="e">
        <f>Table2[[#This Row],[Primary]]/Table2[[#This Row],[Global Primary]]</f>
        <v>#DIV/0!</v>
      </c>
      <c r="S13" t="e">
        <f>Table2[[#This Row],[Secondary]]/Table2[[#This Row],[Global Secondary]]</f>
        <v>#DIV/0!</v>
      </c>
      <c r="T13">
        <v>2529.1828793774303</v>
      </c>
      <c r="U13">
        <f>Table2[[#This Row],[Asia Refined]]/Table2[[#This Row],[Global Total]]</f>
        <v>0.23943793234662789</v>
      </c>
      <c r="V13">
        <f>Table2[[#This Row],[Total]]/Table2[[#This Row],[Asia Refined]]</f>
        <v>0.30432182510351985</v>
      </c>
    </row>
    <row r="14" spans="1:436" x14ac:dyDescent="0.2">
      <c r="A14">
        <v>1992</v>
      </c>
      <c r="B14">
        <f t="shared" si="0"/>
        <v>620.70862782200106</v>
      </c>
      <c r="C14">
        <f t="shared" si="1"/>
        <v>258.83839151164108</v>
      </c>
      <c r="D14">
        <f t="shared" si="2"/>
        <v>879.5470193336422</v>
      </c>
      <c r="E14">
        <v>2681.9256631936701</v>
      </c>
      <c r="F14">
        <f t="shared" si="3"/>
        <v>0.3279535415184725</v>
      </c>
      <c r="G14" s="33">
        <f t="shared" si="4"/>
        <v>0.66345040000000033</v>
      </c>
      <c r="H14">
        <f>D14/China!C44</f>
        <v>2.6331456829605875</v>
      </c>
      <c r="J14">
        <v>1992</v>
      </c>
      <c r="K14">
        <f>2.11E-57*EXP(0.0642298*Table2[[#This Row],[Year2]])*Table2[[#This Row],[Global Total]]</f>
        <v>844.28758234930388</v>
      </c>
      <c r="N14" s="5">
        <v>10866</v>
      </c>
      <c r="Q14">
        <f>Table2[[#This Row],[Total]]/Table2[[#This Row],[Global Total]]</f>
        <v>7.7699943157491611E-2</v>
      </c>
      <c r="R14" t="e">
        <f>Table2[[#This Row],[Primary]]/Table2[[#This Row],[Global Primary]]</f>
        <v>#DIV/0!</v>
      </c>
      <c r="S14" t="e">
        <f>Table2[[#This Row],[Secondary]]/Table2[[#This Row],[Global Secondary]]</f>
        <v>#DIV/0!</v>
      </c>
      <c r="T14">
        <v>2561.6083009079102</v>
      </c>
      <c r="U14">
        <f>Table2[[#This Row],[Asia Refined]]/Table2[[#This Row],[Global Total]]</f>
        <v>0.23574528813803702</v>
      </c>
      <c r="V14">
        <f>Table2[[#This Row],[Total]]/Table2[[#This Row],[Asia Refined]]</f>
        <v>0.32959277265382969</v>
      </c>
    </row>
    <row r="15" spans="1:436" x14ac:dyDescent="0.2">
      <c r="A15">
        <v>1993</v>
      </c>
      <c r="B15">
        <f t="shared" si="0"/>
        <v>606.06952157656258</v>
      </c>
      <c r="C15">
        <f t="shared" si="1"/>
        <v>278.2649996918642</v>
      </c>
      <c r="D15">
        <f t="shared" si="2"/>
        <v>884.33452126842678</v>
      </c>
      <c r="E15">
        <v>2686.9504174979602</v>
      </c>
      <c r="F15">
        <f t="shared" si="3"/>
        <v>0.32912200966175742</v>
      </c>
      <c r="G15" s="33">
        <f t="shared" si="4"/>
        <v>0.66890159999999987</v>
      </c>
      <c r="H15">
        <f>D15/China!C45</f>
        <v>2.5578909468380542</v>
      </c>
      <c r="J15">
        <v>1993</v>
      </c>
      <c r="K15">
        <f>2.11E-57*EXP(0.0642298*Table2[[#This Row],[Year2]])*Table2[[#This Row],[Global Total]]</f>
        <v>910.7350869559192</v>
      </c>
      <c r="N15" s="5">
        <v>10992</v>
      </c>
      <c r="Q15">
        <f>Table2[[#This Row],[Total]]/Table2[[#This Row],[Global Total]]</f>
        <v>8.2854356528013026E-2</v>
      </c>
      <c r="R15" t="e">
        <f>Table2[[#This Row],[Primary]]/Table2[[#This Row],[Global Primary]]</f>
        <v>#DIV/0!</v>
      </c>
      <c r="S15" t="e">
        <f>Table2[[#This Row],[Secondary]]/Table2[[#This Row],[Global Secondary]]</f>
        <v>#DIV/0!</v>
      </c>
      <c r="T15">
        <v>2626.4591439688693</v>
      </c>
      <c r="U15">
        <f>Table2[[#This Row],[Asia Refined]]/Table2[[#This Row],[Global Total]]</f>
        <v>0.23894278966237895</v>
      </c>
      <c r="V15">
        <f>Table2[[#This Row],[Total]]/Table2[[#This Row],[Asia Refined]]</f>
        <v>0.34675395162617989</v>
      </c>
    </row>
    <row r="16" spans="1:436" x14ac:dyDescent="0.2">
      <c r="A16">
        <v>1994</v>
      </c>
      <c r="B16">
        <f t="shared" si="0"/>
        <v>620.40658590159569</v>
      </c>
      <c r="C16">
        <f t="shared" si="1"/>
        <v>299.14963387503741</v>
      </c>
      <c r="D16">
        <f t="shared" si="2"/>
        <v>919.55621977663316</v>
      </c>
      <c r="E16">
        <v>2782.1251754969298</v>
      </c>
      <c r="F16">
        <f t="shared" si="3"/>
        <v>0.33052294982104335</v>
      </c>
      <c r="G16" s="33">
        <f t="shared" si="4"/>
        <v>0.67435279999999942</v>
      </c>
      <c r="H16">
        <f>D16/China!C46</f>
        <v>2.3243303450683563</v>
      </c>
      <c r="J16">
        <v>1994</v>
      </c>
      <c r="K16">
        <f>2.11E-57*EXP(0.0642298*Table2[[#This Row],[Year2]])*Table2[[#This Row],[Global Total]]</f>
        <v>1021.3340961280392</v>
      </c>
      <c r="N16" s="5">
        <v>11560</v>
      </c>
      <c r="Q16">
        <f>Table2[[#This Row],[Total]]/Table2[[#This Row],[Global Total]]</f>
        <v>8.8350700357096815E-2</v>
      </c>
      <c r="R16" t="e">
        <f>Table2[[#This Row],[Primary]]/Table2[[#This Row],[Global Primary]]</f>
        <v>#DIV/0!</v>
      </c>
      <c r="S16" t="e">
        <f>Table2[[#This Row],[Secondary]]/Table2[[#This Row],[Global Secondary]]</f>
        <v>#DIV/0!</v>
      </c>
      <c r="T16">
        <v>2821.0116731517501</v>
      </c>
      <c r="U16">
        <f>Table2[[#This Row],[Asia Refined]]/Table2[[#This Row],[Global Total]]</f>
        <v>0.24403215165672579</v>
      </c>
      <c r="V16">
        <f>Table2[[#This Row],[Total]]/Table2[[#This Row],[Asia Refined]]</f>
        <v>0.36204532786883609</v>
      </c>
    </row>
    <row r="17" spans="1:23" x14ac:dyDescent="0.2">
      <c r="A17">
        <v>1995</v>
      </c>
      <c r="B17">
        <f t="shared" si="0"/>
        <v>594.30589567224501</v>
      </c>
      <c r="C17">
        <f t="shared" si="1"/>
        <v>321.60172334525879</v>
      </c>
      <c r="D17">
        <f t="shared" si="2"/>
        <v>915.90761901750386</v>
      </c>
      <c r="E17">
        <v>2757.07529742111</v>
      </c>
      <c r="F17">
        <f t="shared" si="3"/>
        <v>0.33220261335416479</v>
      </c>
      <c r="G17" s="33">
        <f t="shared" si="4"/>
        <v>0.67980399999999896</v>
      </c>
      <c r="H17">
        <f>D17/China!C47</f>
        <v>2.0807900962065005</v>
      </c>
      <c r="J17">
        <v>1995</v>
      </c>
      <c r="K17">
        <f>2.11E-57*EXP(0.0642298*Table2[[#This Row],[Year2]])*Table2[[#This Row],[Global Total]]</f>
        <v>1134.5909903988586</v>
      </c>
      <c r="N17" s="5">
        <v>12043</v>
      </c>
      <c r="Q17">
        <f>Table2[[#This Row],[Total]]/Table2[[#This Row],[Global Total]]</f>
        <v>9.4211657427456491E-2</v>
      </c>
      <c r="R17" t="e">
        <f>Table2[[#This Row],[Primary]]/Table2[[#This Row],[Global Primary]]</f>
        <v>#DIV/0!</v>
      </c>
      <c r="S17" t="e">
        <f>Table2[[#This Row],[Secondary]]/Table2[[#This Row],[Global Secondary]]</f>
        <v>#DIV/0!</v>
      </c>
      <c r="T17">
        <v>2723.7354085603092</v>
      </c>
      <c r="U17">
        <f>Table2[[#This Row],[Asia Refined]]/Table2[[#This Row],[Global Total]]</f>
        <v>0.22616751711038025</v>
      </c>
      <c r="V17">
        <f>Table2[[#This Row],[Total]]/Table2[[#This Row],[Asia Refined]]</f>
        <v>0.41655697790358126</v>
      </c>
    </row>
    <row r="18" spans="1:23" x14ac:dyDescent="0.2">
      <c r="A18">
        <v>1996</v>
      </c>
      <c r="B18">
        <f t="shared" si="0"/>
        <v>642.73471355140816</v>
      </c>
      <c r="C18">
        <f t="shared" si="1"/>
        <v>345.73891038705005</v>
      </c>
      <c r="D18">
        <f t="shared" si="2"/>
        <v>988.47362393845822</v>
      </c>
      <c r="E18">
        <v>2957.5851621961101</v>
      </c>
      <c r="F18">
        <f t="shared" si="3"/>
        <v>0.33421645353551954</v>
      </c>
      <c r="G18" s="33">
        <f t="shared" si="4"/>
        <v>0.68525520000000029</v>
      </c>
      <c r="H18">
        <f>D18/China!C48</f>
        <v>2.3143519967840724</v>
      </c>
      <c r="J18">
        <v>1996</v>
      </c>
      <c r="K18">
        <f>2.11E-57*EXP(0.0642298*Table2[[#This Row],[Year2]])*Table2[[#This Row],[Global Total]]</f>
        <v>1254.662614919539</v>
      </c>
      <c r="N18" s="5">
        <v>12489</v>
      </c>
      <c r="Q18">
        <f>Table2[[#This Row],[Total]]/Table2[[#This Row],[Global Total]]</f>
        <v>0.10046141523897342</v>
      </c>
      <c r="R18" t="e">
        <f>Table2[[#This Row],[Primary]]/Table2[[#This Row],[Global Primary]]</f>
        <v>#DIV/0!</v>
      </c>
      <c r="S18" t="e">
        <f>Table2[[#This Row],[Secondary]]/Table2[[#This Row],[Global Secondary]]</f>
        <v>#DIV/0!</v>
      </c>
      <c r="T18">
        <v>3112.840466926069</v>
      </c>
      <c r="U18">
        <f>Table2[[#This Row],[Asia Refined]]/Table2[[#This Row],[Global Total]]</f>
        <v>0.24924657433950428</v>
      </c>
      <c r="V18">
        <f>Table2[[#This Row],[Total]]/Table2[[#This Row],[Asia Refined]]</f>
        <v>0.40306036504290205</v>
      </c>
    </row>
    <row r="19" spans="1:23" x14ac:dyDescent="0.2">
      <c r="A19">
        <v>1997</v>
      </c>
      <c r="B19">
        <f t="shared" si="0"/>
        <v>701.5240598167627</v>
      </c>
      <c r="C19">
        <f t="shared" si="1"/>
        <v>371.68766669603997</v>
      </c>
      <c r="D19">
        <f t="shared" si="2"/>
        <v>1073.2117265128027</v>
      </c>
      <c r="E19">
        <v>3188.0957659055598</v>
      </c>
      <c r="F19">
        <f t="shared" si="3"/>
        <v>0.33663095631883039</v>
      </c>
      <c r="G19" s="33">
        <f t="shared" si="4"/>
        <v>0.69070639999999983</v>
      </c>
      <c r="H19">
        <f>D19/China!C49</f>
        <v>2.2329701033779261</v>
      </c>
      <c r="J19">
        <v>1997</v>
      </c>
      <c r="K19">
        <f>2.11E-57*EXP(0.0642298*Table2[[#This Row],[Year2]])*Table2[[#This Row],[Global Total]]</f>
        <v>1401.4192685586002</v>
      </c>
      <c r="N19" s="5">
        <v>13082</v>
      </c>
      <c r="Q19">
        <f>Table2[[#This Row],[Total]]/Table2[[#This Row],[Global Total]]</f>
        <v>0.10712576582774806</v>
      </c>
      <c r="R19" t="e">
        <f>Table2[[#This Row],[Primary]]/Table2[[#This Row],[Global Primary]]</f>
        <v>#DIV/0!</v>
      </c>
      <c r="S19" t="e">
        <f>Table2[[#This Row],[Secondary]]/Table2[[#This Row],[Global Secondary]]</f>
        <v>#DIV/0!</v>
      </c>
      <c r="T19">
        <v>3307.3929961089498</v>
      </c>
      <c r="U19">
        <f>Table2[[#This Row],[Asia Refined]]/Table2[[#This Row],[Global Total]]</f>
        <v>0.25282013423856825</v>
      </c>
      <c r="V19">
        <f>Table2[[#This Row],[Total]]/Table2[[#This Row],[Asia Refined]]</f>
        <v>0.42372323767007081</v>
      </c>
    </row>
    <row r="20" spans="1:23" x14ac:dyDescent="0.2">
      <c r="A20">
        <v>1998</v>
      </c>
      <c r="B20">
        <f t="shared" si="0"/>
        <v>766.25187335694181</v>
      </c>
      <c r="C20">
        <f t="shared" si="1"/>
        <v>399.58395605309107</v>
      </c>
      <c r="D20">
        <f t="shared" si="2"/>
        <v>1165.8358294100328</v>
      </c>
      <c r="E20">
        <v>3433.7175792507101</v>
      </c>
      <c r="F20">
        <f t="shared" si="3"/>
        <v>0.3395258353380467</v>
      </c>
      <c r="G20" s="33">
        <f t="shared" si="4"/>
        <v>0.69615759999999938</v>
      </c>
      <c r="H20">
        <f>D20/China!C50</f>
        <v>2.4880260785786636</v>
      </c>
      <c r="J20">
        <v>1998</v>
      </c>
      <c r="K20">
        <f>2.11E-57*EXP(0.0642298*Table2[[#This Row],[Year2]])*Table2[[#This Row],[Global Total]]</f>
        <v>1535.2809320603722</v>
      </c>
      <c r="N20" s="5">
        <v>13440</v>
      </c>
      <c r="Q20">
        <f>Table2[[#This Row],[Total]]/Table2[[#This Row],[Global Total]]</f>
        <v>0.11423221220687292</v>
      </c>
      <c r="R20" t="e">
        <f>Table2[[#This Row],[Primary]]/Table2[[#This Row],[Global Primary]]</f>
        <v>#DIV/0!</v>
      </c>
      <c r="S20" t="e">
        <f>Table2[[#This Row],[Secondary]]/Table2[[#This Row],[Global Secondary]]</f>
        <v>#DIV/0!</v>
      </c>
      <c r="T20">
        <v>3437.0946822308706</v>
      </c>
      <c r="U20">
        <f>Table2[[#This Row],[Asia Refined]]/Table2[[#This Row],[Global Total]]</f>
        <v>0.25573621147551123</v>
      </c>
      <c r="V20">
        <f>Table2[[#This Row],[Total]]/Table2[[#This Row],[Asia Refined]]</f>
        <v>0.44667984853530052</v>
      </c>
    </row>
    <row r="21" spans="1:23" x14ac:dyDescent="0.2">
      <c r="A21">
        <v>1999</v>
      </c>
      <c r="B21">
        <f t="shared" si="0"/>
        <v>935.5821748792813</v>
      </c>
      <c r="C21">
        <f t="shared" si="1"/>
        <v>429.57394673419833</v>
      </c>
      <c r="D21">
        <f t="shared" si="2"/>
        <v>1365.1561216134796</v>
      </c>
      <c r="E21">
        <v>3980.0857163969495</v>
      </c>
      <c r="F21">
        <f t="shared" si="3"/>
        <v>0.34299666361188669</v>
      </c>
      <c r="G21" s="33">
        <f t="shared" si="4"/>
        <v>0.70160879999999892</v>
      </c>
      <c r="H21">
        <f>D21/China!C51</f>
        <v>2.6908800864402638</v>
      </c>
      <c r="J21">
        <v>1999</v>
      </c>
      <c r="K21">
        <f>2.11E-57*EXP(0.0642298*Table2[[#This Row],[Year2]])*Table2[[#This Row],[Global Total]]</f>
        <v>1732.5047944119972</v>
      </c>
      <c r="N21" s="5">
        <v>14223</v>
      </c>
      <c r="Q21">
        <f>Table2[[#This Row],[Total]]/Table2[[#This Row],[Global Total]]</f>
        <v>0.12181008186824138</v>
      </c>
      <c r="R21" t="e">
        <f>Table2[[#This Row],[Primary]]/Table2[[#This Row],[Global Primary]]</f>
        <v>#DIV/0!</v>
      </c>
      <c r="S21" t="e">
        <f>Table2[[#This Row],[Secondary]]/Table2[[#This Row],[Global Secondary]]</f>
        <v>#DIV/0!</v>
      </c>
      <c r="T21">
        <v>3955.9014267184893</v>
      </c>
      <c r="U21">
        <f>Table2[[#This Row],[Asia Refined]]/Table2[[#This Row],[Global Total]]</f>
        <v>0.27813410860707932</v>
      </c>
      <c r="V21">
        <f>Table2[[#This Row],[Total]]/Table2[[#This Row],[Asia Refined]]</f>
        <v>0.43795449065300635</v>
      </c>
    </row>
    <row r="22" spans="1:23" x14ac:dyDescent="0.2">
      <c r="A22">
        <v>2000</v>
      </c>
      <c r="B22">
        <f t="shared" si="0"/>
        <v>1067.7917669160811</v>
      </c>
      <c r="C22">
        <f t="shared" si="1"/>
        <v>461.81477738880392</v>
      </c>
      <c r="D22">
        <f t="shared" si="2"/>
        <v>1529.6065443048849</v>
      </c>
      <c r="E22">
        <v>4406.0814305771</v>
      </c>
      <c r="F22">
        <f t="shared" si="3"/>
        <v>0.34715802883028879</v>
      </c>
      <c r="G22" s="33">
        <f t="shared" si="4"/>
        <v>0.70706000000000024</v>
      </c>
      <c r="H22">
        <f>D22/China!C52</f>
        <v>2.7407146402646183</v>
      </c>
      <c r="J22">
        <v>2000</v>
      </c>
      <c r="K22">
        <f>2.11E-57*EXP(0.0642298*Table2[[#This Row],[Year2]])*Table2[[#This Row],[Global Total]]</f>
        <v>1964.2063762394193</v>
      </c>
      <c r="N22" s="5">
        <v>15122</v>
      </c>
      <c r="Q22">
        <f>Table2[[#This Row],[Total]]/Table2[[#This Row],[Global Total]]</f>
        <v>0.12989064781374285</v>
      </c>
      <c r="R22" t="e">
        <f>Table2[[#This Row],[Primary]]/Table2[[#This Row],[Global Primary]]</f>
        <v>#DIV/0!</v>
      </c>
      <c r="S22" t="e">
        <f>Table2[[#This Row],[Secondary]]/Table2[[#This Row],[Global Secondary]]</f>
        <v>#DIV/0!</v>
      </c>
      <c r="T22">
        <v>4474.7081712062209</v>
      </c>
      <c r="U22">
        <f>Table2[[#This Row],[Asia Refined]]/Table2[[#This Row],[Global Total]]</f>
        <v>0.29590716645987442</v>
      </c>
      <c r="V22">
        <f>Table2[[#This Row],[Total]]/Table2[[#This Row],[Asia Refined]]</f>
        <v>0.43895742495089679</v>
      </c>
    </row>
    <row r="23" spans="1:23" x14ac:dyDescent="0.2">
      <c r="A23">
        <v>2001</v>
      </c>
      <c r="B23">
        <f t="shared" si="0"/>
        <v>1173.3815367261975</v>
      </c>
      <c r="C23">
        <f t="shared" si="1"/>
        <v>496.4753803997209</v>
      </c>
      <c r="D23">
        <f t="shared" si="2"/>
        <v>1669.8569171259185</v>
      </c>
      <c r="E23">
        <v>4741.9271410625797</v>
      </c>
      <c r="F23">
        <f t="shared" si="3"/>
        <v>0.35214731636550067</v>
      </c>
      <c r="G23" s="33">
        <f t="shared" si="4"/>
        <v>0.71251119999999979</v>
      </c>
      <c r="H23">
        <f>D23/China!C53</f>
        <v>2.9322537216050431</v>
      </c>
      <c r="J23">
        <v>2001</v>
      </c>
      <c r="K23">
        <f>2.11E-57*EXP(0.0642298*Table2[[#This Row],[Year2]])*Table2[[#This Row],[Global Total]]</f>
        <v>2069.0214142584509</v>
      </c>
      <c r="N23" s="5">
        <v>14938</v>
      </c>
      <c r="Q23">
        <f>Table2[[#This Row],[Total]]/Table2[[#This Row],[Global Total]]</f>
        <v>0.13850725761537361</v>
      </c>
      <c r="R23" t="e">
        <f>Table2[[#This Row],[Primary]]/Table2[[#This Row],[Global Primary]]</f>
        <v>#DIV/0!</v>
      </c>
      <c r="S23" t="e">
        <f>Table2[[#This Row],[Secondary]]/Table2[[#This Row],[Global Secondary]]</f>
        <v>#DIV/0!</v>
      </c>
      <c r="T23">
        <v>4701.6861219195898</v>
      </c>
      <c r="U23">
        <f>Table2[[#This Row],[Asia Refined]]/Table2[[#This Row],[Global Total]]</f>
        <v>0.31474669446509507</v>
      </c>
      <c r="V23">
        <f>Table2[[#This Row],[Total]]/Table2[[#This Row],[Asia Refined]]</f>
        <v>0.4400594511429694</v>
      </c>
    </row>
    <row r="24" spans="1:23" x14ac:dyDescent="0.2">
      <c r="A24">
        <v>2002</v>
      </c>
      <c r="B24">
        <f t="shared" si="0"/>
        <v>1268.6056813759205</v>
      </c>
      <c r="C24">
        <f t="shared" si="1"/>
        <v>533.73736703865018</v>
      </c>
      <c r="D24">
        <f t="shared" si="2"/>
        <v>1802.3430484145708</v>
      </c>
      <c r="E24">
        <v>5032.6609029779002</v>
      </c>
      <c r="F24">
        <f t="shared" si="3"/>
        <v>0.35812924477945607</v>
      </c>
      <c r="G24" s="33">
        <f t="shared" si="4"/>
        <v>0.71796239999999933</v>
      </c>
      <c r="H24">
        <f>D24/China!C54</f>
        <v>3.1720390083273422</v>
      </c>
      <c r="J24">
        <v>2002</v>
      </c>
      <c r="K24">
        <f>2.11E-57*EXP(0.0642298*Table2[[#This Row],[Year2]])*Table2[[#This Row],[Global Total]]</f>
        <v>2235.0755632004866</v>
      </c>
      <c r="N24" s="5">
        <v>15133</v>
      </c>
      <c r="Q24">
        <f>Table2[[#This Row],[Total]]/Table2[[#This Row],[Global Total]]</f>
        <v>0.14769547103683914</v>
      </c>
      <c r="R24" t="e">
        <f>Table2[[#This Row],[Primary]]/Table2[[#This Row],[Global Primary]]</f>
        <v>#DIV/0!</v>
      </c>
      <c r="S24" t="e">
        <f>Table2[[#This Row],[Secondary]]/Table2[[#This Row],[Global Secondary]]</f>
        <v>#DIV/0!</v>
      </c>
      <c r="T24">
        <v>4961.0894941633605</v>
      </c>
      <c r="U24">
        <f>Table2[[#This Row],[Asia Refined]]/Table2[[#This Row],[Global Total]]</f>
        <v>0.3278325179517188</v>
      </c>
      <c r="V24">
        <f>Table2[[#This Row],[Total]]/Table2[[#This Row],[Asia Refined]]</f>
        <v>0.45052111352355484</v>
      </c>
    </row>
    <row r="25" spans="1:23" x14ac:dyDescent="0.2">
      <c r="A25">
        <v>2003</v>
      </c>
      <c r="B25">
        <f t="shared" si="0"/>
        <v>1387.2994887350715</v>
      </c>
      <c r="C25">
        <f t="shared" si="1"/>
        <v>573.79597905539754</v>
      </c>
      <c r="D25">
        <f t="shared" si="2"/>
        <v>1961.095467790469</v>
      </c>
      <c r="E25">
        <v>5368.4327200177304</v>
      </c>
      <c r="F25">
        <f t="shared" si="3"/>
        <v>0.36530130301865682</v>
      </c>
      <c r="G25" s="33">
        <f t="shared" si="4"/>
        <v>0.72341359999999888</v>
      </c>
      <c r="H25">
        <f>D25/China!C55</f>
        <v>3.2566815479037183</v>
      </c>
      <c r="J25">
        <v>2003</v>
      </c>
      <c r="K25">
        <f>2.11E-57*EXP(0.0642298*Table2[[#This Row],[Year2]])*Table2[[#This Row],[Global Total]]</f>
        <v>2463.3512473188189</v>
      </c>
      <c r="N25" s="5">
        <v>15641</v>
      </c>
      <c r="Q25">
        <f>Table2[[#This Row],[Total]]/Table2[[#This Row],[Global Total]]</f>
        <v>0.15749320678465692</v>
      </c>
      <c r="R25" t="e">
        <f>Table2[[#This Row],[Primary]]/Table2[[#This Row],[Global Primary]]</f>
        <v>#DIV/0!</v>
      </c>
      <c r="S25" t="e">
        <f>Table2[[#This Row],[Secondary]]/Table2[[#This Row],[Global Secondary]]</f>
        <v>#DIV/0!</v>
      </c>
      <c r="T25">
        <v>5220.4928664072695</v>
      </c>
      <c r="U25">
        <f>Table2[[#This Row],[Asia Refined]]/Table2[[#This Row],[Global Total]]</f>
        <v>0.3337697632125356</v>
      </c>
      <c r="V25">
        <f>Table2[[#This Row],[Total]]/Table2[[#This Row],[Asia Refined]]</f>
        <v>0.47186181656715703</v>
      </c>
    </row>
    <row r="26" spans="1:23" x14ac:dyDescent="0.2">
      <c r="A26">
        <v>2004</v>
      </c>
      <c r="B26">
        <f t="shared" si="0"/>
        <v>1465.3680041583862</v>
      </c>
      <c r="C26">
        <f t="shared" si="1"/>
        <v>616.86111168660329</v>
      </c>
      <c r="D26">
        <f t="shared" si="2"/>
        <v>2082.2291158449893</v>
      </c>
      <c r="E26">
        <v>5568.9425847927196</v>
      </c>
      <c r="F26">
        <f t="shared" si="3"/>
        <v>0.37390026636851947</v>
      </c>
      <c r="G26" s="33">
        <f t="shared" si="4"/>
        <v>0.7288648000000002</v>
      </c>
      <c r="H26">
        <f>D26/China!C56</f>
        <v>2.8079719231614519</v>
      </c>
      <c r="J26">
        <v>2004</v>
      </c>
      <c r="K26">
        <f>2.11E-57*EXP(0.0642298*Table2[[#This Row],[Year2]])*Table2[[#This Row],[Global Total]]</f>
        <v>2811.8344718617182</v>
      </c>
      <c r="N26" s="5">
        <v>16743</v>
      </c>
      <c r="Q26">
        <f>Table2[[#This Row],[Total]]/Table2[[#This Row],[Global Total]]</f>
        <v>0.16794089899430914</v>
      </c>
      <c r="R26" t="e">
        <f>Table2[[#This Row],[Primary]]/Table2[[#This Row],[Global Primary]]</f>
        <v>#DIV/0!</v>
      </c>
      <c r="S26" t="e">
        <f>Table2[[#This Row],[Secondary]]/Table2[[#This Row],[Global Secondary]]</f>
        <v>#DIV/0!</v>
      </c>
      <c r="T26">
        <v>5642.023346303431</v>
      </c>
      <c r="U26">
        <f>Table2[[#This Row],[Asia Refined]]/Table2[[#This Row],[Global Total]]</f>
        <v>0.33697804134882825</v>
      </c>
      <c r="V26">
        <f>Table2[[#This Row],[Total]]/Table2[[#This Row],[Asia Refined]]</f>
        <v>0.49837342018515218</v>
      </c>
    </row>
    <row r="27" spans="1:23" x14ac:dyDescent="0.2">
      <c r="A27">
        <v>2005</v>
      </c>
      <c r="B27">
        <f t="shared" si="0"/>
        <v>1715.2925270791825</v>
      </c>
      <c r="C27">
        <f t="shared" si="1"/>
        <v>663.15841344453645</v>
      </c>
      <c r="D27">
        <f t="shared" si="2"/>
        <v>2378.4509405237191</v>
      </c>
      <c r="E27">
        <v>6190.49730288923</v>
      </c>
      <c r="F27">
        <f t="shared" si="3"/>
        <v>0.38420999544150486</v>
      </c>
      <c r="G27" s="33">
        <f t="shared" si="4"/>
        <v>0.73431599999999975</v>
      </c>
      <c r="H27">
        <f>D27/China!C57</f>
        <v>3.1212201952738066</v>
      </c>
      <c r="J27">
        <v>2005</v>
      </c>
      <c r="K27">
        <f>2.11E-57*EXP(0.0642298*Table2[[#This Row],[Year2]])*Table2[[#This Row],[Global Total]]</f>
        <v>2965.2341941231984</v>
      </c>
      <c r="N27" s="5">
        <v>16558</v>
      </c>
      <c r="Q27">
        <f>Table2[[#This Row],[Total]]/Table2[[#This Row],[Global Total]]</f>
        <v>0.17908166409730633</v>
      </c>
      <c r="R27" t="e">
        <f>Table2[[#This Row],[Primary]]/Table2[[#This Row],[Global Primary]]</f>
        <v>#DIV/0!</v>
      </c>
      <c r="S27" t="e">
        <f>Table2[[#This Row],[Secondary]]/Table2[[#This Row],[Global Secondary]]</f>
        <v>#DIV/0!</v>
      </c>
      <c r="T27">
        <v>6258.1063553826107</v>
      </c>
      <c r="U27">
        <f>Table2[[#This Row],[Asia Refined]]/Table2[[#This Row],[Global Total]]</f>
        <v>0.37795061936119162</v>
      </c>
      <c r="V27">
        <f>Table2[[#This Row],[Total]]/Table2[[#This Row],[Asia Refined]]</f>
        <v>0.47382291475004962</v>
      </c>
    </row>
    <row r="28" spans="1:23" x14ac:dyDescent="0.2">
      <c r="A28">
        <v>2006</v>
      </c>
      <c r="B28">
        <f t="shared" si="0"/>
        <v>1947.765198749009</v>
      </c>
      <c r="C28">
        <f>(C30-C27)*1/3+C27</f>
        <v>682.10560896302434</v>
      </c>
      <c r="D28">
        <f t="shared" si="2"/>
        <v>2629.8708077120332</v>
      </c>
      <c r="E28">
        <v>6631.5303332594312</v>
      </c>
      <c r="F28">
        <f t="shared" si="3"/>
        <v>0.39657072735116905</v>
      </c>
      <c r="G28" s="33">
        <f t="shared" si="4"/>
        <v>0.73976719999999929</v>
      </c>
      <c r="H28">
        <f>D28/China!C58</f>
        <v>3.011076046242362</v>
      </c>
      <c r="J28">
        <v>2006</v>
      </c>
      <c r="K28">
        <f>2.08E-40*EXP(0.0449812*Table2[[#This Row],[Year2]])*Table2[[#This Row],[Global Total]]</f>
        <v>5420.0350119459454</v>
      </c>
      <c r="N28" s="5">
        <v>16926</v>
      </c>
      <c r="Q28">
        <f>Table2[[#This Row],[Total]]/Table2[[#This Row],[Global Total]]</f>
        <v>0.32021948552203389</v>
      </c>
      <c r="R28" t="e">
        <f>Table2[[#This Row],[Primary]]/Table2[[#This Row],[Global Primary]]</f>
        <v>#DIV/0!</v>
      </c>
      <c r="S28" t="e">
        <f>Table2[[#This Row],[Secondary]]/Table2[[#This Row],[Global Secondary]]</f>
        <v>#DIV/0!</v>
      </c>
      <c r="T28">
        <v>6874.1893644617203</v>
      </c>
      <c r="U28">
        <f>Table2[[#This Row],[Asia Refined]]/Table2[[#This Row],[Global Total]]</f>
        <v>0.40613194874522746</v>
      </c>
      <c r="V28">
        <f>Table2[[#This Row],[Total]]/Table2[[#This Row],[Asia Refined]]</f>
        <v>0.78846169702081781</v>
      </c>
    </row>
    <row r="29" spans="1:23" x14ac:dyDescent="0.2">
      <c r="A29">
        <v>2007</v>
      </c>
      <c r="B29">
        <f t="shared" si="0"/>
        <v>2208.5286877205262</v>
      </c>
      <c r="C29">
        <f>(C30-C27)*2/3+C27</f>
        <v>701.05280448151211</v>
      </c>
      <c r="D29">
        <f t="shared" si="2"/>
        <v>2909.5814922020386</v>
      </c>
      <c r="E29">
        <v>7072.5633636296398</v>
      </c>
      <c r="F29">
        <f t="shared" si="3"/>
        <v>0.41138995051842719</v>
      </c>
      <c r="G29" s="33">
        <f t="shared" si="4"/>
        <v>0.74521840000000061</v>
      </c>
      <c r="H29">
        <f>D29/China!C59</f>
        <v>3.130032834789068</v>
      </c>
      <c r="J29" t="s">
        <v>84</v>
      </c>
      <c r="K29" t="e">
        <f>2.11E-57*EXP(0.0642298*Table2[[#This Row],[Year2]])*Table2[[#This Row],[Global Total]]</f>
        <v>#VALUE!</v>
      </c>
      <c r="L29" t="s">
        <v>525</v>
      </c>
      <c r="M29" t="s">
        <v>526</v>
      </c>
      <c r="N29" s="5">
        <v>18036</v>
      </c>
      <c r="Q29" t="s">
        <v>520</v>
      </c>
      <c r="R29" t="e">
        <f>Table2[[#This Row],[Primary]]/Table2[[#This Row],[Global Primary]]</f>
        <v>#VALUE!</v>
      </c>
      <c r="S29" t="e">
        <f>Table2[[#This Row],[Secondary]]/Table2[[#This Row],[Global Secondary]]</f>
        <v>#VALUE!</v>
      </c>
      <c r="T29">
        <v>7587.5486381322107</v>
      </c>
      <c r="U29">
        <f>Table2[[#This Row],[Asia Refined]]/Table2[[#This Row],[Global Total]]</f>
        <v>0.42068910169284823</v>
      </c>
      <c r="V29" t="e">
        <f>Table2[[#This Row],[Total]]/Table2[[#This Row],[Asia Refined]]</f>
        <v>#VALUE!</v>
      </c>
      <c r="W29" t="s">
        <v>527</v>
      </c>
    </row>
    <row r="30" spans="1:23" x14ac:dyDescent="0.2">
      <c r="A30">
        <v>2008</v>
      </c>
      <c r="B30" s="7">
        <v>2453.4</v>
      </c>
      <c r="C30" s="7">
        <v>720</v>
      </c>
      <c r="D30" s="7">
        <v>3173.4</v>
      </c>
      <c r="E30">
        <v>7438.4837064952299</v>
      </c>
      <c r="F30" s="7">
        <f t="shared" ref="F30:F39" si="5">D30/E30</f>
        <v>0.426619204291462</v>
      </c>
      <c r="G30" s="33">
        <f t="shared" si="4"/>
        <v>0.75066960000000016</v>
      </c>
      <c r="H30">
        <f>D30/China!C60</f>
        <v>2.9517116932764709</v>
      </c>
      <c r="J30">
        <v>2008</v>
      </c>
      <c r="K30" s="7">
        <v>5202.1000000000004</v>
      </c>
      <c r="L30" s="7"/>
      <c r="M30" s="7"/>
      <c r="N30" s="5">
        <v>17888</v>
      </c>
      <c r="O30" s="7">
        <v>12284.9</v>
      </c>
      <c r="P30" s="7">
        <v>2824.9</v>
      </c>
      <c r="Q30">
        <f>Table2[[#This Row],[Total]]/Table2[[#This Row],[Global Total]]</f>
        <v>0.29081507155635067</v>
      </c>
      <c r="R30">
        <f>Table2[[#This Row],[Primary]]/Table2[[#This Row],[Global Primary]]</f>
        <v>0</v>
      </c>
      <c r="S30">
        <f>Table2[[#This Row],[Secondary]]/Table2[[#This Row],[Global Secondary]]</f>
        <v>0</v>
      </c>
      <c r="T30">
        <v>7749.6757457846707</v>
      </c>
      <c r="U30">
        <f>Table2[[#This Row],[Asia Refined]]/Table2[[#This Row],[Global Total]]</f>
        <v>0.43323321476882104</v>
      </c>
      <c r="V30">
        <f>Table2[[#This Row],[Total]]/Table2[[#This Row],[Asia Refined]]</f>
        <v>0.6712667949790817</v>
      </c>
      <c r="W30">
        <f>Table2[[#This Row],[Primary]]/Table2[[#This Row],[Total]]</f>
        <v>0</v>
      </c>
    </row>
    <row r="31" spans="1:23" x14ac:dyDescent="0.2">
      <c r="A31">
        <v>2009</v>
      </c>
      <c r="B31" s="7">
        <v>2694</v>
      </c>
      <c r="C31" s="7">
        <v>780</v>
      </c>
      <c r="D31" s="7">
        <v>3474</v>
      </c>
      <c r="E31">
        <v>7638.9935712702199</v>
      </c>
      <c r="F31" s="7">
        <f t="shared" si="5"/>
        <v>0.45477194968005968</v>
      </c>
      <c r="G31" s="33">
        <f t="shared" ref="G31:G39" si="6">B31/D31</f>
        <v>0.7754749568221071</v>
      </c>
      <c r="H31">
        <f>D31/China!C61</f>
        <v>3.6065366140289501</v>
      </c>
      <c r="J31">
        <v>2009</v>
      </c>
      <c r="K31" s="7">
        <v>7118.7</v>
      </c>
      <c r="L31" s="7"/>
      <c r="M31" s="7"/>
      <c r="N31" s="5">
        <v>17899</v>
      </c>
      <c r="O31" s="7">
        <v>12121.9</v>
      </c>
      <c r="P31" s="7">
        <v>2847.4</v>
      </c>
      <c r="Q31">
        <f>Table2[[#This Row],[Total]]/Table2[[#This Row],[Global Total]]</f>
        <v>0.39771495614280128</v>
      </c>
      <c r="R31">
        <f>Table2[[#This Row],[Primary]]/Table2[[#This Row],[Global Primary]]</f>
        <v>0</v>
      </c>
      <c r="S31">
        <f>Table2[[#This Row],[Secondary]]/Table2[[#This Row],[Global Secondary]]</f>
        <v>0</v>
      </c>
      <c r="T31">
        <v>7911.8028534370096</v>
      </c>
      <c r="U31">
        <f>Table2[[#This Row],[Asia Refined]]/Table2[[#This Row],[Global Total]]</f>
        <v>0.44202485353578463</v>
      </c>
      <c r="V31">
        <f>Table2[[#This Row],[Total]]/Table2[[#This Row],[Asia Refined]]</f>
        <v>0.89975700000000969</v>
      </c>
      <c r="W31">
        <f>Table2[[#This Row],[Primary]]/Table2[[#This Row],[Total]]</f>
        <v>0</v>
      </c>
    </row>
    <row r="32" spans="1:23" x14ac:dyDescent="0.2">
      <c r="A32">
        <v>2010</v>
      </c>
      <c r="B32" s="7">
        <v>2825.6</v>
      </c>
      <c r="C32" s="7">
        <v>975</v>
      </c>
      <c r="D32" s="7">
        <v>3800.6</v>
      </c>
      <c r="E32">
        <v>8004.91391413581</v>
      </c>
      <c r="F32" s="7">
        <f t="shared" si="5"/>
        <v>0.47478336941120036</v>
      </c>
      <c r="G32" s="33">
        <f t="shared" si="6"/>
        <v>0.74346155870125774</v>
      </c>
      <c r="H32">
        <f>D32/China!C62</f>
        <v>3.2891673662255831</v>
      </c>
      <c r="J32">
        <v>2010</v>
      </c>
      <c r="K32" s="7">
        <v>7393.1</v>
      </c>
      <c r="L32" s="7"/>
      <c r="M32" s="7"/>
      <c r="N32" s="5">
        <v>19141</v>
      </c>
      <c r="O32" s="7">
        <v>12419.7</v>
      </c>
      <c r="P32" s="7">
        <v>3236.4</v>
      </c>
      <c r="Q32">
        <f>Table2[[#This Row],[Total]]/Table2[[#This Row],[Global Total]]</f>
        <v>0.38624418786897236</v>
      </c>
      <c r="R32">
        <f>Table2[[#This Row],[Primary]]/Table2[[#This Row],[Global Primary]]</f>
        <v>0</v>
      </c>
      <c r="S32">
        <f>Table2[[#This Row],[Secondary]]/Table2[[#This Row],[Global Secondary]]</f>
        <v>0</v>
      </c>
      <c r="T32">
        <v>8430.6095979247111</v>
      </c>
      <c r="U32">
        <f>Table2[[#This Row],[Asia Refined]]/Table2[[#This Row],[Global Total]]</f>
        <v>0.4404477089976862</v>
      </c>
      <c r="V32">
        <f>Table2[[#This Row],[Total]]/Table2[[#This Row],[Asia Refined]]</f>
        <v>0.87693540000000647</v>
      </c>
      <c r="W32">
        <f>Table2[[#This Row],[Primary]]/Table2[[#This Row],[Total]]</f>
        <v>0</v>
      </c>
    </row>
    <row r="33" spans="1:23" x14ac:dyDescent="0.2">
      <c r="A33">
        <v>2011</v>
      </c>
      <c r="B33" s="7">
        <v>3036.7</v>
      </c>
      <c r="C33" s="7">
        <v>1080</v>
      </c>
      <c r="D33" s="7">
        <v>4116.7</v>
      </c>
      <c r="E33">
        <v>8115.1259883248304</v>
      </c>
      <c r="F33" s="7">
        <f t="shared" si="5"/>
        <v>0.50728725665167296</v>
      </c>
      <c r="G33" s="33">
        <f t="shared" si="6"/>
        <v>0.73765394612189372</v>
      </c>
      <c r="H33">
        <f>D33/China!C63</f>
        <v>3.2541205132035862</v>
      </c>
      <c r="J33">
        <v>2011</v>
      </c>
      <c r="K33" s="7">
        <v>7884.9</v>
      </c>
      <c r="L33" s="7"/>
      <c r="M33" s="7"/>
      <c r="N33" s="5">
        <v>19715</v>
      </c>
      <c r="O33" s="7">
        <v>12674.1</v>
      </c>
      <c r="P33" s="7">
        <v>3467.6</v>
      </c>
      <c r="Q33">
        <f>Table2[[#This Row],[Total]]/Table2[[#This Row],[Global Total]]</f>
        <v>0.39994420492011157</v>
      </c>
      <c r="R33">
        <f>Table2[[#This Row],[Primary]]/Table2[[#This Row],[Global Primary]]</f>
        <v>0</v>
      </c>
      <c r="S33">
        <f>Table2[[#This Row],[Secondary]]/Table2[[#This Row],[Global Secondary]]</f>
        <v>0</v>
      </c>
      <c r="T33">
        <v>8916.9909208819699</v>
      </c>
      <c r="U33">
        <f>Table2[[#This Row],[Asia Refined]]/Table2[[#This Row],[Global Total]]</f>
        <v>0.45229474617712251</v>
      </c>
      <c r="V33">
        <f>Table2[[#This Row],[Total]]/Table2[[#This Row],[Asia Refined]]</f>
        <v>0.88425569454545461</v>
      </c>
      <c r="W33">
        <f>Table2[[#This Row],[Primary]]/Table2[[#This Row],[Total]]</f>
        <v>0</v>
      </c>
    </row>
    <row r="34" spans="1:23" x14ac:dyDescent="0.2">
      <c r="A34">
        <v>2012</v>
      </c>
      <c r="B34" s="7">
        <v>3601.4</v>
      </c>
      <c r="C34" s="7">
        <v>1145</v>
      </c>
      <c r="D34" s="7">
        <v>4746.3999999999996</v>
      </c>
      <c r="E34">
        <v>8841.8680263060596</v>
      </c>
      <c r="F34" s="7">
        <f t="shared" si="5"/>
        <v>0.53680964089021155</v>
      </c>
      <c r="G34" s="33">
        <f t="shared" si="6"/>
        <v>0.7587645373335582</v>
      </c>
      <c r="H34">
        <f>D34/China!C64</f>
        <v>3.3530690429581949</v>
      </c>
      <c r="J34">
        <v>2012</v>
      </c>
      <c r="K34" s="7">
        <v>8904.7999999999993</v>
      </c>
      <c r="L34" s="7"/>
      <c r="M34" s="7"/>
      <c r="N34" s="5">
        <v>20483</v>
      </c>
      <c r="O34" s="7">
        <v>12954.4</v>
      </c>
      <c r="P34" s="7">
        <v>3596.5</v>
      </c>
      <c r="Q34">
        <f>Table2[[#This Row],[Total]]/Table2[[#This Row],[Global Total]]</f>
        <v>0.43474100473563437</v>
      </c>
      <c r="R34">
        <f>Table2[[#This Row],[Primary]]/Table2[[#This Row],[Global Primary]]</f>
        <v>0</v>
      </c>
      <c r="S34">
        <f>Table2[[#This Row],[Secondary]]/Table2[[#This Row],[Global Secondary]]</f>
        <v>0</v>
      </c>
      <c r="T34">
        <v>9695.2010376134203</v>
      </c>
      <c r="U34">
        <f>Table2[[#This Row],[Asia Refined]]/Table2[[#This Row],[Global Total]]</f>
        <v>0.47332915283959481</v>
      </c>
      <c r="V34">
        <f>Table2[[#This Row],[Total]]/Table2[[#This Row],[Asia Refined]]</f>
        <v>0.91847502341137766</v>
      </c>
      <c r="W34">
        <f>Table2[[#This Row],[Primary]]/Table2[[#This Row],[Total]]</f>
        <v>0</v>
      </c>
    </row>
    <row r="35" spans="1:23" x14ac:dyDescent="0.2">
      <c r="A35">
        <v>2013</v>
      </c>
      <c r="B35" s="7">
        <v>4228.8999999999996</v>
      </c>
      <c r="C35" s="7">
        <v>1295</v>
      </c>
      <c r="D35" s="7">
        <v>5523.9</v>
      </c>
      <c r="E35">
        <v>9508.5346929727293</v>
      </c>
      <c r="F35" s="7">
        <f t="shared" si="5"/>
        <v>0.58094124682349124</v>
      </c>
      <c r="G35" s="33">
        <f t="shared" si="6"/>
        <v>0.76556418472456056</v>
      </c>
      <c r="H35">
        <f>D35/China!C65</f>
        <v>3.7503360698699444</v>
      </c>
      <c r="J35">
        <v>2013</v>
      </c>
      <c r="K35" s="7">
        <v>9660.7999999999993</v>
      </c>
      <c r="L35" s="7"/>
      <c r="M35" s="7"/>
      <c r="N35" s="5">
        <v>21417</v>
      </c>
      <c r="O35" s="7">
        <v>13463</v>
      </c>
      <c r="P35" s="7">
        <v>3803.5</v>
      </c>
      <c r="Q35">
        <f>Table2[[#This Row],[Total]]/Table2[[#This Row],[Global Total]]</f>
        <v>0.45108091702852871</v>
      </c>
      <c r="R35">
        <f>Table2[[#This Row],[Primary]]/Table2[[#This Row],[Global Primary]]</f>
        <v>0</v>
      </c>
      <c r="S35">
        <f>Table2[[#This Row],[Secondary]]/Table2[[#This Row],[Global Secondary]]</f>
        <v>0</v>
      </c>
      <c r="T35">
        <v>10473.411154344969</v>
      </c>
      <c r="U35">
        <f>Table2[[#This Row],[Asia Refined]]/Table2[[#This Row],[Global Total]]</f>
        <v>0.48902325976303723</v>
      </c>
      <c r="V35">
        <f>Table2[[#This Row],[Total]]/Table2[[#This Row],[Asia Refined]]</f>
        <v>0.92241198761610232</v>
      </c>
      <c r="W35">
        <f>Table2[[#This Row],[Primary]]/Table2[[#This Row],[Total]]</f>
        <v>0</v>
      </c>
    </row>
    <row r="36" spans="1:23" x14ac:dyDescent="0.2">
      <c r="A36">
        <v>2014</v>
      </c>
      <c r="B36" s="7">
        <v>5167.8999999999996</v>
      </c>
      <c r="C36" s="7">
        <v>1350</v>
      </c>
      <c r="D36" s="7">
        <v>6517.9</v>
      </c>
      <c r="E36">
        <v>10641.4320549767</v>
      </c>
      <c r="F36" s="7">
        <f t="shared" si="5"/>
        <v>0.61250214880165121</v>
      </c>
      <c r="G36" s="33">
        <f t="shared" si="6"/>
        <v>0.79287807422636125</v>
      </c>
      <c r="H36">
        <f>D36/China!C66</f>
        <v>4.1819142381838539</v>
      </c>
      <c r="J36">
        <v>2014</v>
      </c>
      <c r="K36" s="7">
        <v>10995.2</v>
      </c>
      <c r="L36" s="7"/>
      <c r="M36" s="7"/>
      <c r="N36" s="5">
        <v>22927</v>
      </c>
      <c r="O36" s="7">
        <v>14669.8</v>
      </c>
      <c r="P36" s="7">
        <v>3915</v>
      </c>
      <c r="Q36">
        <f>Table2[[#This Row],[Total]]/Table2[[#This Row],[Global Total]]</f>
        <v>0.47957430104243909</v>
      </c>
      <c r="R36">
        <f>Table2[[#This Row],[Primary]]/Table2[[#This Row],[Global Primary]]</f>
        <v>0</v>
      </c>
      <c r="S36">
        <f>Table2[[#This Row],[Secondary]]/Table2[[#This Row],[Global Secondary]]</f>
        <v>0</v>
      </c>
      <c r="T36">
        <v>11673.15175097276</v>
      </c>
      <c r="U36">
        <f>Table2[[#This Row],[Asia Refined]]/Table2[[#This Row],[Global Total]]</f>
        <v>0.50914431678687833</v>
      </c>
      <c r="V36">
        <f>Table2[[#This Row],[Total]]/Table2[[#This Row],[Asia Refined]]</f>
        <v>0.94192213333333363</v>
      </c>
      <c r="W36">
        <f>Table2[[#This Row],[Primary]]/Table2[[#This Row],[Total]]</f>
        <v>0</v>
      </c>
    </row>
    <row r="37" spans="1:23" x14ac:dyDescent="0.2">
      <c r="A37">
        <v>2015</v>
      </c>
      <c r="B37" s="7">
        <v>5504.8</v>
      </c>
      <c r="C37" s="7">
        <v>1380</v>
      </c>
      <c r="D37" s="7">
        <v>6884.8</v>
      </c>
      <c r="E37">
        <v>10977.2038720165</v>
      </c>
      <c r="F37" s="7">
        <f t="shared" si="5"/>
        <v>0.62719068355385021</v>
      </c>
      <c r="G37" s="33">
        <f t="shared" si="6"/>
        <v>0.7995584475947014</v>
      </c>
      <c r="H37">
        <f>D37/China!C67</f>
        <v>4.5600711616961451</v>
      </c>
      <c r="J37">
        <v>2015</v>
      </c>
      <c r="K37" s="7">
        <v>11355.3</v>
      </c>
      <c r="L37" s="7"/>
      <c r="M37" s="7"/>
      <c r="N37" s="5">
        <v>23081</v>
      </c>
      <c r="O37" s="7">
        <v>14982.7</v>
      </c>
      <c r="P37" s="7">
        <v>3945.5</v>
      </c>
      <c r="Q37">
        <f>Table2[[#This Row],[Total]]/Table2[[#This Row],[Global Total]]</f>
        <v>0.49197608422512018</v>
      </c>
      <c r="R37">
        <f>Table2[[#This Row],[Primary]]/Table2[[#This Row],[Global Primary]]</f>
        <v>0</v>
      </c>
      <c r="S37">
        <f>Table2[[#This Row],[Secondary]]/Table2[[#This Row],[Global Secondary]]</f>
        <v>0</v>
      </c>
      <c r="T37">
        <v>11900.129701686019</v>
      </c>
      <c r="U37">
        <f>Table2[[#This Row],[Asia Refined]]/Table2[[#This Row],[Global Total]]</f>
        <v>0.51558120106087335</v>
      </c>
      <c r="V37">
        <f>Table2[[#This Row],[Total]]/Table2[[#This Row],[Asia Refined]]</f>
        <v>0.95421649046322343</v>
      </c>
      <c r="W37">
        <f>Table2[[#This Row],[Primary]]/Table2[[#This Row],[Total]]</f>
        <v>0</v>
      </c>
    </row>
    <row r="38" spans="1:23" x14ac:dyDescent="0.2">
      <c r="A38">
        <v>2016</v>
      </c>
      <c r="B38" s="7">
        <v>5798</v>
      </c>
      <c r="C38" s="7">
        <v>1410.3</v>
      </c>
      <c r="D38" s="7">
        <v>7208.3</v>
      </c>
      <c r="E38">
        <v>11403.273479642299</v>
      </c>
      <c r="F38" s="7">
        <f t="shared" si="5"/>
        <v>0.63212550438859705</v>
      </c>
      <c r="G38" s="33">
        <f t="shared" si="6"/>
        <v>0.80435054034931952</v>
      </c>
      <c r="H38">
        <f>D38/China!C68</f>
        <v>4.6974910394265237</v>
      </c>
      <c r="J38">
        <v>2016</v>
      </c>
      <c r="K38" s="7">
        <v>11693.9</v>
      </c>
      <c r="L38" s="7"/>
      <c r="M38" s="7"/>
      <c r="N38" s="5">
        <v>23605</v>
      </c>
      <c r="O38" s="7">
        <v>15589.9</v>
      </c>
      <c r="P38" s="7">
        <v>3866.1</v>
      </c>
      <c r="Q38">
        <f>Table2[[#This Row],[Total]]/Table2[[#This Row],[Global Total]]</f>
        <v>0.49539927981359883</v>
      </c>
      <c r="R38">
        <f>Table2[[#This Row],[Primary]]/Table2[[#This Row],[Global Primary]]</f>
        <v>0</v>
      </c>
      <c r="S38">
        <f>Table2[[#This Row],[Secondary]]/Table2[[#This Row],[Global Secondary]]</f>
        <v>0</v>
      </c>
      <c r="T38">
        <v>12645.914396887129</v>
      </c>
      <c r="U38">
        <f>Table2[[#This Row],[Asia Refined]]/Table2[[#This Row],[Global Total]]</f>
        <v>0.53573032818839772</v>
      </c>
      <c r="V38">
        <f>Table2[[#This Row],[Total]]/Table2[[#This Row],[Asia Refined]]</f>
        <v>0.92471763076923297</v>
      </c>
      <c r="W38">
        <f>Table2[[#This Row],[Primary]]/Table2[[#This Row],[Total]]</f>
        <v>0</v>
      </c>
    </row>
    <row r="39" spans="1:23" x14ac:dyDescent="0.2">
      <c r="A39">
        <v>2017</v>
      </c>
      <c r="B39" s="7">
        <v>6050</v>
      </c>
      <c r="C39" s="7">
        <v>1510</v>
      </c>
      <c r="D39" s="7">
        <v>7560</v>
      </c>
      <c r="E39">
        <v>11768.9721421709</v>
      </c>
      <c r="F39" s="7">
        <f t="shared" si="5"/>
        <v>0.64236705709505448</v>
      </c>
      <c r="G39" s="33">
        <f t="shared" si="6"/>
        <v>0.80026455026455023</v>
      </c>
      <c r="H39">
        <f>D39/China!C69</f>
        <v>4.7380295813487088</v>
      </c>
      <c r="J39">
        <v>2017</v>
      </c>
      <c r="K39" s="7">
        <v>11809.3</v>
      </c>
      <c r="L39" s="7"/>
      <c r="M39" s="7"/>
      <c r="N39" s="5">
        <v>23789</v>
      </c>
      <c r="O39" s="7">
        <v>15722.2</v>
      </c>
      <c r="P39" s="7">
        <v>4053.1</v>
      </c>
      <c r="Q39">
        <f>Table2[[#This Row],[Total]]/Table2[[#This Row],[Global Total]]</f>
        <v>0.49641851275799737</v>
      </c>
      <c r="R39">
        <f>Table2[[#This Row],[Primary]]/Table2[[#This Row],[Global Primary]]</f>
        <v>0</v>
      </c>
      <c r="S39">
        <f>Table2[[#This Row],[Secondary]]/Table2[[#This Row],[Global Secondary]]</f>
        <v>0</v>
      </c>
      <c r="T39">
        <v>13164.721141374761</v>
      </c>
      <c r="U39">
        <f>Table2[[#This Row],[Asia Refined]]/Table2[[#This Row],[Global Total]]</f>
        <v>0.55339531469901049</v>
      </c>
      <c r="V39">
        <f>Table2[[#This Row],[Total]]/Table2[[#This Row],[Asia Refined]]</f>
        <v>0.89704140886700023</v>
      </c>
      <c r="W39">
        <f>Table2[[#This Row],[Primary]]/Table2[[#This Row],[Total]]</f>
        <v>0</v>
      </c>
    </row>
    <row r="40" spans="1:23" x14ac:dyDescent="0.2">
      <c r="N40" s="23">
        <v>24216</v>
      </c>
      <c r="Q40">
        <f>Table2[[#This Row],[Total]]/Table2[[#This Row],[Global Total]]</f>
        <v>0</v>
      </c>
      <c r="R40" t="e">
        <f>Table2[[#This Row],[Primary]]/Table2[[#This Row],[Global Primary]]</f>
        <v>#DIV/0!</v>
      </c>
      <c r="S40" t="e">
        <f>Table2[[#This Row],[Secondary]]/Table2[[#This Row],[Global Secondary]]</f>
        <v>#DIV/0!</v>
      </c>
      <c r="U40">
        <f>Table2[[#This Row],[Asia Refined]]/Table2[[#This Row],[Global Total]]</f>
        <v>0</v>
      </c>
      <c r="V40" t="e">
        <f>Table2[[#This Row],[Total]]/Table2[[#This Row],[Asia Refined]]</f>
        <v>#DIV/0!</v>
      </c>
    </row>
    <row r="41" spans="1:23" x14ac:dyDescent="0.2">
      <c r="Q41" t="e">
        <f>Table2[[#This Row],[Total]]/Table2[[#This Row],[Global Total]]</f>
        <v>#DIV/0!</v>
      </c>
      <c r="R41" t="e">
        <f>Table2[[#This Row],[Primary]]/Table2[[#This Row],[Global Primary]]</f>
        <v>#DIV/0!</v>
      </c>
      <c r="S41" t="e">
        <f>Table2[[#This Row],[Secondary]]/Table2[[#This Row],[Global Secondary]]</f>
        <v>#DIV/0!</v>
      </c>
      <c r="U41" t="e">
        <f>Table2[[#This Row],[Asia Refined]]/Table2[[#This Row],[Global Total]]</f>
        <v>#DIV/0!</v>
      </c>
      <c r="V41" t="e">
        <f>Table2[[#This Row],[Total]]/Table2[[#This Row],[Asia Refined]]</f>
        <v>#DIV/0!</v>
      </c>
    </row>
    <row r="42" spans="1:23" x14ac:dyDescent="0.2">
      <c r="F42" s="7"/>
      <c r="G42" s="7"/>
      <c r="H42" s="7"/>
      <c r="I42" s="7"/>
      <c r="J42" s="7"/>
      <c r="K42" s="7"/>
      <c r="L42" s="7"/>
      <c r="M42" s="7"/>
      <c r="N42" s="7"/>
      <c r="O42" s="7"/>
      <c r="Q42" t="e">
        <f>Table2[[#This Row],[Total]]/Table2[[#This Row],[Global Total]]</f>
        <v>#DIV/0!</v>
      </c>
      <c r="R42" t="e">
        <f>Table2[[#This Row],[Primary]]/Table2[[#This Row],[Global Primary]]</f>
        <v>#DIV/0!</v>
      </c>
      <c r="S42" t="e">
        <f>Table2[[#This Row],[Secondary]]/Table2[[#This Row],[Global Secondary]]</f>
        <v>#DIV/0!</v>
      </c>
      <c r="U42" t="e">
        <f>Table2[[#This Row],[Asia Refined]]/Table2[[#This Row],[Global Total]]</f>
        <v>#DIV/0!</v>
      </c>
      <c r="V42" t="e">
        <f>Table2[[#This Row],[Total]]/Table2[[#This Row],[Asia Refined]]</f>
        <v>#DIV/0!</v>
      </c>
    </row>
    <row r="43" spans="1:23" x14ac:dyDescent="0.2">
      <c r="Q43" t="e">
        <f>Table2[[#This Row],[Total]]/Table2[[#This Row],[Global Total]]</f>
        <v>#DIV/0!</v>
      </c>
      <c r="R43" t="e">
        <f>Table2[[#This Row],[Primary]]/Table2[[#This Row],[Global Primary]]</f>
        <v>#DIV/0!</v>
      </c>
      <c r="S43" t="e">
        <f>Table2[[#This Row],[Secondary]]/Table2[[#This Row],[Global Secondary]]</f>
        <v>#DIV/0!</v>
      </c>
      <c r="U43" t="e">
        <f>Table2[[#This Row],[Asia Refined]]/Table2[[#This Row],[Global Total]]</f>
        <v>#DIV/0!</v>
      </c>
      <c r="V43" t="e">
        <f>Table2[[#This Row],[Total]]/Table2[[#This Row],[Asia Refined]]</f>
        <v>#DIV/0!</v>
      </c>
    </row>
    <row r="44" spans="1:23" x14ac:dyDescent="0.2">
      <c r="Q44" t="e">
        <f>Table2[[#This Row],[Total]]/Table2[[#This Row],[Global Total]]</f>
        <v>#DIV/0!</v>
      </c>
      <c r="R44" t="e">
        <f>Table2[[#This Row],[Primary]]/Table2[[#This Row],[Global Primary]]</f>
        <v>#DIV/0!</v>
      </c>
      <c r="S44" t="e">
        <f>Table2[[#This Row],[Secondary]]/Table2[[#This Row],[Global Secondary]]</f>
        <v>#DIV/0!</v>
      </c>
      <c r="U44" t="e">
        <f>Table2[[#This Row],[Asia Refined]]/Table2[[#This Row],[Global Total]]</f>
        <v>#DIV/0!</v>
      </c>
      <c r="V44" t="e">
        <f>Table2[[#This Row],[Total]]/Table2[[#This Row],[Asia Refined]]</f>
        <v>#DIV/0!</v>
      </c>
    </row>
    <row r="45" spans="1:23" x14ac:dyDescent="0.2">
      <c r="Q45" t="e">
        <f>Table2[[#This Row],[Total]]/Table2[[#This Row],[Global Total]]</f>
        <v>#DIV/0!</v>
      </c>
      <c r="R45" t="e">
        <f>Table2[[#This Row],[Primary]]/Table2[[#This Row],[Global Primary]]</f>
        <v>#DIV/0!</v>
      </c>
      <c r="S45" t="e">
        <f>Table2[[#This Row],[Secondary]]/Table2[[#This Row],[Global Secondary]]</f>
        <v>#DIV/0!</v>
      </c>
      <c r="U45" t="e">
        <f>Table2[[#This Row],[Asia Refined]]/Table2[[#This Row],[Global Total]]</f>
        <v>#DIV/0!</v>
      </c>
      <c r="V45" t="e">
        <f>Table2[[#This Row],[Total]]/Table2[[#This Row],[Asia Refined]]</f>
        <v>#DIV/0!</v>
      </c>
    </row>
    <row r="46" spans="1:23" x14ac:dyDescent="0.2">
      <c r="Q46" t="e">
        <f>Table2[[#This Row],[Total]]/Table2[[#This Row],[Global Total]]</f>
        <v>#DIV/0!</v>
      </c>
      <c r="R46" t="e">
        <f>Table2[[#This Row],[Primary]]/Table2[[#This Row],[Global Primary]]</f>
        <v>#DIV/0!</v>
      </c>
      <c r="S46" t="e">
        <f>Table2[[#This Row],[Secondary]]/Table2[[#This Row],[Global Secondary]]</f>
        <v>#DIV/0!</v>
      </c>
      <c r="U46" t="e">
        <f>Table2[[#This Row],[Asia Refined]]/Table2[[#This Row],[Global Total]]</f>
        <v>#DIV/0!</v>
      </c>
      <c r="V46" t="e">
        <f>Table2[[#This Row],[Total]]/Table2[[#This Row],[Asia Refined]]</f>
        <v>#DIV/0!</v>
      </c>
    </row>
    <row r="47" spans="1:23" x14ac:dyDescent="0.2">
      <c r="Q47" t="e">
        <f>Table2[[#This Row],[Total]]/Table2[[#This Row],[Global Total]]</f>
        <v>#DIV/0!</v>
      </c>
      <c r="R47" t="e">
        <f>Table2[[#This Row],[Primary]]/Table2[[#This Row],[Global Primary]]</f>
        <v>#DIV/0!</v>
      </c>
      <c r="S47" t="e">
        <f>Table2[[#This Row],[Secondary]]/Table2[[#This Row],[Global Secondary]]</f>
        <v>#DIV/0!</v>
      </c>
      <c r="U47" t="e">
        <f>Table2[[#This Row],[Asia Refined]]/Table2[[#This Row],[Global Total]]</f>
        <v>#DIV/0!</v>
      </c>
      <c r="V47" t="e">
        <f>Table2[[#This Row],[Total]]/Table2[[#This Row],[Asia Refined]]</f>
        <v>#DIV/0!</v>
      </c>
    </row>
    <row r="48" spans="1:23" x14ac:dyDescent="0.2">
      <c r="Q48" t="e">
        <f>Table2[[#This Row],[Total]]/Table2[[#This Row],[Global Total]]</f>
        <v>#DIV/0!</v>
      </c>
      <c r="R48" t="e">
        <f>Table2[[#This Row],[Primary]]/Table2[[#This Row],[Global Primary]]</f>
        <v>#DIV/0!</v>
      </c>
      <c r="S48" t="e">
        <f>Table2[[#This Row],[Secondary]]/Table2[[#This Row],[Global Secondary]]</f>
        <v>#DIV/0!</v>
      </c>
      <c r="U48" t="e">
        <f>Table2[[#This Row],[Asia Refined]]/Table2[[#This Row],[Global Total]]</f>
        <v>#DIV/0!</v>
      </c>
      <c r="V48" t="e">
        <f>Table2[[#This Row],[Total]]/Table2[[#This Row],[Asia Refined]]</f>
        <v>#DIV/0!</v>
      </c>
    </row>
    <row r="49" spans="17:22" x14ac:dyDescent="0.2">
      <c r="Q49" t="e">
        <f>Table2[[#This Row],[Total]]/Table2[[#This Row],[Global Total]]</f>
        <v>#DIV/0!</v>
      </c>
      <c r="R49" t="e">
        <f>Table2[[#This Row],[Primary]]/Table2[[#This Row],[Global Primary]]</f>
        <v>#DIV/0!</v>
      </c>
      <c r="S49" t="e">
        <f>Table2[[#This Row],[Secondary]]/Table2[[#This Row],[Global Secondary]]</f>
        <v>#DIV/0!</v>
      </c>
      <c r="U49" t="e">
        <f>Table2[[#This Row],[Asia Refined]]/Table2[[#This Row],[Global Total]]</f>
        <v>#DIV/0!</v>
      </c>
      <c r="V49" t="e">
        <f>Table2[[#This Row],[Total]]/Table2[[#This Row],[Asia Refined]]</f>
        <v>#DIV/0!</v>
      </c>
    </row>
    <row r="50" spans="17:22" x14ac:dyDescent="0.2">
      <c r="Q50" t="e">
        <f>Table2[[#This Row],[Total]]/Table2[[#This Row],[Global Total]]</f>
        <v>#DIV/0!</v>
      </c>
      <c r="R50" t="e">
        <f>Table2[[#This Row],[Primary]]/Table2[[#This Row],[Global Primary]]</f>
        <v>#DIV/0!</v>
      </c>
      <c r="S50" t="e">
        <f>Table2[[#This Row],[Secondary]]/Table2[[#This Row],[Global Secondary]]</f>
        <v>#DIV/0!</v>
      </c>
      <c r="U50" t="e">
        <f>Table2[[#This Row],[Asia Refined]]/Table2[[#This Row],[Global Total]]</f>
        <v>#DIV/0!</v>
      </c>
      <c r="V50" t="e">
        <f>Table2[[#This Row],[Total]]/Table2[[#This Row],[Asia Refined]]</f>
        <v>#DIV/0!</v>
      </c>
    </row>
    <row r="51" spans="17:22" x14ac:dyDescent="0.2">
      <c r="Q51" t="e">
        <f>Table2[[#This Row],[Total]]/Table2[[#This Row],[Global Total]]</f>
        <v>#DIV/0!</v>
      </c>
      <c r="R51" t="e">
        <f>Table2[[#This Row],[Primary]]/Table2[[#This Row],[Global Primary]]</f>
        <v>#DIV/0!</v>
      </c>
      <c r="S51" t="e">
        <f>Table2[[#This Row],[Secondary]]/Table2[[#This Row],[Global Secondary]]</f>
        <v>#DIV/0!</v>
      </c>
      <c r="U51" t="e">
        <f>Table2[[#This Row],[Asia Refined]]/Table2[[#This Row],[Global Total]]</f>
        <v>#DIV/0!</v>
      </c>
      <c r="V51" t="e">
        <f>Table2[[#This Row],[Total]]/Table2[[#This Row],[Asia Refined]]</f>
        <v>#DIV/0!</v>
      </c>
    </row>
    <row r="52" spans="17:22" x14ac:dyDescent="0.2">
      <c r="Q52" t="e">
        <f>Table2[[#This Row],[Total]]/Table2[[#This Row],[Global Total]]</f>
        <v>#DIV/0!</v>
      </c>
      <c r="R52" t="e">
        <f>Table2[[#This Row],[Primary]]/Table2[[#This Row],[Global Primary]]</f>
        <v>#DIV/0!</v>
      </c>
      <c r="S52" t="e">
        <f>Table2[[#This Row],[Secondary]]/Table2[[#This Row],[Global Secondary]]</f>
        <v>#DIV/0!</v>
      </c>
      <c r="U52" t="e">
        <f>Table2[[#This Row],[Asia Refined]]/Table2[[#This Row],[Global Total]]</f>
        <v>#DIV/0!</v>
      </c>
      <c r="V52" t="e">
        <f>Table2[[#This Row],[Total]]/Table2[[#This Row],[Asia Refined]]</f>
        <v>#DIV/0!</v>
      </c>
    </row>
    <row r="53" spans="17:22" x14ac:dyDescent="0.2">
      <c r="Q53" t="e">
        <f>Table2[[#This Row],[Total]]/Table2[[#This Row],[Global Total]]</f>
        <v>#DIV/0!</v>
      </c>
      <c r="R53" t="e">
        <f>Table2[[#This Row],[Primary]]/Table2[[#This Row],[Global Primary]]</f>
        <v>#DIV/0!</v>
      </c>
      <c r="S53" t="e">
        <f>Table2[[#This Row],[Secondary]]/Table2[[#This Row],[Global Secondary]]</f>
        <v>#DIV/0!</v>
      </c>
      <c r="U53" t="e">
        <f>Table2[[#This Row],[Asia Refined]]/Table2[[#This Row],[Global Total]]</f>
        <v>#DIV/0!</v>
      </c>
      <c r="V53" t="e">
        <f>Table2[[#This Row],[Total]]/Table2[[#This Row],[Asia Refined]]</f>
        <v>#DIV/0!</v>
      </c>
    </row>
    <row r="54" spans="17:22" x14ac:dyDescent="0.2">
      <c r="Q54" t="e">
        <f>Table2[[#This Row],[Total]]/Table2[[#This Row],[Global Total]]</f>
        <v>#DIV/0!</v>
      </c>
      <c r="R54" t="e">
        <f>Table2[[#This Row],[Primary]]/Table2[[#This Row],[Global Primary]]</f>
        <v>#DIV/0!</v>
      </c>
      <c r="S54" t="e">
        <f>Table2[[#This Row],[Secondary]]/Table2[[#This Row],[Global Secondary]]</f>
        <v>#DIV/0!</v>
      </c>
      <c r="U54" t="e">
        <f>Table2[[#This Row],[Asia Refined]]/Table2[[#This Row],[Global Total]]</f>
        <v>#DIV/0!</v>
      </c>
      <c r="V54" t="e">
        <f>Table2[[#This Row],[Total]]/Table2[[#This Row],[Asia Refined]]</f>
        <v>#DIV/0!</v>
      </c>
    </row>
    <row r="55" spans="17:22" x14ac:dyDescent="0.2">
      <c r="Q55" t="e">
        <f>Table2[[#This Row],[Total]]/Table2[[#This Row],[Global Total]]</f>
        <v>#DIV/0!</v>
      </c>
      <c r="R55" t="e">
        <f>Table2[[#This Row],[Primary]]/Table2[[#This Row],[Global Primary]]</f>
        <v>#DIV/0!</v>
      </c>
      <c r="S55" t="e">
        <f>Table2[[#This Row],[Secondary]]/Table2[[#This Row],[Global Secondary]]</f>
        <v>#DIV/0!</v>
      </c>
      <c r="U55" t="e">
        <f>Table2[[#This Row],[Asia Refined]]/Table2[[#This Row],[Global Total]]</f>
        <v>#DIV/0!</v>
      </c>
      <c r="V55" t="e">
        <f>Table2[[#This Row],[Total]]/Table2[[#This Row],[Asia Refined]]</f>
        <v>#DIV/0!</v>
      </c>
    </row>
    <row r="56" spans="17:22" x14ac:dyDescent="0.2">
      <c r="Q56" t="e">
        <f>Table2[[#This Row],[Total]]/Table2[[#This Row],[Global Total]]</f>
        <v>#DIV/0!</v>
      </c>
      <c r="R56" t="e">
        <f>Table2[[#This Row],[Primary]]/Table2[[#This Row],[Global Primary]]</f>
        <v>#DIV/0!</v>
      </c>
      <c r="S56" t="e">
        <f>Table2[[#This Row],[Secondary]]/Table2[[#This Row],[Global Secondary]]</f>
        <v>#DIV/0!</v>
      </c>
      <c r="U56" t="e">
        <f>Table2[[#This Row],[Asia Refined]]/Table2[[#This Row],[Global Total]]</f>
        <v>#DIV/0!</v>
      </c>
      <c r="V56" t="e">
        <f>Table2[[#This Row],[Total]]/Table2[[#This Row],[Asia Refined]]</f>
        <v>#DIV/0!</v>
      </c>
    </row>
    <row r="57" spans="17:22" x14ac:dyDescent="0.2">
      <c r="Q57" t="e">
        <f>Table2[[#This Row],[Total]]/Table2[[#This Row],[Global Total]]</f>
        <v>#DIV/0!</v>
      </c>
      <c r="R57" t="e">
        <f>Table2[[#This Row],[Primary]]/Table2[[#This Row],[Global Primary]]</f>
        <v>#DIV/0!</v>
      </c>
      <c r="S57" t="e">
        <f>Table2[[#This Row],[Secondary]]/Table2[[#This Row],[Global Secondary]]</f>
        <v>#DIV/0!</v>
      </c>
      <c r="U57" t="e">
        <f>Table2[[#This Row],[Asia Refined]]/Table2[[#This Row],[Global Total]]</f>
        <v>#DIV/0!</v>
      </c>
      <c r="V57" t="e">
        <f>Table2[[#This Row],[Total]]/Table2[[#This Row],[Asia Refined]]</f>
        <v>#DIV/0!</v>
      </c>
    </row>
    <row r="58" spans="17:22" x14ac:dyDescent="0.2">
      <c r="Q58" t="e">
        <f>Table2[[#This Row],[Total]]/Table2[[#This Row],[Global Total]]</f>
        <v>#DIV/0!</v>
      </c>
      <c r="R58" t="e">
        <f>Table2[[#This Row],[Primary]]/Table2[[#This Row],[Global Primary]]</f>
        <v>#DIV/0!</v>
      </c>
      <c r="S58" t="e">
        <f>Table2[[#This Row],[Secondary]]/Table2[[#This Row],[Global Secondary]]</f>
        <v>#DIV/0!</v>
      </c>
      <c r="U58" t="e">
        <f>Table2[[#This Row],[Asia Refined]]/Table2[[#This Row],[Global Total]]</f>
        <v>#DIV/0!</v>
      </c>
      <c r="V58" t="e">
        <f>Table2[[#This Row],[Total]]/Table2[[#This Row],[Asia Refined]]</f>
        <v>#DIV/0!</v>
      </c>
    </row>
    <row r="59" spans="17:22" x14ac:dyDescent="0.2">
      <c r="Q59" t="e">
        <f>Table2[[#This Row],[Total]]/Table2[[#This Row],[Global Total]]</f>
        <v>#DIV/0!</v>
      </c>
      <c r="R59" t="e">
        <f>Table2[[#This Row],[Primary]]/Table2[[#This Row],[Global Primary]]</f>
        <v>#DIV/0!</v>
      </c>
      <c r="S59" t="e">
        <f>Table2[[#This Row],[Secondary]]/Table2[[#This Row],[Global Secondary]]</f>
        <v>#DIV/0!</v>
      </c>
      <c r="U59" t="e">
        <f>Table2[[#This Row],[Asia Refined]]/Table2[[#This Row],[Global Total]]</f>
        <v>#DIV/0!</v>
      </c>
      <c r="V59" t="e">
        <f>Table2[[#This Row],[Total]]/Table2[[#This Row],[Asia Refined]]</f>
        <v>#DIV/0!</v>
      </c>
    </row>
    <row r="60" spans="17:22" x14ac:dyDescent="0.2">
      <c r="Q60" t="e">
        <f>Table2[[#This Row],[Total]]/Table2[[#This Row],[Global Total]]</f>
        <v>#DIV/0!</v>
      </c>
      <c r="R60" t="e">
        <f>Table2[[#This Row],[Primary]]/Table2[[#This Row],[Global Primary]]</f>
        <v>#DIV/0!</v>
      </c>
      <c r="S60" t="e">
        <f>Table2[[#This Row],[Secondary]]/Table2[[#This Row],[Global Secondary]]</f>
        <v>#DIV/0!</v>
      </c>
      <c r="U60" t="e">
        <f>Table2[[#This Row],[Asia Refined]]/Table2[[#This Row],[Global Total]]</f>
        <v>#DIV/0!</v>
      </c>
      <c r="V60" t="e">
        <f>Table2[[#This Row],[Total]]/Table2[[#This Row],[Asia Refined]]</f>
        <v>#DIV/0!</v>
      </c>
    </row>
    <row r="61" spans="17:22" x14ac:dyDescent="0.2">
      <c r="Q61" t="e">
        <f>Table2[[#This Row],[Total]]/Table2[[#This Row],[Global Total]]</f>
        <v>#DIV/0!</v>
      </c>
      <c r="R61" t="e">
        <f>Table2[[#This Row],[Primary]]/Table2[[#This Row],[Global Primary]]</f>
        <v>#DIV/0!</v>
      </c>
      <c r="S61" t="e">
        <f>Table2[[#This Row],[Secondary]]/Table2[[#This Row],[Global Secondary]]</f>
        <v>#DIV/0!</v>
      </c>
      <c r="U61" t="e">
        <f>Table2[[#This Row],[Asia Refined]]/Table2[[#This Row],[Global Total]]</f>
        <v>#DIV/0!</v>
      </c>
      <c r="V61" t="e">
        <f>Table2[[#This Row],[Total]]/Table2[[#This Row],[Asia Refined]]</f>
        <v>#DIV/0!</v>
      </c>
    </row>
    <row r="62" spans="17:22" x14ac:dyDescent="0.2">
      <c r="Q62" t="e">
        <f>Table2[[#This Row],[Total]]/Table2[[#This Row],[Global Total]]</f>
        <v>#DIV/0!</v>
      </c>
      <c r="R62" t="e">
        <f>Table2[[#This Row],[Primary]]/Table2[[#This Row],[Global Primary]]</f>
        <v>#DIV/0!</v>
      </c>
      <c r="S62" t="e">
        <f>Table2[[#This Row],[Secondary]]/Table2[[#This Row],[Global Secondary]]</f>
        <v>#DIV/0!</v>
      </c>
      <c r="U62" t="e">
        <f>Table2[[#This Row],[Asia Refined]]/Table2[[#This Row],[Global Total]]</f>
        <v>#DIV/0!</v>
      </c>
      <c r="V62" t="e">
        <f>Table2[[#This Row],[Total]]/Table2[[#This Row],[Asia Refined]]</f>
        <v>#DIV/0!</v>
      </c>
    </row>
    <row r="63" spans="17:22" x14ac:dyDescent="0.2">
      <c r="Q63" t="e">
        <f>Table2[[#This Row],[Total]]/Table2[[#This Row],[Global Total]]</f>
        <v>#DIV/0!</v>
      </c>
      <c r="R63" t="e">
        <f>Table2[[#This Row],[Primary]]/Table2[[#This Row],[Global Primary]]</f>
        <v>#DIV/0!</v>
      </c>
      <c r="S63" t="e">
        <f>Table2[[#This Row],[Secondary]]/Table2[[#This Row],[Global Secondary]]</f>
        <v>#DIV/0!</v>
      </c>
      <c r="U63" t="e">
        <f>Table2[[#This Row],[Asia Refined]]/Table2[[#This Row],[Global Total]]</f>
        <v>#DIV/0!</v>
      </c>
      <c r="V63" t="e">
        <f>Table2[[#This Row],[Total]]/Table2[[#This Row],[Asia Refined]]</f>
        <v>#DIV/0!</v>
      </c>
    </row>
    <row r="64" spans="17:22" x14ac:dyDescent="0.2">
      <c r="Q64" t="e">
        <f>Table2[[#This Row],[Total]]/Table2[[#This Row],[Global Total]]</f>
        <v>#DIV/0!</v>
      </c>
      <c r="R64" t="e">
        <f>Table2[[#This Row],[Primary]]/Table2[[#This Row],[Global Primary]]</f>
        <v>#DIV/0!</v>
      </c>
      <c r="S64" t="e">
        <f>Table2[[#This Row],[Secondary]]/Table2[[#This Row],[Global Secondary]]</f>
        <v>#DIV/0!</v>
      </c>
      <c r="U64" t="e">
        <f>Table2[[#This Row],[Asia Refined]]/Table2[[#This Row],[Global Total]]</f>
        <v>#DIV/0!</v>
      </c>
      <c r="V64" t="e">
        <f>Table2[[#This Row],[Total]]/Table2[[#This Row],[Asia Refined]]</f>
        <v>#DIV/0!</v>
      </c>
    </row>
    <row r="65" spans="17:22" x14ac:dyDescent="0.2">
      <c r="Q65" t="e">
        <f>Table2[[#This Row],[Total]]/Table2[[#This Row],[Global Total]]</f>
        <v>#DIV/0!</v>
      </c>
      <c r="R65" t="e">
        <f>Table2[[#This Row],[Primary]]/Table2[[#This Row],[Global Primary]]</f>
        <v>#DIV/0!</v>
      </c>
      <c r="S65" t="e">
        <f>Table2[[#This Row],[Secondary]]/Table2[[#This Row],[Global Secondary]]</f>
        <v>#DIV/0!</v>
      </c>
      <c r="U65" t="e">
        <f>Table2[[#This Row],[Asia Refined]]/Table2[[#This Row],[Global Total]]</f>
        <v>#DIV/0!</v>
      </c>
      <c r="V65" t="e">
        <f>Table2[[#This Row],[Total]]/Table2[[#This Row],[Asia Refined]]</f>
        <v>#DIV/0!</v>
      </c>
    </row>
    <row r="66" spans="17:22" x14ac:dyDescent="0.2">
      <c r="Q66" t="e">
        <f>Table2[[#This Row],[Total]]/Table2[[#This Row],[Global Total]]</f>
        <v>#DIV/0!</v>
      </c>
      <c r="R66" t="e">
        <f>Table2[[#This Row],[Primary]]/Table2[[#This Row],[Global Primary]]</f>
        <v>#DIV/0!</v>
      </c>
      <c r="S66" t="e">
        <f>Table2[[#This Row],[Secondary]]/Table2[[#This Row],[Global Secondary]]</f>
        <v>#DIV/0!</v>
      </c>
      <c r="U66" t="e">
        <f>Table2[[#This Row],[Asia Refined]]/Table2[[#This Row],[Global Total]]</f>
        <v>#DIV/0!</v>
      </c>
      <c r="V66" t="e">
        <f>Table2[[#This Row],[Total]]/Table2[[#This Row],[Asia Refined]]</f>
        <v>#DIV/0!</v>
      </c>
    </row>
    <row r="67" spans="17:22" x14ac:dyDescent="0.2">
      <c r="Q67" t="e">
        <f>Table2[[#This Row],[Total]]/Table2[[#This Row],[Global Total]]</f>
        <v>#DIV/0!</v>
      </c>
      <c r="R67" t="e">
        <f>Table2[[#This Row],[Primary]]/Table2[[#This Row],[Global Primary]]</f>
        <v>#DIV/0!</v>
      </c>
      <c r="S67" t="e">
        <f>Table2[[#This Row],[Secondary]]/Table2[[#This Row],[Global Secondary]]</f>
        <v>#DIV/0!</v>
      </c>
      <c r="U67" t="e">
        <f>Table2[[#This Row],[Asia Refined]]/Table2[[#This Row],[Global Total]]</f>
        <v>#DIV/0!</v>
      </c>
      <c r="V67" t="e">
        <f>Table2[[#This Row],[Total]]/Table2[[#This Row],[Asia Refined]]</f>
        <v>#DIV/0!</v>
      </c>
    </row>
    <row r="68" spans="17:22" x14ac:dyDescent="0.2">
      <c r="Q68" t="e">
        <f>Table2[[#This Row],[Total]]/Table2[[#This Row],[Global Total]]</f>
        <v>#DIV/0!</v>
      </c>
      <c r="R68" t="e">
        <f>Table2[[#This Row],[Primary]]/Table2[[#This Row],[Global Primary]]</f>
        <v>#DIV/0!</v>
      </c>
      <c r="S68" t="e">
        <f>Table2[[#This Row],[Secondary]]/Table2[[#This Row],[Global Secondary]]</f>
        <v>#DIV/0!</v>
      </c>
      <c r="U68" t="e">
        <f>Table2[[#This Row],[Asia Refined]]/Table2[[#This Row],[Global Total]]</f>
        <v>#DIV/0!</v>
      </c>
      <c r="V68" t="e">
        <f>Table2[[#This Row],[Total]]/Table2[[#This Row],[Asia Refined]]</f>
        <v>#DIV/0!</v>
      </c>
    </row>
    <row r="69" spans="17:22" x14ac:dyDescent="0.2">
      <c r="Q69" t="e">
        <f>Table2[[#This Row],[Total]]/Table2[[#This Row],[Global Total]]</f>
        <v>#DIV/0!</v>
      </c>
      <c r="R69" t="e">
        <f>Table2[[#This Row],[Primary]]/Table2[[#This Row],[Global Primary]]</f>
        <v>#DIV/0!</v>
      </c>
      <c r="S69" t="e">
        <f>Table2[[#This Row],[Secondary]]/Table2[[#This Row],[Global Secondary]]</f>
        <v>#DIV/0!</v>
      </c>
      <c r="U69" t="e">
        <f>Table2[[#This Row],[Asia Refined]]/Table2[[#This Row],[Global Total]]</f>
        <v>#DIV/0!</v>
      </c>
      <c r="V69" t="e">
        <f>Table2[[#This Row],[Total]]/Table2[[#This Row],[Asia Refined]]</f>
        <v>#DIV/0!</v>
      </c>
    </row>
    <row r="70" spans="17:22" x14ac:dyDescent="0.2">
      <c r="Q70" t="e">
        <f>Table2[[#This Row],[Total]]/Table2[[#This Row],[Global Total]]</f>
        <v>#DIV/0!</v>
      </c>
      <c r="R70" t="e">
        <f>Table2[[#This Row],[Primary]]/Table2[[#This Row],[Global Primary]]</f>
        <v>#DIV/0!</v>
      </c>
      <c r="S70" t="e">
        <f>Table2[[#This Row],[Secondary]]/Table2[[#This Row],[Global Secondary]]</f>
        <v>#DIV/0!</v>
      </c>
      <c r="U70" t="e">
        <f>Table2[[#This Row],[Asia Refined]]/Table2[[#This Row],[Global Total]]</f>
        <v>#DIV/0!</v>
      </c>
      <c r="V70" t="e">
        <f>Table2[[#This Row],[Total]]/Table2[[#This Row],[Asia Refined]]</f>
        <v>#DIV/0!</v>
      </c>
    </row>
    <row r="71" spans="17:22" x14ac:dyDescent="0.2">
      <c r="Q71" t="e">
        <f>Table2[[#This Row],[Total]]/Table2[[#This Row],[Global Total]]</f>
        <v>#DIV/0!</v>
      </c>
      <c r="R71" t="e">
        <f>Table2[[#This Row],[Primary]]/Table2[[#This Row],[Global Primary]]</f>
        <v>#DIV/0!</v>
      </c>
      <c r="S71" t="e">
        <f>Table2[[#This Row],[Secondary]]/Table2[[#This Row],[Global Secondary]]</f>
        <v>#DIV/0!</v>
      </c>
      <c r="U71" t="e">
        <f>Table2[[#This Row],[Asia Refined]]/Table2[[#This Row],[Global Total]]</f>
        <v>#DIV/0!</v>
      </c>
      <c r="V71" t="e">
        <f>Table2[[#This Row],[Total]]/Table2[[#This Row],[Asia Refined]]</f>
        <v>#DIV/0!</v>
      </c>
    </row>
    <row r="72" spans="17:22" x14ac:dyDescent="0.2">
      <c r="Q72" t="e">
        <f>Table2[[#This Row],[Total]]/Table2[[#This Row],[Global Total]]</f>
        <v>#DIV/0!</v>
      </c>
      <c r="R72" t="e">
        <f>Table2[[#This Row],[Primary]]/Table2[[#This Row],[Global Primary]]</f>
        <v>#DIV/0!</v>
      </c>
      <c r="S72" t="e">
        <f>Table2[[#This Row],[Secondary]]/Table2[[#This Row],[Global Secondary]]</f>
        <v>#DIV/0!</v>
      </c>
      <c r="U72" t="e">
        <f>Table2[[#This Row],[Asia Refined]]/Table2[[#This Row],[Global Total]]</f>
        <v>#DIV/0!</v>
      </c>
      <c r="V72" t="e">
        <f>Table2[[#This Row],[Total]]/Table2[[#This Row],[Asia Refined]]</f>
        <v>#DIV/0!</v>
      </c>
    </row>
    <row r="73" spans="17:22" x14ac:dyDescent="0.2">
      <c r="Q73" t="e">
        <f>Table2[[#This Row],[Total]]/Table2[[#This Row],[Global Total]]</f>
        <v>#DIV/0!</v>
      </c>
      <c r="R73" t="e">
        <f>Table2[[#This Row],[Primary]]/Table2[[#This Row],[Global Primary]]</f>
        <v>#DIV/0!</v>
      </c>
      <c r="S73" t="e">
        <f>Table2[[#This Row],[Secondary]]/Table2[[#This Row],[Global Secondary]]</f>
        <v>#DIV/0!</v>
      </c>
      <c r="U73" t="e">
        <f>Table2[[#This Row],[Asia Refined]]/Table2[[#This Row],[Global Total]]</f>
        <v>#DIV/0!</v>
      </c>
      <c r="V73" t="e">
        <f>Table2[[#This Row],[Total]]/Table2[[#This Row],[Asia Refined]]</f>
        <v>#DIV/0!</v>
      </c>
    </row>
    <row r="74" spans="17:22" x14ac:dyDescent="0.2">
      <c r="Q74" t="e">
        <f>Table2[[#This Row],[Total]]/Table2[[#This Row],[Global Total]]</f>
        <v>#DIV/0!</v>
      </c>
      <c r="R74" t="e">
        <f>Table2[[#This Row],[Primary]]/Table2[[#This Row],[Global Primary]]</f>
        <v>#DIV/0!</v>
      </c>
      <c r="S74" t="e">
        <f>Table2[[#This Row],[Secondary]]/Table2[[#This Row],[Global Secondary]]</f>
        <v>#DIV/0!</v>
      </c>
      <c r="U74" t="e">
        <f>Table2[[#This Row],[Asia Refined]]/Table2[[#This Row],[Global Total]]</f>
        <v>#DIV/0!</v>
      </c>
      <c r="V74" t="e">
        <f>Table2[[#This Row],[Total]]/Table2[[#This Row],[Asia Refined]]</f>
        <v>#DIV/0!</v>
      </c>
    </row>
    <row r="75" spans="17:22" x14ac:dyDescent="0.2">
      <c r="Q75" t="e">
        <f>Table2[[#This Row],[Total]]/Table2[[#This Row],[Global Total]]</f>
        <v>#DIV/0!</v>
      </c>
      <c r="R75" t="e">
        <f>Table2[[#This Row],[Primary]]/Table2[[#This Row],[Global Primary]]</f>
        <v>#DIV/0!</v>
      </c>
      <c r="S75" t="e">
        <f>Table2[[#This Row],[Secondary]]/Table2[[#This Row],[Global Secondary]]</f>
        <v>#DIV/0!</v>
      </c>
      <c r="U75" t="e">
        <f>Table2[[#This Row],[Asia Refined]]/Table2[[#This Row],[Global Total]]</f>
        <v>#DIV/0!</v>
      </c>
      <c r="V75" t="e">
        <f>Table2[[#This Row],[Total]]/Table2[[#This Row],[Asia Refined]]</f>
        <v>#DIV/0!</v>
      </c>
    </row>
    <row r="76" spans="17:22" x14ac:dyDescent="0.2">
      <c r="Q76" t="e">
        <f>Table2[[#This Row],[Total]]/Table2[[#This Row],[Global Total]]</f>
        <v>#DIV/0!</v>
      </c>
      <c r="R76" t="e">
        <f>Table2[[#This Row],[Primary]]/Table2[[#This Row],[Global Primary]]</f>
        <v>#DIV/0!</v>
      </c>
      <c r="S76" t="e">
        <f>Table2[[#This Row],[Secondary]]/Table2[[#This Row],[Global Secondary]]</f>
        <v>#DIV/0!</v>
      </c>
      <c r="U76" t="e">
        <f>Table2[[#This Row],[Asia Refined]]/Table2[[#This Row],[Global Total]]</f>
        <v>#DIV/0!</v>
      </c>
      <c r="V76" t="e">
        <f>Table2[[#This Row],[Total]]/Table2[[#This Row],[Asia Refined]]</f>
        <v>#DIV/0!</v>
      </c>
    </row>
    <row r="77" spans="17:22" x14ac:dyDescent="0.2">
      <c r="Q77" t="e">
        <f>Table2[[#This Row],[Total]]/Table2[[#This Row],[Global Total]]</f>
        <v>#DIV/0!</v>
      </c>
      <c r="R77" t="e">
        <f>Table2[[#This Row],[Primary]]/Table2[[#This Row],[Global Primary]]</f>
        <v>#DIV/0!</v>
      </c>
      <c r="S77" t="e">
        <f>Table2[[#This Row],[Secondary]]/Table2[[#This Row],[Global Secondary]]</f>
        <v>#DIV/0!</v>
      </c>
      <c r="U77" t="e">
        <f>Table2[[#This Row],[Asia Refined]]/Table2[[#This Row],[Global Total]]</f>
        <v>#DIV/0!</v>
      </c>
      <c r="V77" t="e">
        <f>Table2[[#This Row],[Total]]/Table2[[#This Row],[Asia Refined]]</f>
        <v>#DIV/0!</v>
      </c>
    </row>
    <row r="78" spans="17:22" x14ac:dyDescent="0.2">
      <c r="Q78" t="e">
        <f>Table2[[#This Row],[Total]]/Table2[[#This Row],[Global Total]]</f>
        <v>#DIV/0!</v>
      </c>
      <c r="R78" t="e">
        <f>Table2[[#This Row],[Primary]]/Table2[[#This Row],[Global Primary]]</f>
        <v>#DIV/0!</v>
      </c>
      <c r="S78" t="e">
        <f>Table2[[#This Row],[Secondary]]/Table2[[#This Row],[Global Secondary]]</f>
        <v>#DIV/0!</v>
      </c>
      <c r="U78" t="e">
        <f>Table2[[#This Row],[Asia Refined]]/Table2[[#This Row],[Global Total]]</f>
        <v>#DIV/0!</v>
      </c>
      <c r="V78" t="e">
        <f>Table2[[#This Row],[Total]]/Table2[[#This Row],[Asia Refined]]</f>
        <v>#DIV/0!</v>
      </c>
    </row>
    <row r="79" spans="17:22" x14ac:dyDescent="0.2">
      <c r="Q79" t="e">
        <f>Table2[[#This Row],[Total]]/Table2[[#This Row],[Global Total]]</f>
        <v>#DIV/0!</v>
      </c>
      <c r="R79" t="e">
        <f>Table2[[#This Row],[Primary]]/Table2[[#This Row],[Global Primary]]</f>
        <v>#DIV/0!</v>
      </c>
      <c r="S79" t="e">
        <f>Table2[[#This Row],[Secondary]]/Table2[[#This Row],[Global Secondary]]</f>
        <v>#DIV/0!</v>
      </c>
      <c r="U79" t="e">
        <f>Table2[[#This Row],[Asia Refined]]/Table2[[#This Row],[Global Total]]</f>
        <v>#DIV/0!</v>
      </c>
      <c r="V79" t="e">
        <f>Table2[[#This Row],[Total]]/Table2[[#This Row],[Asia Refined]]</f>
        <v>#DIV/0!</v>
      </c>
    </row>
    <row r="80" spans="17:22" x14ac:dyDescent="0.2">
      <c r="Q80" t="e">
        <f>Table2[[#This Row],[Total]]/Table2[[#This Row],[Global Total]]</f>
        <v>#DIV/0!</v>
      </c>
      <c r="R80" t="e">
        <f>Table2[[#This Row],[Primary]]/Table2[[#This Row],[Global Primary]]</f>
        <v>#DIV/0!</v>
      </c>
      <c r="S80" t="e">
        <f>Table2[[#This Row],[Secondary]]/Table2[[#This Row],[Global Secondary]]</f>
        <v>#DIV/0!</v>
      </c>
      <c r="U80" t="e">
        <f>Table2[[#This Row],[Asia Refined]]/Table2[[#This Row],[Global Total]]</f>
        <v>#DIV/0!</v>
      </c>
      <c r="V80" t="e">
        <f>Table2[[#This Row],[Total]]/Table2[[#This Row],[Asia Refined]]</f>
        <v>#DIV/0!</v>
      </c>
    </row>
    <row r="81" spans="17:22" x14ac:dyDescent="0.2">
      <c r="Q81" t="e">
        <f>Table2[[#This Row],[Total]]/Table2[[#This Row],[Global Total]]</f>
        <v>#DIV/0!</v>
      </c>
      <c r="R81" t="e">
        <f>Table2[[#This Row],[Primary]]/Table2[[#This Row],[Global Primary]]</f>
        <v>#DIV/0!</v>
      </c>
      <c r="S81" t="e">
        <f>Table2[[#This Row],[Secondary]]/Table2[[#This Row],[Global Secondary]]</f>
        <v>#DIV/0!</v>
      </c>
      <c r="U81" t="e">
        <f>Table2[[#This Row],[Asia Refined]]/Table2[[#This Row],[Global Total]]</f>
        <v>#DIV/0!</v>
      </c>
      <c r="V81" t="e">
        <f>Table2[[#This Row],[Total]]/Table2[[#This Row],[Asia Refined]]</f>
        <v>#DIV/0!</v>
      </c>
    </row>
    <row r="82" spans="17:22" x14ac:dyDescent="0.2">
      <c r="Q82" t="e">
        <f>Table2[[#This Row],[Total]]/Table2[[#This Row],[Global Total]]</f>
        <v>#DIV/0!</v>
      </c>
      <c r="R82" t="e">
        <f>Table2[[#This Row],[Primary]]/Table2[[#This Row],[Global Primary]]</f>
        <v>#DIV/0!</v>
      </c>
      <c r="S82" t="e">
        <f>Table2[[#This Row],[Secondary]]/Table2[[#This Row],[Global Secondary]]</f>
        <v>#DIV/0!</v>
      </c>
      <c r="U82" t="e">
        <f>Table2[[#This Row],[Asia Refined]]/Table2[[#This Row],[Global Total]]</f>
        <v>#DIV/0!</v>
      </c>
      <c r="V82" t="e">
        <f>Table2[[#This Row],[Total]]/Table2[[#This Row],[Asia Refined]]</f>
        <v>#DIV/0!</v>
      </c>
    </row>
    <row r="83" spans="17:22" x14ac:dyDescent="0.2">
      <c r="Q83" t="e">
        <f>Table2[[#This Row],[Total]]/Table2[[#This Row],[Global Total]]</f>
        <v>#DIV/0!</v>
      </c>
      <c r="R83" t="e">
        <f>Table2[[#This Row],[Primary]]/Table2[[#This Row],[Global Primary]]</f>
        <v>#DIV/0!</v>
      </c>
      <c r="S83" t="e">
        <f>Table2[[#This Row],[Secondary]]/Table2[[#This Row],[Global Secondary]]</f>
        <v>#DIV/0!</v>
      </c>
      <c r="U83" t="e">
        <f>Table2[[#This Row],[Asia Refined]]/Table2[[#This Row],[Global Total]]</f>
        <v>#DIV/0!</v>
      </c>
      <c r="V83" t="e">
        <f>Table2[[#This Row],[Total]]/Table2[[#This Row],[Asia Refined]]</f>
        <v>#DIV/0!</v>
      </c>
    </row>
    <row r="84" spans="17:22" x14ac:dyDescent="0.2">
      <c r="Q84" t="e">
        <f>Table2[[#This Row],[Total]]/Table2[[#This Row],[Global Total]]</f>
        <v>#DIV/0!</v>
      </c>
      <c r="R84" t="e">
        <f>Table2[[#This Row],[Primary]]/Table2[[#This Row],[Global Primary]]</f>
        <v>#DIV/0!</v>
      </c>
      <c r="S84" t="e">
        <f>Table2[[#This Row],[Secondary]]/Table2[[#This Row],[Global Secondary]]</f>
        <v>#DIV/0!</v>
      </c>
      <c r="U84" t="e">
        <f>Table2[[#This Row],[Asia Refined]]/Table2[[#This Row],[Global Total]]</f>
        <v>#DIV/0!</v>
      </c>
      <c r="V84" t="e">
        <f>Table2[[#This Row],[Total]]/Table2[[#This Row],[Asia Refined]]</f>
        <v>#DIV/0!</v>
      </c>
    </row>
    <row r="85" spans="17:22" x14ac:dyDescent="0.2">
      <c r="Q85" t="e">
        <f>Table2[[#This Row],[Total]]/Table2[[#This Row],[Global Total]]</f>
        <v>#DIV/0!</v>
      </c>
      <c r="R85" t="e">
        <f>Table2[[#This Row],[Primary]]/Table2[[#This Row],[Global Primary]]</f>
        <v>#DIV/0!</v>
      </c>
      <c r="S85" t="e">
        <f>Table2[[#This Row],[Secondary]]/Table2[[#This Row],[Global Secondary]]</f>
        <v>#DIV/0!</v>
      </c>
      <c r="U85" t="e">
        <f>Table2[[#This Row],[Asia Refined]]/Table2[[#This Row],[Global Total]]</f>
        <v>#DIV/0!</v>
      </c>
      <c r="V85" t="e">
        <f>Table2[[#This Row],[Total]]/Table2[[#This Row],[Asia Refined]]</f>
        <v>#DIV/0!</v>
      </c>
    </row>
    <row r="86" spans="17:22" x14ac:dyDescent="0.2">
      <c r="Q86" t="e">
        <f>Table2[[#This Row],[Total]]/Table2[[#This Row],[Global Total]]</f>
        <v>#DIV/0!</v>
      </c>
      <c r="R86" t="e">
        <f>Table2[[#This Row],[Primary]]/Table2[[#This Row],[Global Primary]]</f>
        <v>#DIV/0!</v>
      </c>
      <c r="S86" t="e">
        <f>Table2[[#This Row],[Secondary]]/Table2[[#This Row],[Global Secondary]]</f>
        <v>#DIV/0!</v>
      </c>
      <c r="U86" t="e">
        <f>Table2[[#This Row],[Asia Refined]]/Table2[[#This Row],[Global Total]]</f>
        <v>#DIV/0!</v>
      </c>
      <c r="V86" t="e">
        <f>Table2[[#This Row],[Total]]/Table2[[#This Row],[Asia Refined]]</f>
        <v>#DIV/0!</v>
      </c>
    </row>
    <row r="87" spans="17:22" x14ac:dyDescent="0.2">
      <c r="Q87" t="e">
        <f>Table2[[#This Row],[Total]]/Table2[[#This Row],[Global Total]]</f>
        <v>#DIV/0!</v>
      </c>
      <c r="R87" t="e">
        <f>Table2[[#This Row],[Primary]]/Table2[[#This Row],[Global Primary]]</f>
        <v>#DIV/0!</v>
      </c>
      <c r="S87" t="e">
        <f>Table2[[#This Row],[Secondary]]/Table2[[#This Row],[Global Secondary]]</f>
        <v>#DIV/0!</v>
      </c>
      <c r="U87" t="e">
        <f>Table2[[#This Row],[Asia Refined]]/Table2[[#This Row],[Global Total]]</f>
        <v>#DIV/0!</v>
      </c>
      <c r="V87" t="e">
        <f>Table2[[#This Row],[Total]]/Table2[[#This Row],[Asia Refined]]</f>
        <v>#DIV/0!</v>
      </c>
    </row>
    <row r="88" spans="17:22" x14ac:dyDescent="0.2">
      <c r="Q88" t="e">
        <f>Table2[[#This Row],[Total]]/Table2[[#This Row],[Global Total]]</f>
        <v>#DIV/0!</v>
      </c>
      <c r="R88" t="e">
        <f>Table2[[#This Row],[Primary]]/Table2[[#This Row],[Global Primary]]</f>
        <v>#DIV/0!</v>
      </c>
      <c r="S88" t="e">
        <f>Table2[[#This Row],[Secondary]]/Table2[[#This Row],[Global Secondary]]</f>
        <v>#DIV/0!</v>
      </c>
      <c r="U88" t="e">
        <f>Table2[[#This Row],[Asia Refined]]/Table2[[#This Row],[Global Total]]</f>
        <v>#DIV/0!</v>
      </c>
      <c r="V88" t="e">
        <f>Table2[[#This Row],[Total]]/Table2[[#This Row],[Asia Refined]]</f>
        <v>#DIV/0!</v>
      </c>
    </row>
    <row r="89" spans="17:22" x14ac:dyDescent="0.2">
      <c r="Q89" t="e">
        <f>Table2[[#This Row],[Total]]/Table2[[#This Row],[Global Total]]</f>
        <v>#DIV/0!</v>
      </c>
      <c r="R89" t="e">
        <f>Table2[[#This Row],[Primary]]/Table2[[#This Row],[Global Primary]]</f>
        <v>#DIV/0!</v>
      </c>
      <c r="S89" t="e">
        <f>Table2[[#This Row],[Secondary]]/Table2[[#This Row],[Global Secondary]]</f>
        <v>#DIV/0!</v>
      </c>
      <c r="U89" t="e">
        <f>Table2[[#This Row],[Asia Refined]]/Table2[[#This Row],[Global Total]]</f>
        <v>#DIV/0!</v>
      </c>
      <c r="V89" t="e">
        <f>Table2[[#This Row],[Total]]/Table2[[#This Row],[Asia Refined]]</f>
        <v>#DIV/0!</v>
      </c>
    </row>
    <row r="90" spans="17:22" x14ac:dyDescent="0.2">
      <c r="Q90" t="e">
        <f>Table2[[#This Row],[Total]]/Table2[[#This Row],[Global Total]]</f>
        <v>#DIV/0!</v>
      </c>
      <c r="R90" t="e">
        <f>Table2[[#This Row],[Primary]]/Table2[[#This Row],[Global Primary]]</f>
        <v>#DIV/0!</v>
      </c>
      <c r="S90" t="e">
        <f>Table2[[#This Row],[Secondary]]/Table2[[#This Row],[Global Secondary]]</f>
        <v>#DIV/0!</v>
      </c>
      <c r="U90" t="e">
        <f>Table2[[#This Row],[Asia Refined]]/Table2[[#This Row],[Global Total]]</f>
        <v>#DIV/0!</v>
      </c>
      <c r="V90" t="e">
        <f>Table2[[#This Row],[Total]]/Table2[[#This Row],[Asia Refined]]</f>
        <v>#DIV/0!</v>
      </c>
    </row>
    <row r="91" spans="17:22" x14ac:dyDescent="0.2">
      <c r="Q91" t="e">
        <f>Table2[[#This Row],[Total]]/Table2[[#This Row],[Global Total]]</f>
        <v>#DIV/0!</v>
      </c>
      <c r="R91" t="e">
        <f>Table2[[#This Row],[Primary]]/Table2[[#This Row],[Global Primary]]</f>
        <v>#DIV/0!</v>
      </c>
      <c r="S91" t="e">
        <f>Table2[[#This Row],[Secondary]]/Table2[[#This Row],[Global Secondary]]</f>
        <v>#DIV/0!</v>
      </c>
      <c r="U91" t="e">
        <f>Table2[[#This Row],[Asia Refined]]/Table2[[#This Row],[Global Total]]</f>
        <v>#DIV/0!</v>
      </c>
      <c r="V91" t="e">
        <f>Table2[[#This Row],[Total]]/Table2[[#This Row],[Asia Refined]]</f>
        <v>#DIV/0!</v>
      </c>
    </row>
    <row r="92" spans="17:22" x14ac:dyDescent="0.2">
      <c r="Q92" t="e">
        <f>Table2[[#This Row],[Total]]/Table2[[#This Row],[Global Total]]</f>
        <v>#DIV/0!</v>
      </c>
      <c r="R92" t="e">
        <f>Table2[[#This Row],[Primary]]/Table2[[#This Row],[Global Primary]]</f>
        <v>#DIV/0!</v>
      </c>
      <c r="S92" t="e">
        <f>Table2[[#This Row],[Secondary]]/Table2[[#This Row],[Global Secondary]]</f>
        <v>#DIV/0!</v>
      </c>
      <c r="U92" t="e">
        <f>Table2[[#This Row],[Asia Refined]]/Table2[[#This Row],[Global Total]]</f>
        <v>#DIV/0!</v>
      </c>
      <c r="V92" t="e">
        <f>Table2[[#This Row],[Total]]/Table2[[#This Row],[Asia Refined]]</f>
        <v>#DIV/0!</v>
      </c>
    </row>
    <row r="93" spans="17:22" x14ac:dyDescent="0.2">
      <c r="Q93" t="e">
        <f>Table2[[#This Row],[Total]]/Table2[[#This Row],[Global Total]]</f>
        <v>#DIV/0!</v>
      </c>
      <c r="R93" t="e">
        <f>Table2[[#This Row],[Primary]]/Table2[[#This Row],[Global Primary]]</f>
        <v>#DIV/0!</v>
      </c>
      <c r="S93" t="e">
        <f>Table2[[#This Row],[Secondary]]/Table2[[#This Row],[Global Secondary]]</f>
        <v>#DIV/0!</v>
      </c>
      <c r="U93" t="e">
        <f>Table2[[#This Row],[Asia Refined]]/Table2[[#This Row],[Global Total]]</f>
        <v>#DIV/0!</v>
      </c>
      <c r="V93" t="e">
        <f>Table2[[#This Row],[Total]]/Table2[[#This Row],[Asia Refined]]</f>
        <v>#DIV/0!</v>
      </c>
    </row>
    <row r="94" spans="17:22" x14ac:dyDescent="0.2">
      <c r="Q94" t="e">
        <f>Table2[[#This Row],[Total]]/Table2[[#This Row],[Global Total]]</f>
        <v>#DIV/0!</v>
      </c>
      <c r="R94" t="e">
        <f>Table2[[#This Row],[Primary]]/Table2[[#This Row],[Global Primary]]</f>
        <v>#DIV/0!</v>
      </c>
      <c r="S94" t="e">
        <f>Table2[[#This Row],[Secondary]]/Table2[[#This Row],[Global Secondary]]</f>
        <v>#DIV/0!</v>
      </c>
      <c r="U94" t="e">
        <f>Table2[[#This Row],[Asia Refined]]/Table2[[#This Row],[Global Total]]</f>
        <v>#DIV/0!</v>
      </c>
      <c r="V94" t="e">
        <f>Table2[[#This Row],[Total]]/Table2[[#This Row],[Asia Refined]]</f>
        <v>#DIV/0!</v>
      </c>
    </row>
    <row r="95" spans="17:22" x14ac:dyDescent="0.2">
      <c r="Q95" t="e">
        <f>Table2[[#This Row],[Total]]/Table2[[#This Row],[Global Total]]</f>
        <v>#DIV/0!</v>
      </c>
      <c r="R95" t="e">
        <f>Table2[[#This Row],[Primary]]/Table2[[#This Row],[Global Primary]]</f>
        <v>#DIV/0!</v>
      </c>
      <c r="S95" t="e">
        <f>Table2[[#This Row],[Secondary]]/Table2[[#This Row],[Global Secondary]]</f>
        <v>#DIV/0!</v>
      </c>
      <c r="U95" t="e">
        <f>Table2[[#This Row],[Asia Refined]]/Table2[[#This Row],[Global Total]]</f>
        <v>#DIV/0!</v>
      </c>
      <c r="V95" t="e">
        <f>Table2[[#This Row],[Total]]/Table2[[#This Row],[Asia Refined]]</f>
        <v>#DIV/0!</v>
      </c>
    </row>
    <row r="96" spans="17:22" x14ac:dyDescent="0.2">
      <c r="Q96" t="e">
        <f>Table2[[#This Row],[Total]]/Table2[[#This Row],[Global Total]]</f>
        <v>#DIV/0!</v>
      </c>
      <c r="R96" t="e">
        <f>Table2[[#This Row],[Primary]]/Table2[[#This Row],[Global Primary]]</f>
        <v>#DIV/0!</v>
      </c>
      <c r="S96" t="e">
        <f>Table2[[#This Row],[Secondary]]/Table2[[#This Row],[Global Secondary]]</f>
        <v>#DIV/0!</v>
      </c>
      <c r="U96" t="e">
        <f>Table2[[#This Row],[Asia Refined]]/Table2[[#This Row],[Global Total]]</f>
        <v>#DIV/0!</v>
      </c>
      <c r="V96" t="e">
        <f>Table2[[#This Row],[Total]]/Table2[[#This Row],[Asia Refined]]</f>
        <v>#DIV/0!</v>
      </c>
    </row>
    <row r="97" spans="17:22" x14ac:dyDescent="0.2">
      <c r="Q97" t="e">
        <f>Table2[[#This Row],[Total]]/Table2[[#This Row],[Global Total]]</f>
        <v>#DIV/0!</v>
      </c>
      <c r="R97" t="e">
        <f>Table2[[#This Row],[Primary]]/Table2[[#This Row],[Global Primary]]</f>
        <v>#DIV/0!</v>
      </c>
      <c r="S97" t="e">
        <f>Table2[[#This Row],[Secondary]]/Table2[[#This Row],[Global Secondary]]</f>
        <v>#DIV/0!</v>
      </c>
      <c r="U97" t="e">
        <f>Table2[[#This Row],[Asia Refined]]/Table2[[#This Row],[Global Total]]</f>
        <v>#DIV/0!</v>
      </c>
      <c r="V97" t="e">
        <f>Table2[[#This Row],[Total]]/Table2[[#This Row],[Asia Refined]]</f>
        <v>#DIV/0!</v>
      </c>
    </row>
    <row r="98" spans="17:22" x14ac:dyDescent="0.2">
      <c r="Q98" t="e">
        <f>Table2[[#This Row],[Total]]/Table2[[#This Row],[Global Total]]</f>
        <v>#DIV/0!</v>
      </c>
      <c r="R98" t="e">
        <f>Table2[[#This Row],[Primary]]/Table2[[#This Row],[Global Primary]]</f>
        <v>#DIV/0!</v>
      </c>
      <c r="S98" t="e">
        <f>Table2[[#This Row],[Secondary]]/Table2[[#This Row],[Global Secondary]]</f>
        <v>#DIV/0!</v>
      </c>
      <c r="U98" t="e">
        <f>Table2[[#This Row],[Asia Refined]]/Table2[[#This Row],[Global Total]]</f>
        <v>#DIV/0!</v>
      </c>
      <c r="V98" t="e">
        <f>Table2[[#This Row],[Total]]/Table2[[#This Row],[Asia Refined]]</f>
        <v>#DIV/0!</v>
      </c>
    </row>
    <row r="99" spans="17:22" x14ac:dyDescent="0.2">
      <c r="Q99" t="e">
        <f>Table2[[#This Row],[Total]]/Table2[[#This Row],[Global Total]]</f>
        <v>#DIV/0!</v>
      </c>
      <c r="R99" t="e">
        <f>Table2[[#This Row],[Primary]]/Table2[[#This Row],[Global Primary]]</f>
        <v>#DIV/0!</v>
      </c>
      <c r="S99" t="e">
        <f>Table2[[#This Row],[Secondary]]/Table2[[#This Row],[Global Secondary]]</f>
        <v>#DIV/0!</v>
      </c>
      <c r="U99" t="e">
        <f>Table2[[#This Row],[Asia Refined]]/Table2[[#This Row],[Global Total]]</f>
        <v>#DIV/0!</v>
      </c>
      <c r="V99" t="e">
        <f>Table2[[#This Row],[Total]]/Table2[[#This Row],[Asia Refined]]</f>
        <v>#DIV/0!</v>
      </c>
    </row>
    <row r="100" spans="17:22" x14ac:dyDescent="0.2">
      <c r="Q100" t="e">
        <f>Table2[[#This Row],[Total]]/Table2[[#This Row],[Global Total]]</f>
        <v>#DIV/0!</v>
      </c>
      <c r="R100" t="e">
        <f>Table2[[#This Row],[Primary]]/Table2[[#This Row],[Global Primary]]</f>
        <v>#DIV/0!</v>
      </c>
      <c r="S100" t="e">
        <f>Table2[[#This Row],[Secondary]]/Table2[[#This Row],[Global Secondary]]</f>
        <v>#DIV/0!</v>
      </c>
      <c r="U100" t="e">
        <f>Table2[[#This Row],[Asia Refined]]/Table2[[#This Row],[Global Total]]</f>
        <v>#DIV/0!</v>
      </c>
      <c r="V100" t="e">
        <f>Table2[[#This Row],[Total]]/Table2[[#This Row],[Asia Refined]]</f>
        <v>#DIV/0!</v>
      </c>
    </row>
    <row r="101" spans="17:22" x14ac:dyDescent="0.2">
      <c r="Q101" t="e">
        <f>Table2[[#This Row],[Total]]/Table2[[#This Row],[Global Total]]</f>
        <v>#DIV/0!</v>
      </c>
      <c r="R101" t="e">
        <f>Table2[[#This Row],[Primary]]/Table2[[#This Row],[Global Primary]]</f>
        <v>#DIV/0!</v>
      </c>
      <c r="S101" t="e">
        <f>Table2[[#This Row],[Secondary]]/Table2[[#This Row],[Global Secondary]]</f>
        <v>#DIV/0!</v>
      </c>
      <c r="U101" t="e">
        <f>Table2[[#This Row],[Asia Refined]]/Table2[[#This Row],[Global Total]]</f>
        <v>#DIV/0!</v>
      </c>
      <c r="V101" t="e">
        <f>Table2[[#This Row],[Total]]/Table2[[#This Row],[Asia Refined]]</f>
        <v>#DIV/0!</v>
      </c>
    </row>
    <row r="102" spans="17:22" x14ac:dyDescent="0.2">
      <c r="Q102" t="e">
        <f>Table2[[#This Row],[Total]]/Table2[[#This Row],[Global Total]]</f>
        <v>#DIV/0!</v>
      </c>
      <c r="R102" t="e">
        <f>Table2[[#This Row],[Primary]]/Table2[[#This Row],[Global Primary]]</f>
        <v>#DIV/0!</v>
      </c>
      <c r="S102" t="e">
        <f>Table2[[#This Row],[Secondary]]/Table2[[#This Row],[Global Secondary]]</f>
        <v>#DIV/0!</v>
      </c>
      <c r="U102" t="e">
        <f>Table2[[#This Row],[Asia Refined]]/Table2[[#This Row],[Global Total]]</f>
        <v>#DIV/0!</v>
      </c>
      <c r="V102" t="e">
        <f>Table2[[#This Row],[Total]]/Table2[[#This Row],[Asia Refined]]</f>
        <v>#DIV/0!</v>
      </c>
    </row>
    <row r="103" spans="17:22" x14ac:dyDescent="0.2">
      <c r="Q103" t="e">
        <f>Table2[[#This Row],[Total]]/Table2[[#This Row],[Global Total]]</f>
        <v>#DIV/0!</v>
      </c>
      <c r="R103" t="e">
        <f>Table2[[#This Row],[Primary]]/Table2[[#This Row],[Global Primary]]</f>
        <v>#DIV/0!</v>
      </c>
      <c r="S103" t="e">
        <f>Table2[[#This Row],[Secondary]]/Table2[[#This Row],[Global Secondary]]</f>
        <v>#DIV/0!</v>
      </c>
      <c r="U103" t="e">
        <f>Table2[[#This Row],[Asia Refined]]/Table2[[#This Row],[Global Total]]</f>
        <v>#DIV/0!</v>
      </c>
      <c r="V103" t="e">
        <f>Table2[[#This Row],[Total]]/Table2[[#This Row],[Asia Refined]]</f>
        <v>#DIV/0!</v>
      </c>
    </row>
    <row r="104" spans="17:22" x14ac:dyDescent="0.2">
      <c r="Q104" t="e">
        <f>Table2[[#This Row],[Total]]/Table2[[#This Row],[Global Total]]</f>
        <v>#DIV/0!</v>
      </c>
      <c r="R104" t="e">
        <f>Table2[[#This Row],[Primary]]/Table2[[#This Row],[Global Primary]]</f>
        <v>#DIV/0!</v>
      </c>
      <c r="S104" t="e">
        <f>Table2[[#This Row],[Secondary]]/Table2[[#This Row],[Global Secondary]]</f>
        <v>#DIV/0!</v>
      </c>
      <c r="U104" t="e">
        <f>Table2[[#This Row],[Asia Refined]]/Table2[[#This Row],[Global Total]]</f>
        <v>#DIV/0!</v>
      </c>
      <c r="V104" t="e">
        <f>Table2[[#This Row],[Total]]/Table2[[#This Row],[Asia Refined]]</f>
        <v>#DIV/0!</v>
      </c>
    </row>
    <row r="105" spans="17:22" x14ac:dyDescent="0.2">
      <c r="Q105" t="e">
        <f>Table2[[#This Row],[Total]]/Table2[[#This Row],[Global Total]]</f>
        <v>#DIV/0!</v>
      </c>
      <c r="R105" t="e">
        <f>Table2[[#This Row],[Primary]]/Table2[[#This Row],[Global Primary]]</f>
        <v>#DIV/0!</v>
      </c>
      <c r="S105" t="e">
        <f>Table2[[#This Row],[Secondary]]/Table2[[#This Row],[Global Secondary]]</f>
        <v>#DIV/0!</v>
      </c>
      <c r="U105" t="e">
        <f>Table2[[#This Row],[Asia Refined]]/Table2[[#This Row],[Global Total]]</f>
        <v>#DIV/0!</v>
      </c>
      <c r="V105" t="e">
        <f>Table2[[#This Row],[Total]]/Table2[[#This Row],[Asia Refined]]</f>
        <v>#DIV/0!</v>
      </c>
    </row>
    <row r="106" spans="17:22" x14ac:dyDescent="0.2">
      <c r="Q106" t="e">
        <f>Table2[[#This Row],[Total]]/Table2[[#This Row],[Global Total]]</f>
        <v>#DIV/0!</v>
      </c>
      <c r="R106" t="e">
        <f>Table2[[#This Row],[Primary]]/Table2[[#This Row],[Global Primary]]</f>
        <v>#DIV/0!</v>
      </c>
      <c r="S106" t="e">
        <f>Table2[[#This Row],[Secondary]]/Table2[[#This Row],[Global Secondary]]</f>
        <v>#DIV/0!</v>
      </c>
      <c r="U106" t="e">
        <f>Table2[[#This Row],[Asia Refined]]/Table2[[#This Row],[Global Total]]</f>
        <v>#DIV/0!</v>
      </c>
      <c r="V106" t="e">
        <f>Table2[[#This Row],[Total]]/Table2[[#This Row],[Asia Refined]]</f>
        <v>#DIV/0!</v>
      </c>
    </row>
    <row r="107" spans="17:22" x14ac:dyDescent="0.2">
      <c r="Q107" t="e">
        <f>Table2[[#This Row],[Total]]/Table2[[#This Row],[Global Total]]</f>
        <v>#DIV/0!</v>
      </c>
      <c r="R107" t="e">
        <f>Table2[[#This Row],[Primary]]/Table2[[#This Row],[Global Primary]]</f>
        <v>#DIV/0!</v>
      </c>
      <c r="S107" t="e">
        <f>Table2[[#This Row],[Secondary]]/Table2[[#This Row],[Global Secondary]]</f>
        <v>#DIV/0!</v>
      </c>
      <c r="U107" t="e">
        <f>Table2[[#This Row],[Asia Refined]]/Table2[[#This Row],[Global Total]]</f>
        <v>#DIV/0!</v>
      </c>
      <c r="V107" t="e">
        <f>Table2[[#This Row],[Total]]/Table2[[#This Row],[Asia Refined]]</f>
        <v>#DIV/0!</v>
      </c>
    </row>
    <row r="108" spans="17:22" x14ac:dyDescent="0.2">
      <c r="Q108" t="e">
        <f>Table2[[#This Row],[Total]]/Table2[[#This Row],[Global Total]]</f>
        <v>#DIV/0!</v>
      </c>
      <c r="R108" t="e">
        <f>Table2[[#This Row],[Primary]]/Table2[[#This Row],[Global Primary]]</f>
        <v>#DIV/0!</v>
      </c>
      <c r="S108" t="e">
        <f>Table2[[#This Row],[Secondary]]/Table2[[#This Row],[Global Secondary]]</f>
        <v>#DIV/0!</v>
      </c>
      <c r="U108" t="e">
        <f>Table2[[#This Row],[Asia Refined]]/Table2[[#This Row],[Global Total]]</f>
        <v>#DIV/0!</v>
      </c>
      <c r="V108" t="e">
        <f>Table2[[#This Row],[Total]]/Table2[[#This Row],[Asia Refined]]</f>
        <v>#DIV/0!</v>
      </c>
    </row>
    <row r="109" spans="17:22" x14ac:dyDescent="0.2">
      <c r="Q109" t="e">
        <f>Table2[[#This Row],[Total]]/Table2[[#This Row],[Global Total]]</f>
        <v>#DIV/0!</v>
      </c>
      <c r="R109" t="e">
        <f>Table2[[#This Row],[Primary]]/Table2[[#This Row],[Global Primary]]</f>
        <v>#DIV/0!</v>
      </c>
      <c r="S109" t="e">
        <f>Table2[[#This Row],[Secondary]]/Table2[[#This Row],[Global Secondary]]</f>
        <v>#DIV/0!</v>
      </c>
      <c r="U109" t="e">
        <f>Table2[[#This Row],[Asia Refined]]/Table2[[#This Row],[Global Total]]</f>
        <v>#DIV/0!</v>
      </c>
      <c r="V109" t="e">
        <f>Table2[[#This Row],[Total]]/Table2[[#This Row],[Asia Refined]]</f>
        <v>#DIV/0!</v>
      </c>
    </row>
    <row r="110" spans="17:22" x14ac:dyDescent="0.2">
      <c r="Q110" t="e">
        <f>Table2[[#This Row],[Total]]/Table2[[#This Row],[Global Total]]</f>
        <v>#DIV/0!</v>
      </c>
      <c r="R110" t="e">
        <f>Table2[[#This Row],[Primary]]/Table2[[#This Row],[Global Primary]]</f>
        <v>#DIV/0!</v>
      </c>
      <c r="S110" t="e">
        <f>Table2[[#This Row],[Secondary]]/Table2[[#This Row],[Global Secondary]]</f>
        <v>#DIV/0!</v>
      </c>
      <c r="U110" t="e">
        <f>Table2[[#This Row],[Asia Refined]]/Table2[[#This Row],[Global Total]]</f>
        <v>#DIV/0!</v>
      </c>
      <c r="V110" t="e">
        <f>Table2[[#This Row],[Total]]/Table2[[#This Row],[Asia Refined]]</f>
        <v>#DIV/0!</v>
      </c>
    </row>
    <row r="111" spans="17:22" x14ac:dyDescent="0.2">
      <c r="Q111" t="e">
        <f>Table2[[#This Row],[Total]]/Table2[[#This Row],[Global Total]]</f>
        <v>#DIV/0!</v>
      </c>
      <c r="R111" t="e">
        <f>Table2[[#This Row],[Primary]]/Table2[[#This Row],[Global Primary]]</f>
        <v>#DIV/0!</v>
      </c>
      <c r="S111" t="e">
        <f>Table2[[#This Row],[Secondary]]/Table2[[#This Row],[Global Secondary]]</f>
        <v>#DIV/0!</v>
      </c>
      <c r="U111" t="e">
        <f>Table2[[#This Row],[Asia Refined]]/Table2[[#This Row],[Global Total]]</f>
        <v>#DIV/0!</v>
      </c>
      <c r="V111" t="e">
        <f>Table2[[#This Row],[Total]]/Table2[[#This Row],[Asia Refined]]</f>
        <v>#DIV/0!</v>
      </c>
    </row>
    <row r="112" spans="17:22" x14ac:dyDescent="0.2">
      <c r="Q112" t="e">
        <f>Table2[[#This Row],[Total]]/Table2[[#This Row],[Global Total]]</f>
        <v>#DIV/0!</v>
      </c>
      <c r="R112" t="e">
        <f>Table2[[#This Row],[Primary]]/Table2[[#This Row],[Global Primary]]</f>
        <v>#DIV/0!</v>
      </c>
      <c r="S112" t="e">
        <f>Table2[[#This Row],[Secondary]]/Table2[[#This Row],[Global Secondary]]</f>
        <v>#DIV/0!</v>
      </c>
      <c r="U112" t="e">
        <f>Table2[[#This Row],[Asia Refined]]/Table2[[#This Row],[Global Total]]</f>
        <v>#DIV/0!</v>
      </c>
      <c r="V112" t="e">
        <f>Table2[[#This Row],[Total]]/Table2[[#This Row],[Asia Refined]]</f>
        <v>#DIV/0!</v>
      </c>
    </row>
    <row r="113" spans="17:22" x14ac:dyDescent="0.2">
      <c r="Q113" t="e">
        <f>Table2[[#This Row],[Total]]/Table2[[#This Row],[Global Total]]</f>
        <v>#DIV/0!</v>
      </c>
      <c r="R113" t="e">
        <f>Table2[[#This Row],[Primary]]/Table2[[#This Row],[Global Primary]]</f>
        <v>#DIV/0!</v>
      </c>
      <c r="S113" t="e">
        <f>Table2[[#This Row],[Secondary]]/Table2[[#This Row],[Global Secondary]]</f>
        <v>#DIV/0!</v>
      </c>
      <c r="U113" t="e">
        <f>Table2[[#This Row],[Asia Refined]]/Table2[[#This Row],[Global Total]]</f>
        <v>#DIV/0!</v>
      </c>
      <c r="V113" t="e">
        <f>Table2[[#This Row],[Total]]/Table2[[#This Row],[Asia Refined]]</f>
        <v>#DIV/0!</v>
      </c>
    </row>
    <row r="114" spans="17:22" x14ac:dyDescent="0.2">
      <c r="Q114" t="e">
        <f>Table2[[#This Row],[Total]]/Table2[[#This Row],[Global Total]]</f>
        <v>#DIV/0!</v>
      </c>
      <c r="R114" t="e">
        <f>Table2[[#This Row],[Primary]]/Table2[[#This Row],[Global Primary]]</f>
        <v>#DIV/0!</v>
      </c>
      <c r="S114" t="e">
        <f>Table2[[#This Row],[Secondary]]/Table2[[#This Row],[Global Secondary]]</f>
        <v>#DIV/0!</v>
      </c>
      <c r="U114" t="e">
        <f>Table2[[#This Row],[Asia Refined]]/Table2[[#This Row],[Global Total]]</f>
        <v>#DIV/0!</v>
      </c>
      <c r="V114" t="e">
        <f>Table2[[#This Row],[Total]]/Table2[[#This Row],[Asia Refined]]</f>
        <v>#DIV/0!</v>
      </c>
    </row>
    <row r="115" spans="17:22" x14ac:dyDescent="0.2">
      <c r="Q115" t="e">
        <f>Table2[[#This Row],[Total]]/Table2[[#This Row],[Global Total]]</f>
        <v>#DIV/0!</v>
      </c>
      <c r="R115" t="e">
        <f>Table2[[#This Row],[Primary]]/Table2[[#This Row],[Global Primary]]</f>
        <v>#DIV/0!</v>
      </c>
      <c r="S115" t="e">
        <f>Table2[[#This Row],[Secondary]]/Table2[[#This Row],[Global Secondary]]</f>
        <v>#DIV/0!</v>
      </c>
      <c r="U115" t="e">
        <f>Table2[[#This Row],[Asia Refined]]/Table2[[#This Row],[Global Total]]</f>
        <v>#DIV/0!</v>
      </c>
      <c r="V115" t="e">
        <f>Table2[[#This Row],[Total]]/Table2[[#This Row],[Asia Refined]]</f>
        <v>#DIV/0!</v>
      </c>
    </row>
    <row r="116" spans="17:22" x14ac:dyDescent="0.2">
      <c r="Q116" t="e">
        <f>Table2[[#This Row],[Total]]/Table2[[#This Row],[Global Total]]</f>
        <v>#DIV/0!</v>
      </c>
      <c r="R116" t="e">
        <f>Table2[[#This Row],[Primary]]/Table2[[#This Row],[Global Primary]]</f>
        <v>#DIV/0!</v>
      </c>
      <c r="S116" t="e">
        <f>Table2[[#This Row],[Secondary]]/Table2[[#This Row],[Global Secondary]]</f>
        <v>#DIV/0!</v>
      </c>
      <c r="U116" t="e">
        <f>Table2[[#This Row],[Asia Refined]]/Table2[[#This Row],[Global Total]]</f>
        <v>#DIV/0!</v>
      </c>
      <c r="V116" t="e">
        <f>Table2[[#This Row],[Total]]/Table2[[#This Row],[Asia Refined]]</f>
        <v>#DIV/0!</v>
      </c>
    </row>
    <row r="117" spans="17:22" x14ac:dyDescent="0.2">
      <c r="Q117" t="e">
        <f>Table2[[#This Row],[Total]]/Table2[[#This Row],[Global Total]]</f>
        <v>#DIV/0!</v>
      </c>
      <c r="R117" t="e">
        <f>Table2[[#This Row],[Primary]]/Table2[[#This Row],[Global Primary]]</f>
        <v>#DIV/0!</v>
      </c>
      <c r="S117" t="e">
        <f>Table2[[#This Row],[Secondary]]/Table2[[#This Row],[Global Secondary]]</f>
        <v>#DIV/0!</v>
      </c>
      <c r="U117" t="e">
        <f>Table2[[#This Row],[Asia Refined]]/Table2[[#This Row],[Global Total]]</f>
        <v>#DIV/0!</v>
      </c>
      <c r="V117" t="e">
        <f>Table2[[#This Row],[Total]]/Table2[[#This Row],[Asia Refined]]</f>
        <v>#DIV/0!</v>
      </c>
    </row>
    <row r="118" spans="17:22" x14ac:dyDescent="0.2">
      <c r="Q118" t="e">
        <f>Table2[[#This Row],[Total]]/Table2[[#This Row],[Global Total]]</f>
        <v>#DIV/0!</v>
      </c>
      <c r="R118" t="e">
        <f>Table2[[#This Row],[Primary]]/Table2[[#This Row],[Global Primary]]</f>
        <v>#DIV/0!</v>
      </c>
      <c r="S118" t="e">
        <f>Table2[[#This Row],[Secondary]]/Table2[[#This Row],[Global Secondary]]</f>
        <v>#DIV/0!</v>
      </c>
      <c r="U118" t="e">
        <f>Table2[[#This Row],[Asia Refined]]/Table2[[#This Row],[Global Total]]</f>
        <v>#DIV/0!</v>
      </c>
      <c r="V118" t="e">
        <f>Table2[[#This Row],[Total]]/Table2[[#This Row],[Asia Refined]]</f>
        <v>#DIV/0!</v>
      </c>
    </row>
    <row r="119" spans="17:22" x14ac:dyDescent="0.2">
      <c r="Q119" t="e">
        <f>Table2[[#This Row],[Total]]/Table2[[#This Row],[Global Total]]</f>
        <v>#DIV/0!</v>
      </c>
      <c r="R119" t="e">
        <f>Table2[[#This Row],[Primary]]/Table2[[#This Row],[Global Primary]]</f>
        <v>#DIV/0!</v>
      </c>
      <c r="S119" t="e">
        <f>Table2[[#This Row],[Secondary]]/Table2[[#This Row],[Global Secondary]]</f>
        <v>#DIV/0!</v>
      </c>
      <c r="U119" t="e">
        <f>Table2[[#This Row],[Asia Refined]]/Table2[[#This Row],[Global Total]]</f>
        <v>#DIV/0!</v>
      </c>
      <c r="V119" t="e">
        <f>Table2[[#This Row],[Total]]/Table2[[#This Row],[Asia Refined]]</f>
        <v>#DIV/0!</v>
      </c>
    </row>
    <row r="120" spans="17:22" x14ac:dyDescent="0.2">
      <c r="Q120" t="e">
        <f>Table2[[#This Row],[Total]]/Table2[[#This Row],[Global Total]]</f>
        <v>#DIV/0!</v>
      </c>
      <c r="R120" t="e">
        <f>Table2[[#This Row],[Primary]]/Table2[[#This Row],[Global Primary]]</f>
        <v>#DIV/0!</v>
      </c>
      <c r="S120" t="e">
        <f>Table2[[#This Row],[Secondary]]/Table2[[#This Row],[Global Secondary]]</f>
        <v>#DIV/0!</v>
      </c>
      <c r="U120" t="e">
        <f>Table2[[#This Row],[Asia Refined]]/Table2[[#This Row],[Global Total]]</f>
        <v>#DIV/0!</v>
      </c>
      <c r="V120" t="e">
        <f>Table2[[#This Row],[Total]]/Table2[[#This Row],[Asia Refined]]</f>
        <v>#DIV/0!</v>
      </c>
    </row>
    <row r="121" spans="17:22" x14ac:dyDescent="0.2">
      <c r="Q121" t="e">
        <f>Table2[[#This Row],[Total]]/Table2[[#This Row],[Global Total]]</f>
        <v>#DIV/0!</v>
      </c>
      <c r="R121" t="e">
        <f>Table2[[#This Row],[Primary]]/Table2[[#This Row],[Global Primary]]</f>
        <v>#DIV/0!</v>
      </c>
      <c r="S121" t="e">
        <f>Table2[[#This Row],[Secondary]]/Table2[[#This Row],[Global Secondary]]</f>
        <v>#DIV/0!</v>
      </c>
      <c r="U121" t="e">
        <f>Table2[[#This Row],[Asia Refined]]/Table2[[#This Row],[Global Total]]</f>
        <v>#DIV/0!</v>
      </c>
      <c r="V121" t="e">
        <f>Table2[[#This Row],[Total]]/Table2[[#This Row],[Asia Refined]]</f>
        <v>#DIV/0!</v>
      </c>
    </row>
    <row r="122" spans="17:22" x14ac:dyDescent="0.2">
      <c r="Q122" t="e">
        <f>Table2[[#This Row],[Total]]/Table2[[#This Row],[Global Total]]</f>
        <v>#DIV/0!</v>
      </c>
      <c r="R122" t="e">
        <f>Table2[[#This Row],[Primary]]/Table2[[#This Row],[Global Primary]]</f>
        <v>#DIV/0!</v>
      </c>
      <c r="S122" t="e">
        <f>Table2[[#This Row],[Secondary]]/Table2[[#This Row],[Global Secondary]]</f>
        <v>#DIV/0!</v>
      </c>
      <c r="U122" t="e">
        <f>Table2[[#This Row],[Asia Refined]]/Table2[[#This Row],[Global Total]]</f>
        <v>#DIV/0!</v>
      </c>
      <c r="V122" t="e">
        <f>Table2[[#This Row],[Total]]/Table2[[#This Row],[Asia Refined]]</f>
        <v>#DIV/0!</v>
      </c>
    </row>
    <row r="123" spans="17:22" x14ac:dyDescent="0.2">
      <c r="Q123" t="e">
        <f>Table2[[#This Row],[Total]]/Table2[[#This Row],[Global Total]]</f>
        <v>#DIV/0!</v>
      </c>
      <c r="R123" t="e">
        <f>Table2[[#This Row],[Primary]]/Table2[[#This Row],[Global Primary]]</f>
        <v>#DIV/0!</v>
      </c>
      <c r="S123" t="e">
        <f>Table2[[#This Row],[Secondary]]/Table2[[#This Row],[Global Secondary]]</f>
        <v>#DIV/0!</v>
      </c>
      <c r="U123" t="e">
        <f>Table2[[#This Row],[Asia Refined]]/Table2[[#This Row],[Global Total]]</f>
        <v>#DIV/0!</v>
      </c>
      <c r="V123" t="e">
        <f>Table2[[#This Row],[Total]]/Table2[[#This Row],[Asia Refined]]</f>
        <v>#DIV/0!</v>
      </c>
    </row>
    <row r="124" spans="17:22" x14ac:dyDescent="0.2">
      <c r="Q124" t="e">
        <f>Table2[[#This Row],[Total]]/Table2[[#This Row],[Global Total]]</f>
        <v>#DIV/0!</v>
      </c>
      <c r="R124" t="e">
        <f>Table2[[#This Row],[Primary]]/Table2[[#This Row],[Global Primary]]</f>
        <v>#DIV/0!</v>
      </c>
      <c r="S124" t="e">
        <f>Table2[[#This Row],[Secondary]]/Table2[[#This Row],[Global Secondary]]</f>
        <v>#DIV/0!</v>
      </c>
      <c r="U124" t="e">
        <f>Table2[[#This Row],[Asia Refined]]/Table2[[#This Row],[Global Total]]</f>
        <v>#DIV/0!</v>
      </c>
      <c r="V124" t="e">
        <f>Table2[[#This Row],[Total]]/Table2[[#This Row],[Asia Refined]]</f>
        <v>#DIV/0!</v>
      </c>
    </row>
    <row r="125" spans="17:22" x14ac:dyDescent="0.2">
      <c r="Q125" t="e">
        <f>Table2[[#This Row],[Total]]/Table2[[#This Row],[Global Total]]</f>
        <v>#DIV/0!</v>
      </c>
      <c r="R125" t="e">
        <f>Table2[[#This Row],[Primary]]/Table2[[#This Row],[Global Primary]]</f>
        <v>#DIV/0!</v>
      </c>
      <c r="S125" t="e">
        <f>Table2[[#This Row],[Secondary]]/Table2[[#This Row],[Global Secondary]]</f>
        <v>#DIV/0!</v>
      </c>
      <c r="U125" t="e">
        <f>Table2[[#This Row],[Asia Refined]]/Table2[[#This Row],[Global Total]]</f>
        <v>#DIV/0!</v>
      </c>
      <c r="V125" t="e">
        <f>Table2[[#This Row],[Total]]/Table2[[#This Row],[Asia Refined]]</f>
        <v>#DIV/0!</v>
      </c>
    </row>
    <row r="126" spans="17:22" x14ac:dyDescent="0.2">
      <c r="Q126" t="e">
        <f>Table2[[#This Row],[Total]]/Table2[[#This Row],[Global Total]]</f>
        <v>#DIV/0!</v>
      </c>
      <c r="R126" t="e">
        <f>Table2[[#This Row],[Primary]]/Table2[[#This Row],[Global Primary]]</f>
        <v>#DIV/0!</v>
      </c>
      <c r="S126" t="e">
        <f>Table2[[#This Row],[Secondary]]/Table2[[#This Row],[Global Secondary]]</f>
        <v>#DIV/0!</v>
      </c>
      <c r="U126" t="e">
        <f>Table2[[#This Row],[Asia Refined]]/Table2[[#This Row],[Global Total]]</f>
        <v>#DIV/0!</v>
      </c>
      <c r="V126" t="e">
        <f>Table2[[#This Row],[Total]]/Table2[[#This Row],[Asia Refined]]</f>
        <v>#DIV/0!</v>
      </c>
    </row>
    <row r="127" spans="17:22" x14ac:dyDescent="0.2">
      <c r="Q127" t="e">
        <f>Table2[[#This Row],[Total]]/Table2[[#This Row],[Global Total]]</f>
        <v>#DIV/0!</v>
      </c>
      <c r="R127" t="e">
        <f>Table2[[#This Row],[Primary]]/Table2[[#This Row],[Global Primary]]</f>
        <v>#DIV/0!</v>
      </c>
      <c r="S127" t="e">
        <f>Table2[[#This Row],[Secondary]]/Table2[[#This Row],[Global Secondary]]</f>
        <v>#DIV/0!</v>
      </c>
      <c r="U127" t="e">
        <f>Table2[[#This Row],[Asia Refined]]/Table2[[#This Row],[Global Total]]</f>
        <v>#DIV/0!</v>
      </c>
      <c r="V127" t="e">
        <f>Table2[[#This Row],[Total]]/Table2[[#This Row],[Asia Refined]]</f>
        <v>#DIV/0!</v>
      </c>
    </row>
    <row r="128" spans="17:22" x14ac:dyDescent="0.2">
      <c r="Q128" t="e">
        <f>Table2[[#This Row],[Total]]/Table2[[#This Row],[Global Total]]</f>
        <v>#DIV/0!</v>
      </c>
      <c r="R128" t="e">
        <f>Table2[[#This Row],[Primary]]/Table2[[#This Row],[Global Primary]]</f>
        <v>#DIV/0!</v>
      </c>
      <c r="S128" t="e">
        <f>Table2[[#This Row],[Secondary]]/Table2[[#This Row],[Global Secondary]]</f>
        <v>#DIV/0!</v>
      </c>
      <c r="U128" t="e">
        <f>Table2[[#This Row],[Asia Refined]]/Table2[[#This Row],[Global Total]]</f>
        <v>#DIV/0!</v>
      </c>
      <c r="V128" t="e">
        <f>Table2[[#This Row],[Total]]/Table2[[#This Row],[Asia Refined]]</f>
        <v>#DIV/0!</v>
      </c>
    </row>
    <row r="129" spans="17:22" x14ac:dyDescent="0.2">
      <c r="Q129" t="e">
        <f>Table2[[#This Row],[Total]]/Table2[[#This Row],[Global Total]]</f>
        <v>#DIV/0!</v>
      </c>
      <c r="R129" t="e">
        <f>Table2[[#This Row],[Primary]]/Table2[[#This Row],[Global Primary]]</f>
        <v>#DIV/0!</v>
      </c>
      <c r="S129" t="e">
        <f>Table2[[#This Row],[Secondary]]/Table2[[#This Row],[Global Secondary]]</f>
        <v>#DIV/0!</v>
      </c>
      <c r="U129" t="e">
        <f>Table2[[#This Row],[Asia Refined]]/Table2[[#This Row],[Global Total]]</f>
        <v>#DIV/0!</v>
      </c>
      <c r="V129" t="e">
        <f>Table2[[#This Row],[Total]]/Table2[[#This Row],[Asia Refined]]</f>
        <v>#DIV/0!</v>
      </c>
    </row>
    <row r="130" spans="17:22" x14ac:dyDescent="0.2">
      <c r="Q130" t="e">
        <f>Table2[[#This Row],[Total]]/Table2[[#This Row],[Global Total]]</f>
        <v>#DIV/0!</v>
      </c>
      <c r="R130" t="e">
        <f>Table2[[#This Row],[Primary]]/Table2[[#This Row],[Global Primary]]</f>
        <v>#DIV/0!</v>
      </c>
      <c r="S130" t="e">
        <f>Table2[[#This Row],[Secondary]]/Table2[[#This Row],[Global Secondary]]</f>
        <v>#DIV/0!</v>
      </c>
      <c r="U130" t="e">
        <f>Table2[[#This Row],[Asia Refined]]/Table2[[#This Row],[Global Total]]</f>
        <v>#DIV/0!</v>
      </c>
      <c r="V130" t="e">
        <f>Table2[[#This Row],[Total]]/Table2[[#This Row],[Asia Refined]]</f>
        <v>#DIV/0!</v>
      </c>
    </row>
    <row r="131" spans="17:22" x14ac:dyDescent="0.2">
      <c r="Q131" t="e">
        <f>Table2[[#This Row],[Total]]/Table2[[#This Row],[Global Total]]</f>
        <v>#DIV/0!</v>
      </c>
      <c r="R131" t="e">
        <f>Table2[[#This Row],[Primary]]/Table2[[#This Row],[Global Primary]]</f>
        <v>#DIV/0!</v>
      </c>
      <c r="S131" t="e">
        <f>Table2[[#This Row],[Secondary]]/Table2[[#This Row],[Global Secondary]]</f>
        <v>#DIV/0!</v>
      </c>
      <c r="U131" t="e">
        <f>Table2[[#This Row],[Asia Refined]]/Table2[[#This Row],[Global Total]]</f>
        <v>#DIV/0!</v>
      </c>
      <c r="V131" t="e">
        <f>Table2[[#This Row],[Total]]/Table2[[#This Row],[Asia Refined]]</f>
        <v>#DIV/0!</v>
      </c>
    </row>
    <row r="132" spans="17:22" x14ac:dyDescent="0.2">
      <c r="Q132" t="e">
        <f>Table2[[#This Row],[Total]]/Table2[[#This Row],[Global Total]]</f>
        <v>#DIV/0!</v>
      </c>
      <c r="R132" t="e">
        <f>Table2[[#This Row],[Primary]]/Table2[[#This Row],[Global Primary]]</f>
        <v>#DIV/0!</v>
      </c>
      <c r="S132" t="e">
        <f>Table2[[#This Row],[Secondary]]/Table2[[#This Row],[Global Secondary]]</f>
        <v>#DIV/0!</v>
      </c>
      <c r="U132" t="e">
        <f>Table2[[#This Row],[Asia Refined]]/Table2[[#This Row],[Global Total]]</f>
        <v>#DIV/0!</v>
      </c>
      <c r="V132" t="e">
        <f>Table2[[#This Row],[Total]]/Table2[[#This Row],[Asia Refined]]</f>
        <v>#DIV/0!</v>
      </c>
    </row>
    <row r="133" spans="17:22" x14ac:dyDescent="0.2">
      <c r="Q133" t="e">
        <f>Table2[[#This Row],[Total]]/Table2[[#This Row],[Global Total]]</f>
        <v>#DIV/0!</v>
      </c>
      <c r="R133" t="e">
        <f>Table2[[#This Row],[Primary]]/Table2[[#This Row],[Global Primary]]</f>
        <v>#DIV/0!</v>
      </c>
      <c r="S133" t="e">
        <f>Table2[[#This Row],[Secondary]]/Table2[[#This Row],[Global Secondary]]</f>
        <v>#DIV/0!</v>
      </c>
      <c r="U133" t="e">
        <f>Table2[[#This Row],[Asia Refined]]/Table2[[#This Row],[Global Total]]</f>
        <v>#DIV/0!</v>
      </c>
      <c r="V133" t="e">
        <f>Table2[[#This Row],[Total]]/Table2[[#This Row],[Asia Refined]]</f>
        <v>#DIV/0!</v>
      </c>
    </row>
    <row r="134" spans="17:22" x14ac:dyDescent="0.2">
      <c r="Q134" t="e">
        <f>Table2[[#This Row],[Total]]/Table2[[#This Row],[Global Total]]</f>
        <v>#DIV/0!</v>
      </c>
      <c r="R134" t="e">
        <f>Table2[[#This Row],[Primary]]/Table2[[#This Row],[Global Primary]]</f>
        <v>#DIV/0!</v>
      </c>
      <c r="S134" t="e">
        <f>Table2[[#This Row],[Secondary]]/Table2[[#This Row],[Global Secondary]]</f>
        <v>#DIV/0!</v>
      </c>
      <c r="U134" t="e">
        <f>Table2[[#This Row],[Asia Refined]]/Table2[[#This Row],[Global Total]]</f>
        <v>#DIV/0!</v>
      </c>
      <c r="V134" t="e">
        <f>Table2[[#This Row],[Total]]/Table2[[#This Row],[Asia Refined]]</f>
        <v>#DIV/0!</v>
      </c>
    </row>
    <row r="135" spans="17:22" x14ac:dyDescent="0.2">
      <c r="Q135" t="e">
        <f>Table2[[#This Row],[Total]]/Table2[[#This Row],[Global Total]]</f>
        <v>#DIV/0!</v>
      </c>
      <c r="R135" t="e">
        <f>Table2[[#This Row],[Primary]]/Table2[[#This Row],[Global Primary]]</f>
        <v>#DIV/0!</v>
      </c>
      <c r="S135" t="e">
        <f>Table2[[#This Row],[Secondary]]/Table2[[#This Row],[Global Secondary]]</f>
        <v>#DIV/0!</v>
      </c>
      <c r="U135" t="e">
        <f>Table2[[#This Row],[Asia Refined]]/Table2[[#This Row],[Global Total]]</f>
        <v>#DIV/0!</v>
      </c>
      <c r="V135" t="e">
        <f>Table2[[#This Row],[Total]]/Table2[[#This Row],[Asia Refined]]</f>
        <v>#DIV/0!</v>
      </c>
    </row>
    <row r="136" spans="17:22" x14ac:dyDescent="0.2">
      <c r="Q136" t="e">
        <f>Table2[[#This Row],[Total]]/Table2[[#This Row],[Global Total]]</f>
        <v>#DIV/0!</v>
      </c>
      <c r="R136" t="e">
        <f>Table2[[#This Row],[Primary]]/Table2[[#This Row],[Global Primary]]</f>
        <v>#DIV/0!</v>
      </c>
      <c r="S136" t="e">
        <f>Table2[[#This Row],[Secondary]]/Table2[[#This Row],[Global Secondary]]</f>
        <v>#DIV/0!</v>
      </c>
      <c r="U136" t="e">
        <f>Table2[[#This Row],[Asia Refined]]/Table2[[#This Row],[Global Total]]</f>
        <v>#DIV/0!</v>
      </c>
      <c r="V136" t="e">
        <f>Table2[[#This Row],[Total]]/Table2[[#This Row],[Asia Refined]]</f>
        <v>#DIV/0!</v>
      </c>
    </row>
    <row r="137" spans="17:22" x14ac:dyDescent="0.2">
      <c r="Q137" t="e">
        <f>Table2[[#This Row],[Total]]/Table2[[#This Row],[Global Total]]</f>
        <v>#DIV/0!</v>
      </c>
      <c r="R137" t="e">
        <f>Table2[[#This Row],[Primary]]/Table2[[#This Row],[Global Primary]]</f>
        <v>#DIV/0!</v>
      </c>
      <c r="S137" t="e">
        <f>Table2[[#This Row],[Secondary]]/Table2[[#This Row],[Global Secondary]]</f>
        <v>#DIV/0!</v>
      </c>
      <c r="U137" t="e">
        <f>Table2[[#This Row],[Asia Refined]]/Table2[[#This Row],[Global Total]]</f>
        <v>#DIV/0!</v>
      </c>
      <c r="V137" t="e">
        <f>Table2[[#This Row],[Total]]/Table2[[#This Row],[Asia Refined]]</f>
        <v>#DIV/0!</v>
      </c>
    </row>
    <row r="138" spans="17:22" x14ac:dyDescent="0.2">
      <c r="Q138" t="e">
        <f>Table2[[#This Row],[Total]]/Table2[[#This Row],[Global Total]]</f>
        <v>#DIV/0!</v>
      </c>
      <c r="R138" t="e">
        <f>Table2[[#This Row],[Primary]]/Table2[[#This Row],[Global Primary]]</f>
        <v>#DIV/0!</v>
      </c>
      <c r="S138" t="e">
        <f>Table2[[#This Row],[Secondary]]/Table2[[#This Row],[Global Secondary]]</f>
        <v>#DIV/0!</v>
      </c>
      <c r="U138" t="e">
        <f>Table2[[#This Row],[Asia Refined]]/Table2[[#This Row],[Global Total]]</f>
        <v>#DIV/0!</v>
      </c>
      <c r="V138" t="e">
        <f>Table2[[#This Row],[Total]]/Table2[[#This Row],[Asia Refined]]</f>
        <v>#DIV/0!</v>
      </c>
    </row>
    <row r="139" spans="17:22" x14ac:dyDescent="0.2">
      <c r="Q139" t="e">
        <f>Table2[[#This Row],[Total]]/Table2[[#This Row],[Global Total]]</f>
        <v>#DIV/0!</v>
      </c>
      <c r="R139" t="e">
        <f>Table2[[#This Row],[Primary]]/Table2[[#This Row],[Global Primary]]</f>
        <v>#DIV/0!</v>
      </c>
      <c r="S139" t="e">
        <f>Table2[[#This Row],[Secondary]]/Table2[[#This Row],[Global Secondary]]</f>
        <v>#DIV/0!</v>
      </c>
      <c r="U139" t="e">
        <f>Table2[[#This Row],[Asia Refined]]/Table2[[#This Row],[Global Total]]</f>
        <v>#DIV/0!</v>
      </c>
      <c r="V139" t="e">
        <f>Table2[[#This Row],[Total]]/Table2[[#This Row],[Asia Refined]]</f>
        <v>#DIV/0!</v>
      </c>
    </row>
    <row r="140" spans="17:22" x14ac:dyDescent="0.2">
      <c r="Q140" t="e">
        <f>Table2[[#This Row],[Total]]/Table2[[#This Row],[Global Total]]</f>
        <v>#DIV/0!</v>
      </c>
      <c r="R140" t="e">
        <f>Table2[[#This Row],[Primary]]/Table2[[#This Row],[Global Primary]]</f>
        <v>#DIV/0!</v>
      </c>
      <c r="S140" t="e">
        <f>Table2[[#This Row],[Secondary]]/Table2[[#This Row],[Global Secondary]]</f>
        <v>#DIV/0!</v>
      </c>
      <c r="U140" t="e">
        <f>Table2[[#This Row],[Asia Refined]]/Table2[[#This Row],[Global Total]]</f>
        <v>#DIV/0!</v>
      </c>
      <c r="V140" t="e">
        <f>Table2[[#This Row],[Total]]/Table2[[#This Row],[Asia Refined]]</f>
        <v>#DIV/0!</v>
      </c>
    </row>
    <row r="141" spans="17:22" x14ac:dyDescent="0.2">
      <c r="Q141" t="e">
        <f>Table2[[#This Row],[Total]]/Table2[[#This Row],[Global Total]]</f>
        <v>#DIV/0!</v>
      </c>
      <c r="R141" t="e">
        <f>Table2[[#This Row],[Primary]]/Table2[[#This Row],[Global Primary]]</f>
        <v>#DIV/0!</v>
      </c>
      <c r="S141" t="e">
        <f>Table2[[#This Row],[Secondary]]/Table2[[#This Row],[Global Secondary]]</f>
        <v>#DIV/0!</v>
      </c>
      <c r="U141" t="e">
        <f>Table2[[#This Row],[Asia Refined]]/Table2[[#This Row],[Global Total]]</f>
        <v>#DIV/0!</v>
      </c>
      <c r="V141" t="e">
        <f>Table2[[#This Row],[Total]]/Table2[[#This Row],[Asia Refined]]</f>
        <v>#DIV/0!</v>
      </c>
    </row>
    <row r="142" spans="17:22" x14ac:dyDescent="0.2">
      <c r="Q142" t="e">
        <f>Table2[[#This Row],[Total]]/Table2[[#This Row],[Global Total]]</f>
        <v>#DIV/0!</v>
      </c>
      <c r="R142" t="e">
        <f>Table2[[#This Row],[Primary]]/Table2[[#This Row],[Global Primary]]</f>
        <v>#DIV/0!</v>
      </c>
      <c r="S142" t="e">
        <f>Table2[[#This Row],[Secondary]]/Table2[[#This Row],[Global Secondary]]</f>
        <v>#DIV/0!</v>
      </c>
      <c r="U142" t="e">
        <f>Table2[[#This Row],[Asia Refined]]/Table2[[#This Row],[Global Total]]</f>
        <v>#DIV/0!</v>
      </c>
      <c r="V142" t="e">
        <f>Table2[[#This Row],[Total]]/Table2[[#This Row],[Asia Refined]]</f>
        <v>#DIV/0!</v>
      </c>
    </row>
    <row r="143" spans="17:22" x14ac:dyDescent="0.2">
      <c r="Q143" t="e">
        <f>Table2[[#This Row],[Total]]/Table2[[#This Row],[Global Total]]</f>
        <v>#DIV/0!</v>
      </c>
      <c r="R143" t="e">
        <f>Table2[[#This Row],[Primary]]/Table2[[#This Row],[Global Primary]]</f>
        <v>#DIV/0!</v>
      </c>
      <c r="S143" t="e">
        <f>Table2[[#This Row],[Secondary]]/Table2[[#This Row],[Global Secondary]]</f>
        <v>#DIV/0!</v>
      </c>
      <c r="U143" t="e">
        <f>Table2[[#This Row],[Asia Refined]]/Table2[[#This Row],[Global Total]]</f>
        <v>#DIV/0!</v>
      </c>
      <c r="V143" t="e">
        <f>Table2[[#This Row],[Total]]/Table2[[#This Row],[Asia Refined]]</f>
        <v>#DIV/0!</v>
      </c>
    </row>
    <row r="144" spans="17:22" x14ac:dyDescent="0.2">
      <c r="Q144" t="e">
        <f>Table2[[#This Row],[Total]]/Table2[[#This Row],[Global Total]]</f>
        <v>#DIV/0!</v>
      </c>
      <c r="R144" t="e">
        <f>Table2[[#This Row],[Primary]]/Table2[[#This Row],[Global Primary]]</f>
        <v>#DIV/0!</v>
      </c>
      <c r="S144" t="e">
        <f>Table2[[#This Row],[Secondary]]/Table2[[#This Row],[Global Secondary]]</f>
        <v>#DIV/0!</v>
      </c>
      <c r="U144" t="e">
        <f>Table2[[#This Row],[Asia Refined]]/Table2[[#This Row],[Global Total]]</f>
        <v>#DIV/0!</v>
      </c>
      <c r="V144" t="e">
        <f>Table2[[#This Row],[Total]]/Table2[[#This Row],[Asia Refined]]</f>
        <v>#DIV/0!</v>
      </c>
    </row>
    <row r="145" spans="17:22" x14ac:dyDescent="0.2">
      <c r="Q145" t="e">
        <f>Table2[[#This Row],[Total]]/Table2[[#This Row],[Global Total]]</f>
        <v>#DIV/0!</v>
      </c>
      <c r="R145" t="e">
        <f>Table2[[#This Row],[Primary]]/Table2[[#This Row],[Global Primary]]</f>
        <v>#DIV/0!</v>
      </c>
      <c r="S145" t="e">
        <f>Table2[[#This Row],[Secondary]]/Table2[[#This Row],[Global Secondary]]</f>
        <v>#DIV/0!</v>
      </c>
      <c r="U145" t="e">
        <f>Table2[[#This Row],[Asia Refined]]/Table2[[#This Row],[Global Total]]</f>
        <v>#DIV/0!</v>
      </c>
      <c r="V145" t="e">
        <f>Table2[[#This Row],[Total]]/Table2[[#This Row],[Asia Refined]]</f>
        <v>#DIV/0!</v>
      </c>
    </row>
    <row r="146" spans="17:22" x14ac:dyDescent="0.2">
      <c r="Q146" t="e">
        <f>Table2[[#This Row],[Total]]/Table2[[#This Row],[Global Total]]</f>
        <v>#DIV/0!</v>
      </c>
      <c r="R146" t="e">
        <f>Table2[[#This Row],[Primary]]/Table2[[#This Row],[Global Primary]]</f>
        <v>#DIV/0!</v>
      </c>
      <c r="S146" t="e">
        <f>Table2[[#This Row],[Secondary]]/Table2[[#This Row],[Global Secondary]]</f>
        <v>#DIV/0!</v>
      </c>
      <c r="U146" t="e">
        <f>Table2[[#This Row],[Asia Refined]]/Table2[[#This Row],[Global Total]]</f>
        <v>#DIV/0!</v>
      </c>
      <c r="V146" t="e">
        <f>Table2[[#This Row],[Total]]/Table2[[#This Row],[Asia Refined]]</f>
        <v>#DIV/0!</v>
      </c>
    </row>
    <row r="147" spans="17:22" x14ac:dyDescent="0.2">
      <c r="Q147" t="e">
        <f>Table2[[#This Row],[Total]]/Table2[[#This Row],[Global Total]]</f>
        <v>#DIV/0!</v>
      </c>
      <c r="R147" t="e">
        <f>Table2[[#This Row],[Primary]]/Table2[[#This Row],[Global Primary]]</f>
        <v>#DIV/0!</v>
      </c>
      <c r="S147" t="e">
        <f>Table2[[#This Row],[Secondary]]/Table2[[#This Row],[Global Secondary]]</f>
        <v>#DIV/0!</v>
      </c>
      <c r="U147" t="e">
        <f>Table2[[#This Row],[Asia Refined]]/Table2[[#This Row],[Global Total]]</f>
        <v>#DIV/0!</v>
      </c>
      <c r="V147" t="e">
        <f>Table2[[#This Row],[Total]]/Table2[[#This Row],[Asia Refined]]</f>
        <v>#DIV/0!</v>
      </c>
    </row>
    <row r="148" spans="17:22" x14ac:dyDescent="0.2">
      <c r="Q148" t="e">
        <f>Table2[[#This Row],[Total]]/Table2[[#This Row],[Global Total]]</f>
        <v>#DIV/0!</v>
      </c>
      <c r="R148" t="e">
        <f>Table2[[#This Row],[Primary]]/Table2[[#This Row],[Global Primary]]</f>
        <v>#DIV/0!</v>
      </c>
      <c r="S148" t="e">
        <f>Table2[[#This Row],[Secondary]]/Table2[[#This Row],[Global Secondary]]</f>
        <v>#DIV/0!</v>
      </c>
      <c r="U148" t="e">
        <f>Table2[[#This Row],[Asia Refined]]/Table2[[#This Row],[Global Total]]</f>
        <v>#DIV/0!</v>
      </c>
      <c r="V148" t="e">
        <f>Table2[[#This Row],[Total]]/Table2[[#This Row],[Asia Refined]]</f>
        <v>#DIV/0!</v>
      </c>
    </row>
    <row r="149" spans="17:22" x14ac:dyDescent="0.2">
      <c r="Q149" t="e">
        <f>Table2[[#This Row],[Total]]/Table2[[#This Row],[Global Total]]</f>
        <v>#DIV/0!</v>
      </c>
      <c r="R149" t="e">
        <f>Table2[[#This Row],[Primary]]/Table2[[#This Row],[Global Primary]]</f>
        <v>#DIV/0!</v>
      </c>
      <c r="S149" t="e">
        <f>Table2[[#This Row],[Secondary]]/Table2[[#This Row],[Global Secondary]]</f>
        <v>#DIV/0!</v>
      </c>
      <c r="U149" t="e">
        <f>Table2[[#This Row],[Asia Refined]]/Table2[[#This Row],[Global Total]]</f>
        <v>#DIV/0!</v>
      </c>
      <c r="V149" t="e">
        <f>Table2[[#This Row],[Total]]/Table2[[#This Row],[Asia Refined]]</f>
        <v>#DIV/0!</v>
      </c>
    </row>
    <row r="150" spans="17:22" x14ac:dyDescent="0.2">
      <c r="Q150" t="e">
        <f>Table2[[#This Row],[Total]]/Table2[[#This Row],[Global Total]]</f>
        <v>#DIV/0!</v>
      </c>
      <c r="R150" t="e">
        <f>Table2[[#This Row],[Primary]]/Table2[[#This Row],[Global Primary]]</f>
        <v>#DIV/0!</v>
      </c>
      <c r="S150" t="e">
        <f>Table2[[#This Row],[Secondary]]/Table2[[#This Row],[Global Secondary]]</f>
        <v>#DIV/0!</v>
      </c>
      <c r="U150" t="e">
        <f>Table2[[#This Row],[Asia Refined]]/Table2[[#This Row],[Global Total]]</f>
        <v>#DIV/0!</v>
      </c>
      <c r="V150" t="e">
        <f>Table2[[#This Row],[Total]]/Table2[[#This Row],[Asia Refined]]</f>
        <v>#DIV/0!</v>
      </c>
    </row>
    <row r="151" spans="17:22" x14ac:dyDescent="0.2">
      <c r="Q151" t="e">
        <f>Table2[[#This Row],[Total]]/Table2[[#This Row],[Global Total]]</f>
        <v>#DIV/0!</v>
      </c>
      <c r="R151" t="e">
        <f>Table2[[#This Row],[Primary]]/Table2[[#This Row],[Global Primary]]</f>
        <v>#DIV/0!</v>
      </c>
      <c r="S151" t="e">
        <f>Table2[[#This Row],[Secondary]]/Table2[[#This Row],[Global Secondary]]</f>
        <v>#DIV/0!</v>
      </c>
      <c r="U151" t="e">
        <f>Table2[[#This Row],[Asia Refined]]/Table2[[#This Row],[Global Total]]</f>
        <v>#DIV/0!</v>
      </c>
      <c r="V151" t="e">
        <f>Table2[[#This Row],[Total]]/Table2[[#This Row],[Asia Refined]]</f>
        <v>#DIV/0!</v>
      </c>
    </row>
    <row r="152" spans="17:22" x14ac:dyDescent="0.2">
      <c r="Q152" t="e">
        <f>Table2[[#This Row],[Total]]/Table2[[#This Row],[Global Total]]</f>
        <v>#DIV/0!</v>
      </c>
      <c r="R152" t="e">
        <f>Table2[[#This Row],[Primary]]/Table2[[#This Row],[Global Primary]]</f>
        <v>#DIV/0!</v>
      </c>
      <c r="S152" t="e">
        <f>Table2[[#This Row],[Secondary]]/Table2[[#This Row],[Global Secondary]]</f>
        <v>#DIV/0!</v>
      </c>
      <c r="U152" t="e">
        <f>Table2[[#This Row],[Asia Refined]]/Table2[[#This Row],[Global Total]]</f>
        <v>#DIV/0!</v>
      </c>
      <c r="V152" t="e">
        <f>Table2[[#This Row],[Total]]/Table2[[#This Row],[Asia Refined]]</f>
        <v>#DIV/0!</v>
      </c>
    </row>
    <row r="153" spans="17:22" x14ac:dyDescent="0.2">
      <c r="Q153" t="e">
        <f>Table2[[#This Row],[Total]]/Table2[[#This Row],[Global Total]]</f>
        <v>#DIV/0!</v>
      </c>
      <c r="R153" t="e">
        <f>Table2[[#This Row],[Primary]]/Table2[[#This Row],[Global Primary]]</f>
        <v>#DIV/0!</v>
      </c>
      <c r="S153" t="e">
        <f>Table2[[#This Row],[Secondary]]/Table2[[#This Row],[Global Secondary]]</f>
        <v>#DIV/0!</v>
      </c>
      <c r="U153" t="e">
        <f>Table2[[#This Row],[Asia Refined]]/Table2[[#This Row],[Global Total]]</f>
        <v>#DIV/0!</v>
      </c>
      <c r="V153" t="e">
        <f>Table2[[#This Row],[Total]]/Table2[[#This Row],[Asia Refined]]</f>
        <v>#DIV/0!</v>
      </c>
    </row>
    <row r="154" spans="17:22" x14ac:dyDescent="0.2">
      <c r="Q154" t="e">
        <f>Table2[[#This Row],[Total]]/Table2[[#This Row],[Global Total]]</f>
        <v>#DIV/0!</v>
      </c>
      <c r="R154" t="e">
        <f>Table2[[#This Row],[Primary]]/Table2[[#This Row],[Global Primary]]</f>
        <v>#DIV/0!</v>
      </c>
      <c r="S154" t="e">
        <f>Table2[[#This Row],[Secondary]]/Table2[[#This Row],[Global Secondary]]</f>
        <v>#DIV/0!</v>
      </c>
      <c r="U154" t="e">
        <f>Table2[[#This Row],[Asia Refined]]/Table2[[#This Row],[Global Total]]</f>
        <v>#DIV/0!</v>
      </c>
      <c r="V154" t="e">
        <f>Table2[[#This Row],[Total]]/Table2[[#This Row],[Asia Refined]]</f>
        <v>#DIV/0!</v>
      </c>
    </row>
    <row r="155" spans="17:22" x14ac:dyDescent="0.2">
      <c r="Q155" t="e">
        <f>Table2[[#This Row],[Total]]/Table2[[#This Row],[Global Total]]</f>
        <v>#DIV/0!</v>
      </c>
      <c r="R155" t="e">
        <f>Table2[[#This Row],[Primary]]/Table2[[#This Row],[Global Primary]]</f>
        <v>#DIV/0!</v>
      </c>
      <c r="S155" t="e">
        <f>Table2[[#This Row],[Secondary]]/Table2[[#This Row],[Global Secondary]]</f>
        <v>#DIV/0!</v>
      </c>
      <c r="U155" t="e">
        <f>Table2[[#This Row],[Asia Refined]]/Table2[[#This Row],[Global Total]]</f>
        <v>#DIV/0!</v>
      </c>
      <c r="V155" t="e">
        <f>Table2[[#This Row],[Total]]/Table2[[#This Row],[Asia Refined]]</f>
        <v>#DIV/0!</v>
      </c>
    </row>
    <row r="156" spans="17:22" x14ac:dyDescent="0.2">
      <c r="Q156" t="e">
        <f>Table2[[#This Row],[Total]]/Table2[[#This Row],[Global Total]]</f>
        <v>#DIV/0!</v>
      </c>
      <c r="R156" t="e">
        <f>Table2[[#This Row],[Primary]]/Table2[[#This Row],[Global Primary]]</f>
        <v>#DIV/0!</v>
      </c>
      <c r="S156" t="e">
        <f>Table2[[#This Row],[Secondary]]/Table2[[#This Row],[Global Secondary]]</f>
        <v>#DIV/0!</v>
      </c>
      <c r="U156" t="e">
        <f>Table2[[#This Row],[Asia Refined]]/Table2[[#This Row],[Global Total]]</f>
        <v>#DIV/0!</v>
      </c>
      <c r="V156" t="e">
        <f>Table2[[#This Row],[Total]]/Table2[[#This Row],[Asia Refined]]</f>
        <v>#DIV/0!</v>
      </c>
    </row>
    <row r="157" spans="17:22" x14ac:dyDescent="0.2">
      <c r="Q157" t="e">
        <f>Table2[[#This Row],[Total]]/Table2[[#This Row],[Global Total]]</f>
        <v>#DIV/0!</v>
      </c>
      <c r="R157" t="e">
        <f>Table2[[#This Row],[Primary]]/Table2[[#This Row],[Global Primary]]</f>
        <v>#DIV/0!</v>
      </c>
      <c r="S157" t="e">
        <f>Table2[[#This Row],[Secondary]]/Table2[[#This Row],[Global Secondary]]</f>
        <v>#DIV/0!</v>
      </c>
      <c r="U157" t="e">
        <f>Table2[[#This Row],[Asia Refined]]/Table2[[#This Row],[Global Total]]</f>
        <v>#DIV/0!</v>
      </c>
      <c r="V157" t="e">
        <f>Table2[[#This Row],[Total]]/Table2[[#This Row],[Asia Refined]]</f>
        <v>#DIV/0!</v>
      </c>
    </row>
    <row r="158" spans="17:22" x14ac:dyDescent="0.2">
      <c r="Q158" t="e">
        <f>Table2[[#This Row],[Total]]/Table2[[#This Row],[Global Total]]</f>
        <v>#DIV/0!</v>
      </c>
      <c r="R158" t="e">
        <f>Table2[[#This Row],[Primary]]/Table2[[#This Row],[Global Primary]]</f>
        <v>#DIV/0!</v>
      </c>
      <c r="S158" t="e">
        <f>Table2[[#This Row],[Secondary]]/Table2[[#This Row],[Global Secondary]]</f>
        <v>#DIV/0!</v>
      </c>
      <c r="U158" t="e">
        <f>Table2[[#This Row],[Asia Refined]]/Table2[[#This Row],[Global Total]]</f>
        <v>#DIV/0!</v>
      </c>
      <c r="V158" t="e">
        <f>Table2[[#This Row],[Total]]/Table2[[#This Row],[Asia Refined]]</f>
        <v>#DIV/0!</v>
      </c>
    </row>
    <row r="159" spans="17:22" x14ac:dyDescent="0.2">
      <c r="Q159" t="e">
        <f>Table2[[#This Row],[Total]]/Table2[[#This Row],[Global Total]]</f>
        <v>#DIV/0!</v>
      </c>
      <c r="R159" t="e">
        <f>Table2[[#This Row],[Primary]]/Table2[[#This Row],[Global Primary]]</f>
        <v>#DIV/0!</v>
      </c>
      <c r="S159" t="e">
        <f>Table2[[#This Row],[Secondary]]/Table2[[#This Row],[Global Secondary]]</f>
        <v>#DIV/0!</v>
      </c>
      <c r="U159" t="e">
        <f>Table2[[#This Row],[Asia Refined]]/Table2[[#This Row],[Global Total]]</f>
        <v>#DIV/0!</v>
      </c>
      <c r="V159" t="e">
        <f>Table2[[#This Row],[Total]]/Table2[[#This Row],[Asia Refined]]</f>
        <v>#DIV/0!</v>
      </c>
    </row>
    <row r="160" spans="17:22" x14ac:dyDescent="0.2">
      <c r="Q160" t="e">
        <f>Table2[[#This Row],[Total]]/Table2[[#This Row],[Global Total]]</f>
        <v>#DIV/0!</v>
      </c>
      <c r="R160" t="e">
        <f>Table2[[#This Row],[Primary]]/Table2[[#This Row],[Global Primary]]</f>
        <v>#DIV/0!</v>
      </c>
      <c r="S160" t="e">
        <f>Table2[[#This Row],[Secondary]]/Table2[[#This Row],[Global Secondary]]</f>
        <v>#DIV/0!</v>
      </c>
      <c r="U160" t="e">
        <f>Table2[[#This Row],[Asia Refined]]/Table2[[#This Row],[Global Total]]</f>
        <v>#DIV/0!</v>
      </c>
      <c r="V160" t="e">
        <f>Table2[[#This Row],[Total]]/Table2[[#This Row],[Asia Refined]]</f>
        <v>#DIV/0!</v>
      </c>
    </row>
    <row r="161" spans="17:22" x14ac:dyDescent="0.2">
      <c r="Q161" t="e">
        <f>Table2[[#This Row],[Total]]/Table2[[#This Row],[Global Total]]</f>
        <v>#DIV/0!</v>
      </c>
      <c r="R161" t="e">
        <f>Table2[[#This Row],[Primary]]/Table2[[#This Row],[Global Primary]]</f>
        <v>#DIV/0!</v>
      </c>
      <c r="S161" t="e">
        <f>Table2[[#This Row],[Secondary]]/Table2[[#This Row],[Global Secondary]]</f>
        <v>#DIV/0!</v>
      </c>
      <c r="U161" t="e">
        <f>Table2[[#This Row],[Asia Refined]]/Table2[[#This Row],[Global Total]]</f>
        <v>#DIV/0!</v>
      </c>
      <c r="V161" t="e">
        <f>Table2[[#This Row],[Total]]/Table2[[#This Row],[Asia Refined]]</f>
        <v>#DIV/0!</v>
      </c>
    </row>
    <row r="162" spans="17:22" x14ac:dyDescent="0.2">
      <c r="Q162" t="e">
        <f>Table2[[#This Row],[Total]]/Table2[[#This Row],[Global Total]]</f>
        <v>#DIV/0!</v>
      </c>
      <c r="R162" t="e">
        <f>Table2[[#This Row],[Primary]]/Table2[[#This Row],[Global Primary]]</f>
        <v>#DIV/0!</v>
      </c>
      <c r="S162" t="e">
        <f>Table2[[#This Row],[Secondary]]/Table2[[#This Row],[Global Secondary]]</f>
        <v>#DIV/0!</v>
      </c>
      <c r="U162" t="e">
        <f>Table2[[#This Row],[Asia Refined]]/Table2[[#This Row],[Global Total]]</f>
        <v>#DIV/0!</v>
      </c>
      <c r="V162" t="e">
        <f>Table2[[#This Row],[Total]]/Table2[[#This Row],[Asia Refined]]</f>
        <v>#DIV/0!</v>
      </c>
    </row>
    <row r="163" spans="17:22" x14ac:dyDescent="0.2">
      <c r="Q163" t="e">
        <f>Table2[[#This Row],[Total]]/Table2[[#This Row],[Global Total]]</f>
        <v>#DIV/0!</v>
      </c>
      <c r="R163" t="e">
        <f>Table2[[#This Row],[Primary]]/Table2[[#This Row],[Global Primary]]</f>
        <v>#DIV/0!</v>
      </c>
      <c r="S163" t="e">
        <f>Table2[[#This Row],[Secondary]]/Table2[[#This Row],[Global Secondary]]</f>
        <v>#DIV/0!</v>
      </c>
      <c r="U163" t="e">
        <f>Table2[[#This Row],[Asia Refined]]/Table2[[#This Row],[Global Total]]</f>
        <v>#DIV/0!</v>
      </c>
      <c r="V163" t="e">
        <f>Table2[[#This Row],[Total]]/Table2[[#This Row],[Asia Refined]]</f>
        <v>#DIV/0!</v>
      </c>
    </row>
    <row r="164" spans="17:22" x14ac:dyDescent="0.2">
      <c r="Q164" t="e">
        <f>Table2[[#This Row],[Total]]/Table2[[#This Row],[Global Total]]</f>
        <v>#DIV/0!</v>
      </c>
      <c r="R164" t="e">
        <f>Table2[[#This Row],[Primary]]/Table2[[#This Row],[Global Primary]]</f>
        <v>#DIV/0!</v>
      </c>
      <c r="S164" t="e">
        <f>Table2[[#This Row],[Secondary]]/Table2[[#This Row],[Global Secondary]]</f>
        <v>#DIV/0!</v>
      </c>
      <c r="U164" t="e">
        <f>Table2[[#This Row],[Asia Refined]]/Table2[[#This Row],[Global Total]]</f>
        <v>#DIV/0!</v>
      </c>
      <c r="V164" t="e">
        <f>Table2[[#This Row],[Total]]/Table2[[#This Row],[Asia Refined]]</f>
        <v>#DIV/0!</v>
      </c>
    </row>
    <row r="165" spans="17:22" x14ac:dyDescent="0.2">
      <c r="Q165" t="e">
        <f>Table2[[#This Row],[Total]]/Table2[[#This Row],[Global Total]]</f>
        <v>#DIV/0!</v>
      </c>
      <c r="R165" t="e">
        <f>Table2[[#This Row],[Primary]]/Table2[[#This Row],[Global Primary]]</f>
        <v>#DIV/0!</v>
      </c>
      <c r="S165" t="e">
        <f>Table2[[#This Row],[Secondary]]/Table2[[#This Row],[Global Secondary]]</f>
        <v>#DIV/0!</v>
      </c>
      <c r="U165" t="e">
        <f>Table2[[#This Row],[Asia Refined]]/Table2[[#This Row],[Global Total]]</f>
        <v>#DIV/0!</v>
      </c>
      <c r="V165" t="e">
        <f>Table2[[#This Row],[Total]]/Table2[[#This Row],[Asia Refined]]</f>
        <v>#DIV/0!</v>
      </c>
    </row>
    <row r="166" spans="17:22" x14ac:dyDescent="0.2">
      <c r="Q166" t="e">
        <f>Table2[[#This Row],[Total]]/Table2[[#This Row],[Global Total]]</f>
        <v>#DIV/0!</v>
      </c>
      <c r="R166" t="e">
        <f>Table2[[#This Row],[Primary]]/Table2[[#This Row],[Global Primary]]</f>
        <v>#DIV/0!</v>
      </c>
      <c r="S166" t="e">
        <f>Table2[[#This Row],[Secondary]]/Table2[[#This Row],[Global Secondary]]</f>
        <v>#DIV/0!</v>
      </c>
      <c r="U166" t="e">
        <f>Table2[[#This Row],[Asia Refined]]/Table2[[#This Row],[Global Total]]</f>
        <v>#DIV/0!</v>
      </c>
      <c r="V166" t="e">
        <f>Table2[[#This Row],[Total]]/Table2[[#This Row],[Asia Refined]]</f>
        <v>#DIV/0!</v>
      </c>
    </row>
    <row r="167" spans="17:22" x14ac:dyDescent="0.2">
      <c r="Q167" t="e">
        <f>Table2[[#This Row],[Total]]/Table2[[#This Row],[Global Total]]</f>
        <v>#DIV/0!</v>
      </c>
      <c r="R167" t="e">
        <f>Table2[[#This Row],[Primary]]/Table2[[#This Row],[Global Primary]]</f>
        <v>#DIV/0!</v>
      </c>
      <c r="S167" t="e">
        <f>Table2[[#This Row],[Secondary]]/Table2[[#This Row],[Global Secondary]]</f>
        <v>#DIV/0!</v>
      </c>
      <c r="U167" t="e">
        <f>Table2[[#This Row],[Asia Refined]]/Table2[[#This Row],[Global Total]]</f>
        <v>#DIV/0!</v>
      </c>
      <c r="V167" t="e">
        <f>Table2[[#This Row],[Total]]/Table2[[#This Row],[Asia Refined]]</f>
        <v>#DIV/0!</v>
      </c>
    </row>
    <row r="168" spans="17:22" x14ac:dyDescent="0.2">
      <c r="Q168" t="e">
        <f>Table2[[#This Row],[Total]]/Table2[[#This Row],[Global Total]]</f>
        <v>#DIV/0!</v>
      </c>
      <c r="R168" t="e">
        <f>Table2[[#This Row],[Primary]]/Table2[[#This Row],[Global Primary]]</f>
        <v>#DIV/0!</v>
      </c>
      <c r="S168" t="e">
        <f>Table2[[#This Row],[Secondary]]/Table2[[#This Row],[Global Secondary]]</f>
        <v>#DIV/0!</v>
      </c>
      <c r="U168" t="e">
        <f>Table2[[#This Row],[Asia Refined]]/Table2[[#This Row],[Global Total]]</f>
        <v>#DIV/0!</v>
      </c>
      <c r="V168" t="e">
        <f>Table2[[#This Row],[Total]]/Table2[[#This Row],[Asia Refined]]</f>
        <v>#DIV/0!</v>
      </c>
    </row>
    <row r="169" spans="17:22" x14ac:dyDescent="0.2">
      <c r="Q169" t="e">
        <f>Table2[[#This Row],[Total]]/Table2[[#This Row],[Global Total]]</f>
        <v>#DIV/0!</v>
      </c>
      <c r="R169" t="e">
        <f>Table2[[#This Row],[Primary]]/Table2[[#This Row],[Global Primary]]</f>
        <v>#DIV/0!</v>
      </c>
      <c r="S169" t="e">
        <f>Table2[[#This Row],[Secondary]]/Table2[[#This Row],[Global Secondary]]</f>
        <v>#DIV/0!</v>
      </c>
      <c r="U169" t="e">
        <f>Table2[[#This Row],[Asia Refined]]/Table2[[#This Row],[Global Total]]</f>
        <v>#DIV/0!</v>
      </c>
      <c r="V169" t="e">
        <f>Table2[[#This Row],[Total]]/Table2[[#This Row],[Asia Refined]]</f>
        <v>#DIV/0!</v>
      </c>
    </row>
    <row r="170" spans="17:22" x14ac:dyDescent="0.2">
      <c r="Q170" t="e">
        <f>Table2[[#This Row],[Total]]/Table2[[#This Row],[Global Total]]</f>
        <v>#DIV/0!</v>
      </c>
      <c r="R170" t="e">
        <f>Table2[[#This Row],[Primary]]/Table2[[#This Row],[Global Primary]]</f>
        <v>#DIV/0!</v>
      </c>
      <c r="S170" t="e">
        <f>Table2[[#This Row],[Secondary]]/Table2[[#This Row],[Global Secondary]]</f>
        <v>#DIV/0!</v>
      </c>
      <c r="U170" t="e">
        <f>Table2[[#This Row],[Asia Refined]]/Table2[[#This Row],[Global Total]]</f>
        <v>#DIV/0!</v>
      </c>
      <c r="V170" t="e">
        <f>Table2[[#This Row],[Total]]/Table2[[#This Row],[Asia Refined]]</f>
        <v>#DIV/0!</v>
      </c>
    </row>
    <row r="171" spans="17:22" x14ac:dyDescent="0.2">
      <c r="Q171" t="e">
        <f>Table2[[#This Row],[Total]]/Table2[[#This Row],[Global Total]]</f>
        <v>#DIV/0!</v>
      </c>
      <c r="R171" t="e">
        <f>Table2[[#This Row],[Primary]]/Table2[[#This Row],[Global Primary]]</f>
        <v>#DIV/0!</v>
      </c>
      <c r="S171" t="e">
        <f>Table2[[#This Row],[Secondary]]/Table2[[#This Row],[Global Secondary]]</f>
        <v>#DIV/0!</v>
      </c>
      <c r="U171" t="e">
        <f>Table2[[#This Row],[Asia Refined]]/Table2[[#This Row],[Global Total]]</f>
        <v>#DIV/0!</v>
      </c>
      <c r="V171" t="e">
        <f>Table2[[#This Row],[Total]]/Table2[[#This Row],[Asia Refined]]</f>
        <v>#DIV/0!</v>
      </c>
    </row>
    <row r="172" spans="17:22" x14ac:dyDescent="0.2">
      <c r="Q172" t="e">
        <f>Table2[[#This Row],[Total]]/Table2[[#This Row],[Global Total]]</f>
        <v>#DIV/0!</v>
      </c>
      <c r="R172" t="e">
        <f>Table2[[#This Row],[Primary]]/Table2[[#This Row],[Global Primary]]</f>
        <v>#DIV/0!</v>
      </c>
      <c r="S172" t="e">
        <f>Table2[[#This Row],[Secondary]]/Table2[[#This Row],[Global Secondary]]</f>
        <v>#DIV/0!</v>
      </c>
      <c r="U172" t="e">
        <f>Table2[[#This Row],[Asia Refined]]/Table2[[#This Row],[Global Total]]</f>
        <v>#DIV/0!</v>
      </c>
      <c r="V172" t="e">
        <f>Table2[[#This Row],[Total]]/Table2[[#This Row],[Asia Refined]]</f>
        <v>#DIV/0!</v>
      </c>
    </row>
    <row r="173" spans="17:22" x14ac:dyDescent="0.2">
      <c r="Q173" t="e">
        <f>Table2[[#This Row],[Total]]/Table2[[#This Row],[Global Total]]</f>
        <v>#DIV/0!</v>
      </c>
      <c r="R173" t="e">
        <f>Table2[[#This Row],[Primary]]/Table2[[#This Row],[Global Primary]]</f>
        <v>#DIV/0!</v>
      </c>
      <c r="S173" t="e">
        <f>Table2[[#This Row],[Secondary]]/Table2[[#This Row],[Global Secondary]]</f>
        <v>#DIV/0!</v>
      </c>
      <c r="U173" t="e">
        <f>Table2[[#This Row],[Asia Refined]]/Table2[[#This Row],[Global Total]]</f>
        <v>#DIV/0!</v>
      </c>
      <c r="V173" t="e">
        <f>Table2[[#This Row],[Total]]/Table2[[#This Row],[Asia Refined]]</f>
        <v>#DIV/0!</v>
      </c>
    </row>
    <row r="174" spans="17:22" x14ac:dyDescent="0.2">
      <c r="Q174" t="e">
        <f>Table2[[#This Row],[Total]]/Table2[[#This Row],[Global Total]]</f>
        <v>#DIV/0!</v>
      </c>
      <c r="R174" t="e">
        <f>Table2[[#This Row],[Primary]]/Table2[[#This Row],[Global Primary]]</f>
        <v>#DIV/0!</v>
      </c>
      <c r="S174" t="e">
        <f>Table2[[#This Row],[Secondary]]/Table2[[#This Row],[Global Secondary]]</f>
        <v>#DIV/0!</v>
      </c>
      <c r="U174" t="e">
        <f>Table2[[#This Row],[Asia Refined]]/Table2[[#This Row],[Global Total]]</f>
        <v>#DIV/0!</v>
      </c>
      <c r="V174" t="e">
        <f>Table2[[#This Row],[Total]]/Table2[[#This Row],[Asia Refined]]</f>
        <v>#DIV/0!</v>
      </c>
    </row>
    <row r="175" spans="17:22" x14ac:dyDescent="0.2">
      <c r="Q175" t="e">
        <f>Table2[[#This Row],[Total]]/Table2[[#This Row],[Global Total]]</f>
        <v>#DIV/0!</v>
      </c>
      <c r="R175" t="e">
        <f>Table2[[#This Row],[Primary]]/Table2[[#This Row],[Global Primary]]</f>
        <v>#DIV/0!</v>
      </c>
      <c r="S175" t="e">
        <f>Table2[[#This Row],[Secondary]]/Table2[[#This Row],[Global Secondary]]</f>
        <v>#DIV/0!</v>
      </c>
      <c r="U175" t="e">
        <f>Table2[[#This Row],[Asia Refined]]/Table2[[#This Row],[Global Total]]</f>
        <v>#DIV/0!</v>
      </c>
      <c r="V175" t="e">
        <f>Table2[[#This Row],[Total]]/Table2[[#This Row],[Asia Refined]]</f>
        <v>#DIV/0!</v>
      </c>
    </row>
    <row r="176" spans="17:22" x14ac:dyDescent="0.2">
      <c r="Q176" t="e">
        <f>Table2[[#This Row],[Total]]/Table2[[#This Row],[Global Total]]</f>
        <v>#DIV/0!</v>
      </c>
      <c r="R176" t="e">
        <f>Table2[[#This Row],[Primary]]/Table2[[#This Row],[Global Primary]]</f>
        <v>#DIV/0!</v>
      </c>
      <c r="S176" t="e">
        <f>Table2[[#This Row],[Secondary]]/Table2[[#This Row],[Global Secondary]]</f>
        <v>#DIV/0!</v>
      </c>
      <c r="U176" t="e">
        <f>Table2[[#This Row],[Asia Refined]]/Table2[[#This Row],[Global Total]]</f>
        <v>#DIV/0!</v>
      </c>
      <c r="V176" t="e">
        <f>Table2[[#This Row],[Total]]/Table2[[#This Row],[Asia Refined]]</f>
        <v>#DIV/0!</v>
      </c>
    </row>
    <row r="177" spans="17:22" x14ac:dyDescent="0.2">
      <c r="Q177" t="e">
        <f>Table2[[#This Row],[Total]]/Table2[[#This Row],[Global Total]]</f>
        <v>#DIV/0!</v>
      </c>
      <c r="R177" t="e">
        <f>Table2[[#This Row],[Primary]]/Table2[[#This Row],[Global Primary]]</f>
        <v>#DIV/0!</v>
      </c>
      <c r="S177" t="e">
        <f>Table2[[#This Row],[Secondary]]/Table2[[#This Row],[Global Secondary]]</f>
        <v>#DIV/0!</v>
      </c>
      <c r="U177" t="e">
        <f>Table2[[#This Row],[Asia Refined]]/Table2[[#This Row],[Global Total]]</f>
        <v>#DIV/0!</v>
      </c>
      <c r="V177" t="e">
        <f>Table2[[#This Row],[Total]]/Table2[[#This Row],[Asia Refined]]</f>
        <v>#DIV/0!</v>
      </c>
    </row>
    <row r="178" spans="17:22" x14ac:dyDescent="0.2">
      <c r="Q178" t="e">
        <f>Table2[[#This Row],[Total]]/Table2[[#This Row],[Global Total]]</f>
        <v>#DIV/0!</v>
      </c>
      <c r="R178" t="e">
        <f>Table2[[#This Row],[Primary]]/Table2[[#This Row],[Global Primary]]</f>
        <v>#DIV/0!</v>
      </c>
      <c r="S178" t="e">
        <f>Table2[[#This Row],[Secondary]]/Table2[[#This Row],[Global Secondary]]</f>
        <v>#DIV/0!</v>
      </c>
      <c r="U178" t="e">
        <f>Table2[[#This Row],[Asia Refined]]/Table2[[#This Row],[Global Total]]</f>
        <v>#DIV/0!</v>
      </c>
      <c r="V178" t="e">
        <f>Table2[[#This Row],[Total]]/Table2[[#This Row],[Asia Refined]]</f>
        <v>#DIV/0!</v>
      </c>
    </row>
    <row r="179" spans="17:22" x14ac:dyDescent="0.2">
      <c r="Q179" t="e">
        <f>Table2[[#This Row],[Total]]/Table2[[#This Row],[Global Total]]</f>
        <v>#DIV/0!</v>
      </c>
      <c r="R179" t="e">
        <f>Table2[[#This Row],[Primary]]/Table2[[#This Row],[Global Primary]]</f>
        <v>#DIV/0!</v>
      </c>
      <c r="S179" t="e">
        <f>Table2[[#This Row],[Secondary]]/Table2[[#This Row],[Global Secondary]]</f>
        <v>#DIV/0!</v>
      </c>
      <c r="U179" t="e">
        <f>Table2[[#This Row],[Asia Refined]]/Table2[[#This Row],[Global Total]]</f>
        <v>#DIV/0!</v>
      </c>
      <c r="V179" t="e">
        <f>Table2[[#This Row],[Total]]/Table2[[#This Row],[Asia Refined]]</f>
        <v>#DIV/0!</v>
      </c>
    </row>
    <row r="180" spans="17:22" x14ac:dyDescent="0.2">
      <c r="Q180" t="e">
        <f>Table2[[#This Row],[Total]]/Table2[[#This Row],[Global Total]]</f>
        <v>#DIV/0!</v>
      </c>
      <c r="R180" t="e">
        <f>Table2[[#This Row],[Primary]]/Table2[[#This Row],[Global Primary]]</f>
        <v>#DIV/0!</v>
      </c>
      <c r="S180" t="e">
        <f>Table2[[#This Row],[Secondary]]/Table2[[#This Row],[Global Secondary]]</f>
        <v>#DIV/0!</v>
      </c>
      <c r="U180" t="e">
        <f>Table2[[#This Row],[Asia Refined]]/Table2[[#This Row],[Global Total]]</f>
        <v>#DIV/0!</v>
      </c>
      <c r="V180" t="e">
        <f>Table2[[#This Row],[Total]]/Table2[[#This Row],[Asia Refined]]</f>
        <v>#DIV/0!</v>
      </c>
    </row>
    <row r="181" spans="17:22" x14ac:dyDescent="0.2">
      <c r="Q181" t="e">
        <f>Table2[[#This Row],[Total]]/Table2[[#This Row],[Global Total]]</f>
        <v>#DIV/0!</v>
      </c>
      <c r="R181" t="e">
        <f>Table2[[#This Row],[Primary]]/Table2[[#This Row],[Global Primary]]</f>
        <v>#DIV/0!</v>
      </c>
      <c r="S181" t="e">
        <f>Table2[[#This Row],[Secondary]]/Table2[[#This Row],[Global Secondary]]</f>
        <v>#DIV/0!</v>
      </c>
      <c r="U181" t="e">
        <f>Table2[[#This Row],[Asia Refined]]/Table2[[#This Row],[Global Total]]</f>
        <v>#DIV/0!</v>
      </c>
      <c r="V181" t="e">
        <f>Table2[[#This Row],[Total]]/Table2[[#This Row],[Asia Refined]]</f>
        <v>#DIV/0!</v>
      </c>
    </row>
    <row r="182" spans="17:22" x14ac:dyDescent="0.2">
      <c r="Q182" t="e">
        <f>Table2[[#This Row],[Total]]/Table2[[#This Row],[Global Total]]</f>
        <v>#DIV/0!</v>
      </c>
      <c r="R182" t="e">
        <f>Table2[[#This Row],[Primary]]/Table2[[#This Row],[Global Primary]]</f>
        <v>#DIV/0!</v>
      </c>
      <c r="S182" t="e">
        <f>Table2[[#This Row],[Secondary]]/Table2[[#This Row],[Global Secondary]]</f>
        <v>#DIV/0!</v>
      </c>
      <c r="U182" t="e">
        <f>Table2[[#This Row],[Asia Refined]]/Table2[[#This Row],[Global Total]]</f>
        <v>#DIV/0!</v>
      </c>
      <c r="V182" t="e">
        <f>Table2[[#This Row],[Total]]/Table2[[#This Row],[Asia Refined]]</f>
        <v>#DIV/0!</v>
      </c>
    </row>
    <row r="183" spans="17:22" x14ac:dyDescent="0.2">
      <c r="Q183" t="e">
        <f>Table2[[#This Row],[Total]]/Table2[[#This Row],[Global Total]]</f>
        <v>#DIV/0!</v>
      </c>
      <c r="R183" t="e">
        <f>Table2[[#This Row],[Primary]]/Table2[[#This Row],[Global Primary]]</f>
        <v>#DIV/0!</v>
      </c>
      <c r="S183" t="e">
        <f>Table2[[#This Row],[Secondary]]/Table2[[#This Row],[Global Secondary]]</f>
        <v>#DIV/0!</v>
      </c>
      <c r="U183" t="e">
        <f>Table2[[#This Row],[Asia Refined]]/Table2[[#This Row],[Global Total]]</f>
        <v>#DIV/0!</v>
      </c>
      <c r="V183" t="e">
        <f>Table2[[#This Row],[Total]]/Table2[[#This Row],[Asia Refined]]</f>
        <v>#DIV/0!</v>
      </c>
    </row>
    <row r="184" spans="17:22" x14ac:dyDescent="0.2">
      <c r="Q184" t="e">
        <f>Table2[[#This Row],[Total]]/Table2[[#This Row],[Global Total]]</f>
        <v>#DIV/0!</v>
      </c>
      <c r="R184" t="e">
        <f>Table2[[#This Row],[Primary]]/Table2[[#This Row],[Global Primary]]</f>
        <v>#DIV/0!</v>
      </c>
      <c r="S184" t="e">
        <f>Table2[[#This Row],[Secondary]]/Table2[[#This Row],[Global Secondary]]</f>
        <v>#DIV/0!</v>
      </c>
      <c r="U184" t="e">
        <f>Table2[[#This Row],[Asia Refined]]/Table2[[#This Row],[Global Total]]</f>
        <v>#DIV/0!</v>
      </c>
      <c r="V184" t="e">
        <f>Table2[[#This Row],[Total]]/Table2[[#This Row],[Asia Refined]]</f>
        <v>#DIV/0!</v>
      </c>
    </row>
    <row r="185" spans="17:22" x14ac:dyDescent="0.2">
      <c r="Q185" t="e">
        <f>Table2[[#This Row],[Total]]/Table2[[#This Row],[Global Total]]</f>
        <v>#DIV/0!</v>
      </c>
      <c r="R185" t="e">
        <f>Table2[[#This Row],[Primary]]/Table2[[#This Row],[Global Primary]]</f>
        <v>#DIV/0!</v>
      </c>
      <c r="S185" t="e">
        <f>Table2[[#This Row],[Secondary]]/Table2[[#This Row],[Global Secondary]]</f>
        <v>#DIV/0!</v>
      </c>
      <c r="U185" t="e">
        <f>Table2[[#This Row],[Asia Refined]]/Table2[[#This Row],[Global Total]]</f>
        <v>#DIV/0!</v>
      </c>
      <c r="V185" t="e">
        <f>Table2[[#This Row],[Total]]/Table2[[#This Row],[Asia Refined]]</f>
        <v>#DIV/0!</v>
      </c>
    </row>
    <row r="186" spans="17:22" x14ac:dyDescent="0.2">
      <c r="Q186" t="e">
        <f>Table2[[#This Row],[Total]]/Table2[[#This Row],[Global Total]]</f>
        <v>#DIV/0!</v>
      </c>
      <c r="R186" t="e">
        <f>Table2[[#This Row],[Primary]]/Table2[[#This Row],[Global Primary]]</f>
        <v>#DIV/0!</v>
      </c>
      <c r="S186" t="e">
        <f>Table2[[#This Row],[Secondary]]/Table2[[#This Row],[Global Secondary]]</f>
        <v>#DIV/0!</v>
      </c>
      <c r="U186" t="e">
        <f>Table2[[#This Row],[Asia Refined]]/Table2[[#This Row],[Global Total]]</f>
        <v>#DIV/0!</v>
      </c>
      <c r="V186" t="e">
        <f>Table2[[#This Row],[Total]]/Table2[[#This Row],[Asia Refined]]</f>
        <v>#DIV/0!</v>
      </c>
    </row>
    <row r="187" spans="17:22" x14ac:dyDescent="0.2">
      <c r="Q187" t="e">
        <f>Table2[[#This Row],[Total]]/Table2[[#This Row],[Global Total]]</f>
        <v>#DIV/0!</v>
      </c>
      <c r="R187" t="e">
        <f>Table2[[#This Row],[Primary]]/Table2[[#This Row],[Global Primary]]</f>
        <v>#DIV/0!</v>
      </c>
      <c r="S187" t="e">
        <f>Table2[[#This Row],[Secondary]]/Table2[[#This Row],[Global Secondary]]</f>
        <v>#DIV/0!</v>
      </c>
      <c r="U187" t="e">
        <f>Table2[[#This Row],[Asia Refined]]/Table2[[#This Row],[Global Total]]</f>
        <v>#DIV/0!</v>
      </c>
      <c r="V187" t="e">
        <f>Table2[[#This Row],[Total]]/Table2[[#This Row],[Asia Refined]]</f>
        <v>#DIV/0!</v>
      </c>
    </row>
    <row r="188" spans="17:22" x14ac:dyDescent="0.2">
      <c r="Q188" t="e">
        <f>Table2[[#This Row],[Total]]/Table2[[#This Row],[Global Total]]</f>
        <v>#DIV/0!</v>
      </c>
      <c r="R188" t="e">
        <f>Table2[[#This Row],[Primary]]/Table2[[#This Row],[Global Primary]]</f>
        <v>#DIV/0!</v>
      </c>
      <c r="S188" t="e">
        <f>Table2[[#This Row],[Secondary]]/Table2[[#This Row],[Global Secondary]]</f>
        <v>#DIV/0!</v>
      </c>
      <c r="U188" t="e">
        <f>Table2[[#This Row],[Asia Refined]]/Table2[[#This Row],[Global Total]]</f>
        <v>#DIV/0!</v>
      </c>
      <c r="V188" t="e">
        <f>Table2[[#This Row],[Total]]/Table2[[#This Row],[Asia Refined]]</f>
        <v>#DIV/0!</v>
      </c>
    </row>
    <row r="189" spans="17:22" x14ac:dyDescent="0.2">
      <c r="Q189" t="e">
        <f>Table2[[#This Row],[Total]]/Table2[[#This Row],[Global Total]]</f>
        <v>#DIV/0!</v>
      </c>
      <c r="R189" t="e">
        <f>Table2[[#This Row],[Primary]]/Table2[[#This Row],[Global Primary]]</f>
        <v>#DIV/0!</v>
      </c>
      <c r="S189" t="e">
        <f>Table2[[#This Row],[Secondary]]/Table2[[#This Row],[Global Secondary]]</f>
        <v>#DIV/0!</v>
      </c>
      <c r="U189" t="e">
        <f>Table2[[#This Row],[Asia Refined]]/Table2[[#This Row],[Global Total]]</f>
        <v>#DIV/0!</v>
      </c>
      <c r="V189" t="e">
        <f>Table2[[#This Row],[Total]]/Table2[[#This Row],[Asia Refined]]</f>
        <v>#DIV/0!</v>
      </c>
    </row>
    <row r="190" spans="17:22" x14ac:dyDescent="0.2">
      <c r="Q190" t="e">
        <f>Table2[[#This Row],[Total]]/Table2[[#This Row],[Global Total]]</f>
        <v>#DIV/0!</v>
      </c>
      <c r="R190" t="e">
        <f>Table2[[#This Row],[Primary]]/Table2[[#This Row],[Global Primary]]</f>
        <v>#DIV/0!</v>
      </c>
      <c r="S190" t="e">
        <f>Table2[[#This Row],[Secondary]]/Table2[[#This Row],[Global Secondary]]</f>
        <v>#DIV/0!</v>
      </c>
      <c r="U190" t="e">
        <f>Table2[[#This Row],[Asia Refined]]/Table2[[#This Row],[Global Total]]</f>
        <v>#DIV/0!</v>
      </c>
      <c r="V190" t="e">
        <f>Table2[[#This Row],[Total]]/Table2[[#This Row],[Asia Refined]]</f>
        <v>#DIV/0!</v>
      </c>
    </row>
    <row r="191" spans="17:22" x14ac:dyDescent="0.2">
      <c r="Q191" t="e">
        <f>Table2[[#This Row],[Total]]/Table2[[#This Row],[Global Total]]</f>
        <v>#DIV/0!</v>
      </c>
      <c r="R191" t="e">
        <f>Table2[[#This Row],[Primary]]/Table2[[#This Row],[Global Primary]]</f>
        <v>#DIV/0!</v>
      </c>
      <c r="S191" t="e">
        <f>Table2[[#This Row],[Secondary]]/Table2[[#This Row],[Global Secondary]]</f>
        <v>#DIV/0!</v>
      </c>
      <c r="U191" t="e">
        <f>Table2[[#This Row],[Asia Refined]]/Table2[[#This Row],[Global Total]]</f>
        <v>#DIV/0!</v>
      </c>
      <c r="V191" t="e">
        <f>Table2[[#This Row],[Total]]/Table2[[#This Row],[Asia Refined]]</f>
        <v>#DIV/0!</v>
      </c>
    </row>
    <row r="192" spans="17:22" x14ac:dyDescent="0.2">
      <c r="Q192" t="e">
        <f>Table2[[#This Row],[Total]]/Table2[[#This Row],[Global Total]]</f>
        <v>#DIV/0!</v>
      </c>
      <c r="R192" t="e">
        <f>Table2[[#This Row],[Primary]]/Table2[[#This Row],[Global Primary]]</f>
        <v>#DIV/0!</v>
      </c>
      <c r="S192" t="e">
        <f>Table2[[#This Row],[Secondary]]/Table2[[#This Row],[Global Secondary]]</f>
        <v>#DIV/0!</v>
      </c>
      <c r="U192" t="e">
        <f>Table2[[#This Row],[Asia Refined]]/Table2[[#This Row],[Global Total]]</f>
        <v>#DIV/0!</v>
      </c>
      <c r="V192" t="e">
        <f>Table2[[#This Row],[Total]]/Table2[[#This Row],[Asia Refined]]</f>
        <v>#DIV/0!</v>
      </c>
    </row>
    <row r="193" spans="17:22" x14ac:dyDescent="0.2">
      <c r="Q193" t="e">
        <f>Table2[[#This Row],[Total]]/Table2[[#This Row],[Global Total]]</f>
        <v>#DIV/0!</v>
      </c>
      <c r="R193" t="e">
        <f>Table2[[#This Row],[Primary]]/Table2[[#This Row],[Global Primary]]</f>
        <v>#DIV/0!</v>
      </c>
      <c r="S193" t="e">
        <f>Table2[[#This Row],[Secondary]]/Table2[[#This Row],[Global Secondary]]</f>
        <v>#DIV/0!</v>
      </c>
      <c r="U193" t="e">
        <f>Table2[[#This Row],[Asia Refined]]/Table2[[#This Row],[Global Total]]</f>
        <v>#DIV/0!</v>
      </c>
      <c r="V193" t="e">
        <f>Table2[[#This Row],[Total]]/Table2[[#This Row],[Asia Refined]]</f>
        <v>#DIV/0!</v>
      </c>
    </row>
    <row r="194" spans="17:22" x14ac:dyDescent="0.2">
      <c r="Q194" t="e">
        <f>Table2[[#This Row],[Total]]/Table2[[#This Row],[Global Total]]</f>
        <v>#DIV/0!</v>
      </c>
      <c r="R194" t="e">
        <f>Table2[[#This Row],[Primary]]/Table2[[#This Row],[Global Primary]]</f>
        <v>#DIV/0!</v>
      </c>
      <c r="S194" t="e">
        <f>Table2[[#This Row],[Secondary]]/Table2[[#This Row],[Global Secondary]]</f>
        <v>#DIV/0!</v>
      </c>
      <c r="U194" t="e">
        <f>Table2[[#This Row],[Asia Refined]]/Table2[[#This Row],[Global Total]]</f>
        <v>#DIV/0!</v>
      </c>
      <c r="V194" t="e">
        <f>Table2[[#This Row],[Total]]/Table2[[#This Row],[Asia Refined]]</f>
        <v>#DIV/0!</v>
      </c>
    </row>
    <row r="195" spans="17:22" x14ac:dyDescent="0.2">
      <c r="Q195" t="e">
        <f>Table2[[#This Row],[Total]]/Table2[[#This Row],[Global Total]]</f>
        <v>#DIV/0!</v>
      </c>
      <c r="R195" t="e">
        <f>Table2[[#This Row],[Primary]]/Table2[[#This Row],[Global Primary]]</f>
        <v>#DIV/0!</v>
      </c>
      <c r="S195" t="e">
        <f>Table2[[#This Row],[Secondary]]/Table2[[#This Row],[Global Secondary]]</f>
        <v>#DIV/0!</v>
      </c>
      <c r="U195" t="e">
        <f>Table2[[#This Row],[Asia Refined]]/Table2[[#This Row],[Global Total]]</f>
        <v>#DIV/0!</v>
      </c>
      <c r="V195" t="e">
        <f>Table2[[#This Row],[Total]]/Table2[[#This Row],[Asia Refined]]</f>
        <v>#DIV/0!</v>
      </c>
    </row>
    <row r="196" spans="17:22" x14ac:dyDescent="0.2">
      <c r="Q196" t="e">
        <f>Table2[[#This Row],[Total]]/Table2[[#This Row],[Global Total]]</f>
        <v>#DIV/0!</v>
      </c>
      <c r="R196" t="e">
        <f>Table2[[#This Row],[Primary]]/Table2[[#This Row],[Global Primary]]</f>
        <v>#DIV/0!</v>
      </c>
      <c r="S196" t="e">
        <f>Table2[[#This Row],[Secondary]]/Table2[[#This Row],[Global Secondary]]</f>
        <v>#DIV/0!</v>
      </c>
      <c r="U196" t="e">
        <f>Table2[[#This Row],[Asia Refined]]/Table2[[#This Row],[Global Total]]</f>
        <v>#DIV/0!</v>
      </c>
      <c r="V196" t="e">
        <f>Table2[[#This Row],[Total]]/Table2[[#This Row],[Asia Refined]]</f>
        <v>#DIV/0!</v>
      </c>
    </row>
    <row r="197" spans="17:22" x14ac:dyDescent="0.2">
      <c r="Q197" t="e">
        <f>Table2[[#This Row],[Total]]/Table2[[#This Row],[Global Total]]</f>
        <v>#DIV/0!</v>
      </c>
      <c r="R197" t="e">
        <f>Table2[[#This Row],[Primary]]/Table2[[#This Row],[Global Primary]]</f>
        <v>#DIV/0!</v>
      </c>
      <c r="S197" t="e">
        <f>Table2[[#This Row],[Secondary]]/Table2[[#This Row],[Global Secondary]]</f>
        <v>#DIV/0!</v>
      </c>
      <c r="U197" t="e">
        <f>Table2[[#This Row],[Asia Refined]]/Table2[[#This Row],[Global Total]]</f>
        <v>#DIV/0!</v>
      </c>
      <c r="V197" t="e">
        <f>Table2[[#This Row],[Total]]/Table2[[#This Row],[Asia Refined]]</f>
        <v>#DIV/0!</v>
      </c>
    </row>
    <row r="198" spans="17:22" x14ac:dyDescent="0.2">
      <c r="Q198" t="e">
        <f>Table2[[#This Row],[Total]]/Table2[[#This Row],[Global Total]]</f>
        <v>#DIV/0!</v>
      </c>
      <c r="R198" t="e">
        <f>Table2[[#This Row],[Primary]]/Table2[[#This Row],[Global Primary]]</f>
        <v>#DIV/0!</v>
      </c>
      <c r="S198" t="e">
        <f>Table2[[#This Row],[Secondary]]/Table2[[#This Row],[Global Secondary]]</f>
        <v>#DIV/0!</v>
      </c>
      <c r="U198" t="e">
        <f>Table2[[#This Row],[Asia Refined]]/Table2[[#This Row],[Global Total]]</f>
        <v>#DIV/0!</v>
      </c>
      <c r="V198" t="e">
        <f>Table2[[#This Row],[Total]]/Table2[[#This Row],[Asia Refined]]</f>
        <v>#DIV/0!</v>
      </c>
    </row>
    <row r="199" spans="17:22" x14ac:dyDescent="0.2">
      <c r="Q199" t="e">
        <f>Table2[[#This Row],[Total]]/Table2[[#This Row],[Global Total]]</f>
        <v>#DIV/0!</v>
      </c>
      <c r="R199" t="e">
        <f>Table2[[#This Row],[Primary]]/Table2[[#This Row],[Global Primary]]</f>
        <v>#DIV/0!</v>
      </c>
      <c r="S199" t="e">
        <f>Table2[[#This Row],[Secondary]]/Table2[[#This Row],[Global Secondary]]</f>
        <v>#DIV/0!</v>
      </c>
      <c r="U199" t="e">
        <f>Table2[[#This Row],[Asia Refined]]/Table2[[#This Row],[Global Total]]</f>
        <v>#DIV/0!</v>
      </c>
      <c r="V199" t="e">
        <f>Table2[[#This Row],[Total]]/Table2[[#This Row],[Asia Refined]]</f>
        <v>#DIV/0!</v>
      </c>
    </row>
    <row r="200" spans="17:22" x14ac:dyDescent="0.2">
      <c r="Q200" t="e">
        <f>Table2[[#This Row],[Total]]/Table2[[#This Row],[Global Total]]</f>
        <v>#DIV/0!</v>
      </c>
      <c r="R200" t="e">
        <f>Table2[[#This Row],[Primary]]/Table2[[#This Row],[Global Primary]]</f>
        <v>#DIV/0!</v>
      </c>
      <c r="S200" t="e">
        <f>Table2[[#This Row],[Secondary]]/Table2[[#This Row],[Global Secondary]]</f>
        <v>#DIV/0!</v>
      </c>
      <c r="U200" t="e">
        <f>Table2[[#This Row],[Asia Refined]]/Table2[[#This Row],[Global Total]]</f>
        <v>#DIV/0!</v>
      </c>
      <c r="V200" t="e">
        <f>Table2[[#This Row],[Total]]/Table2[[#This Row],[Asia Refined]]</f>
        <v>#DIV/0!</v>
      </c>
    </row>
    <row r="201" spans="17:22" x14ac:dyDescent="0.2">
      <c r="Q201" t="e">
        <f>Table2[[#This Row],[Total]]/Table2[[#This Row],[Global Total]]</f>
        <v>#DIV/0!</v>
      </c>
      <c r="R201" t="e">
        <f>Table2[[#This Row],[Primary]]/Table2[[#This Row],[Global Primary]]</f>
        <v>#DIV/0!</v>
      </c>
      <c r="S201" t="e">
        <f>Table2[[#This Row],[Secondary]]/Table2[[#This Row],[Global Secondary]]</f>
        <v>#DIV/0!</v>
      </c>
      <c r="U201" t="e">
        <f>Table2[[#This Row],[Asia Refined]]/Table2[[#This Row],[Global Total]]</f>
        <v>#DIV/0!</v>
      </c>
      <c r="V201" t="e">
        <f>Table2[[#This Row],[Total]]/Table2[[#This Row],[Asia Refined]]</f>
        <v>#DIV/0!</v>
      </c>
    </row>
    <row r="202" spans="17:22" x14ac:dyDescent="0.2">
      <c r="Q202" t="e">
        <f>Table2[[#This Row],[Total]]/Table2[[#This Row],[Global Total]]</f>
        <v>#DIV/0!</v>
      </c>
      <c r="R202" t="e">
        <f>Table2[[#This Row],[Primary]]/Table2[[#This Row],[Global Primary]]</f>
        <v>#DIV/0!</v>
      </c>
      <c r="S202" t="e">
        <f>Table2[[#This Row],[Secondary]]/Table2[[#This Row],[Global Secondary]]</f>
        <v>#DIV/0!</v>
      </c>
      <c r="U202" t="e">
        <f>Table2[[#This Row],[Asia Refined]]/Table2[[#This Row],[Global Total]]</f>
        <v>#DIV/0!</v>
      </c>
      <c r="V202" t="e">
        <f>Table2[[#This Row],[Total]]/Table2[[#This Row],[Asia Refined]]</f>
        <v>#DIV/0!</v>
      </c>
    </row>
    <row r="203" spans="17:22" x14ac:dyDescent="0.2">
      <c r="Q203" t="e">
        <f>Table2[[#This Row],[Total]]/Table2[[#This Row],[Global Total]]</f>
        <v>#DIV/0!</v>
      </c>
      <c r="R203" t="e">
        <f>Table2[[#This Row],[Primary]]/Table2[[#This Row],[Global Primary]]</f>
        <v>#DIV/0!</v>
      </c>
      <c r="S203" t="e">
        <f>Table2[[#This Row],[Secondary]]/Table2[[#This Row],[Global Secondary]]</f>
        <v>#DIV/0!</v>
      </c>
      <c r="U203" t="e">
        <f>Table2[[#This Row],[Asia Refined]]/Table2[[#This Row],[Global Total]]</f>
        <v>#DIV/0!</v>
      </c>
      <c r="V203" t="e">
        <f>Table2[[#This Row],[Total]]/Table2[[#This Row],[Asia Refined]]</f>
        <v>#DIV/0!</v>
      </c>
    </row>
    <row r="204" spans="17:22" x14ac:dyDescent="0.2">
      <c r="Q204" t="e">
        <f>Table2[[#This Row],[Total]]/Table2[[#This Row],[Global Total]]</f>
        <v>#DIV/0!</v>
      </c>
      <c r="R204" t="e">
        <f>Table2[[#This Row],[Primary]]/Table2[[#This Row],[Global Primary]]</f>
        <v>#DIV/0!</v>
      </c>
      <c r="S204" t="e">
        <f>Table2[[#This Row],[Secondary]]/Table2[[#This Row],[Global Secondary]]</f>
        <v>#DIV/0!</v>
      </c>
      <c r="U204" t="e">
        <f>Table2[[#This Row],[Asia Refined]]/Table2[[#This Row],[Global Total]]</f>
        <v>#DIV/0!</v>
      </c>
      <c r="V204" t="e">
        <f>Table2[[#This Row],[Total]]/Table2[[#This Row],[Asia Refined]]</f>
        <v>#DIV/0!</v>
      </c>
    </row>
    <row r="205" spans="17:22" x14ac:dyDescent="0.2">
      <c r="Q205" t="e">
        <f>Table2[[#This Row],[Total]]/Table2[[#This Row],[Global Total]]</f>
        <v>#DIV/0!</v>
      </c>
      <c r="R205" t="e">
        <f>Table2[[#This Row],[Primary]]/Table2[[#This Row],[Global Primary]]</f>
        <v>#DIV/0!</v>
      </c>
      <c r="S205" t="e">
        <f>Table2[[#This Row],[Secondary]]/Table2[[#This Row],[Global Secondary]]</f>
        <v>#DIV/0!</v>
      </c>
      <c r="U205" t="e">
        <f>Table2[[#This Row],[Asia Refined]]/Table2[[#This Row],[Global Total]]</f>
        <v>#DIV/0!</v>
      </c>
      <c r="V205" t="e">
        <f>Table2[[#This Row],[Total]]/Table2[[#This Row],[Asia Refined]]</f>
        <v>#DIV/0!</v>
      </c>
    </row>
    <row r="206" spans="17:22" x14ac:dyDescent="0.2">
      <c r="Q206" t="e">
        <f>Table2[[#This Row],[Total]]/Table2[[#This Row],[Global Total]]</f>
        <v>#DIV/0!</v>
      </c>
      <c r="R206" t="e">
        <f>Table2[[#This Row],[Primary]]/Table2[[#This Row],[Global Primary]]</f>
        <v>#DIV/0!</v>
      </c>
      <c r="S206" t="e">
        <f>Table2[[#This Row],[Secondary]]/Table2[[#This Row],[Global Secondary]]</f>
        <v>#DIV/0!</v>
      </c>
      <c r="U206" t="e">
        <f>Table2[[#This Row],[Asia Refined]]/Table2[[#This Row],[Global Total]]</f>
        <v>#DIV/0!</v>
      </c>
      <c r="V206" t="e">
        <f>Table2[[#This Row],[Total]]/Table2[[#This Row],[Asia Refined]]</f>
        <v>#DIV/0!</v>
      </c>
    </row>
    <row r="207" spans="17:22" x14ac:dyDescent="0.2">
      <c r="Q207" t="e">
        <f>Table2[[#This Row],[Total]]/Table2[[#This Row],[Global Total]]</f>
        <v>#DIV/0!</v>
      </c>
      <c r="R207" t="e">
        <f>Table2[[#This Row],[Primary]]/Table2[[#This Row],[Global Primary]]</f>
        <v>#DIV/0!</v>
      </c>
      <c r="S207" t="e">
        <f>Table2[[#This Row],[Secondary]]/Table2[[#This Row],[Global Secondary]]</f>
        <v>#DIV/0!</v>
      </c>
      <c r="U207" t="e">
        <f>Table2[[#This Row],[Asia Refined]]/Table2[[#This Row],[Global Total]]</f>
        <v>#DIV/0!</v>
      </c>
      <c r="V207" t="e">
        <f>Table2[[#This Row],[Total]]/Table2[[#This Row],[Asia Refined]]</f>
        <v>#DIV/0!</v>
      </c>
    </row>
    <row r="208" spans="17:22" x14ac:dyDescent="0.2">
      <c r="Q208" t="e">
        <f>Table2[[#This Row],[Total]]/Table2[[#This Row],[Global Total]]</f>
        <v>#DIV/0!</v>
      </c>
      <c r="R208" t="e">
        <f>Table2[[#This Row],[Primary]]/Table2[[#This Row],[Global Primary]]</f>
        <v>#DIV/0!</v>
      </c>
      <c r="S208" t="e">
        <f>Table2[[#This Row],[Secondary]]/Table2[[#This Row],[Global Secondary]]</f>
        <v>#DIV/0!</v>
      </c>
      <c r="U208" t="e">
        <f>Table2[[#This Row],[Asia Refined]]/Table2[[#This Row],[Global Total]]</f>
        <v>#DIV/0!</v>
      </c>
      <c r="V208" t="e">
        <f>Table2[[#This Row],[Total]]/Table2[[#This Row],[Asia Refined]]</f>
        <v>#DIV/0!</v>
      </c>
    </row>
    <row r="209" spans="17:22" x14ac:dyDescent="0.2">
      <c r="Q209" t="e">
        <f>Table2[[#This Row],[Total]]/Table2[[#This Row],[Global Total]]</f>
        <v>#DIV/0!</v>
      </c>
      <c r="R209" t="e">
        <f>Table2[[#This Row],[Primary]]/Table2[[#This Row],[Global Primary]]</f>
        <v>#DIV/0!</v>
      </c>
      <c r="S209" t="e">
        <f>Table2[[#This Row],[Secondary]]/Table2[[#This Row],[Global Secondary]]</f>
        <v>#DIV/0!</v>
      </c>
      <c r="U209" t="e">
        <f>Table2[[#This Row],[Asia Refined]]/Table2[[#This Row],[Global Total]]</f>
        <v>#DIV/0!</v>
      </c>
      <c r="V209" t="e">
        <f>Table2[[#This Row],[Total]]/Table2[[#This Row],[Asia Refined]]</f>
        <v>#DIV/0!</v>
      </c>
    </row>
    <row r="210" spans="17:22" x14ac:dyDescent="0.2">
      <c r="Q210" t="e">
        <f>Table2[[#This Row],[Total]]/Table2[[#This Row],[Global Total]]</f>
        <v>#DIV/0!</v>
      </c>
      <c r="R210" t="e">
        <f>Table2[[#This Row],[Primary]]/Table2[[#This Row],[Global Primary]]</f>
        <v>#DIV/0!</v>
      </c>
      <c r="S210" t="e">
        <f>Table2[[#This Row],[Secondary]]/Table2[[#This Row],[Global Secondary]]</f>
        <v>#DIV/0!</v>
      </c>
      <c r="U210" t="e">
        <f>Table2[[#This Row],[Asia Refined]]/Table2[[#This Row],[Global Total]]</f>
        <v>#DIV/0!</v>
      </c>
      <c r="V210" t="e">
        <f>Table2[[#This Row],[Total]]/Table2[[#This Row],[Asia Refined]]</f>
        <v>#DIV/0!</v>
      </c>
    </row>
    <row r="211" spans="17:22" x14ac:dyDescent="0.2">
      <c r="Q211" t="e">
        <f>Table2[[#This Row],[Total]]/Table2[[#This Row],[Global Total]]</f>
        <v>#DIV/0!</v>
      </c>
      <c r="R211" t="e">
        <f>Table2[[#This Row],[Primary]]/Table2[[#This Row],[Global Primary]]</f>
        <v>#DIV/0!</v>
      </c>
      <c r="S211" t="e">
        <f>Table2[[#This Row],[Secondary]]/Table2[[#This Row],[Global Secondary]]</f>
        <v>#DIV/0!</v>
      </c>
      <c r="U211" t="e">
        <f>Table2[[#This Row],[Asia Refined]]/Table2[[#This Row],[Global Total]]</f>
        <v>#DIV/0!</v>
      </c>
      <c r="V211" t="e">
        <f>Table2[[#This Row],[Total]]/Table2[[#This Row],[Asia Refined]]</f>
        <v>#DIV/0!</v>
      </c>
    </row>
    <row r="212" spans="17:22" x14ac:dyDescent="0.2">
      <c r="Q212" t="e">
        <f>Table2[[#This Row],[Total]]/Table2[[#This Row],[Global Total]]</f>
        <v>#DIV/0!</v>
      </c>
      <c r="R212" t="e">
        <f>Table2[[#This Row],[Primary]]/Table2[[#This Row],[Global Primary]]</f>
        <v>#DIV/0!</v>
      </c>
      <c r="S212" t="e">
        <f>Table2[[#This Row],[Secondary]]/Table2[[#This Row],[Global Secondary]]</f>
        <v>#DIV/0!</v>
      </c>
      <c r="U212" t="e">
        <f>Table2[[#This Row],[Asia Refined]]/Table2[[#This Row],[Global Total]]</f>
        <v>#DIV/0!</v>
      </c>
      <c r="V212" t="e">
        <f>Table2[[#This Row],[Total]]/Table2[[#This Row],[Asia Refined]]</f>
        <v>#DIV/0!</v>
      </c>
    </row>
    <row r="213" spans="17:22" x14ac:dyDescent="0.2">
      <c r="Q213" t="e">
        <f>Table2[[#This Row],[Total]]/Table2[[#This Row],[Global Total]]</f>
        <v>#DIV/0!</v>
      </c>
      <c r="R213" t="e">
        <f>Table2[[#This Row],[Primary]]/Table2[[#This Row],[Global Primary]]</f>
        <v>#DIV/0!</v>
      </c>
      <c r="S213" t="e">
        <f>Table2[[#This Row],[Secondary]]/Table2[[#This Row],[Global Secondary]]</f>
        <v>#DIV/0!</v>
      </c>
      <c r="U213" t="e">
        <f>Table2[[#This Row],[Asia Refined]]/Table2[[#This Row],[Global Total]]</f>
        <v>#DIV/0!</v>
      </c>
      <c r="V213" t="e">
        <f>Table2[[#This Row],[Total]]/Table2[[#This Row],[Asia Refined]]</f>
        <v>#DIV/0!</v>
      </c>
    </row>
    <row r="214" spans="17:22" x14ac:dyDescent="0.2">
      <c r="Q214" t="e">
        <f>Table2[[#This Row],[Total]]/Table2[[#This Row],[Global Total]]</f>
        <v>#DIV/0!</v>
      </c>
      <c r="R214" t="e">
        <f>Table2[[#This Row],[Primary]]/Table2[[#This Row],[Global Primary]]</f>
        <v>#DIV/0!</v>
      </c>
      <c r="S214" t="e">
        <f>Table2[[#This Row],[Secondary]]/Table2[[#This Row],[Global Secondary]]</f>
        <v>#DIV/0!</v>
      </c>
      <c r="U214" t="e">
        <f>Table2[[#This Row],[Asia Refined]]/Table2[[#This Row],[Global Total]]</f>
        <v>#DIV/0!</v>
      </c>
      <c r="V214" t="e">
        <f>Table2[[#This Row],[Total]]/Table2[[#This Row],[Asia Refined]]</f>
        <v>#DIV/0!</v>
      </c>
    </row>
    <row r="215" spans="17:22" x14ac:dyDescent="0.2">
      <c r="Q215" t="e">
        <f>Table2[[#This Row],[Total]]/Table2[[#This Row],[Global Total]]</f>
        <v>#DIV/0!</v>
      </c>
      <c r="R215" t="e">
        <f>Table2[[#This Row],[Primary]]/Table2[[#This Row],[Global Primary]]</f>
        <v>#DIV/0!</v>
      </c>
      <c r="S215" t="e">
        <f>Table2[[#This Row],[Secondary]]/Table2[[#This Row],[Global Secondary]]</f>
        <v>#DIV/0!</v>
      </c>
      <c r="U215" t="e">
        <f>Table2[[#This Row],[Asia Refined]]/Table2[[#This Row],[Global Total]]</f>
        <v>#DIV/0!</v>
      </c>
      <c r="V215" t="e">
        <f>Table2[[#This Row],[Total]]/Table2[[#This Row],[Asia Refined]]</f>
        <v>#DIV/0!</v>
      </c>
    </row>
    <row r="216" spans="17:22" x14ac:dyDescent="0.2">
      <c r="Q216" t="e">
        <f>Table2[[#This Row],[Total]]/Table2[[#This Row],[Global Total]]</f>
        <v>#DIV/0!</v>
      </c>
      <c r="R216" t="e">
        <f>Table2[[#This Row],[Primary]]/Table2[[#This Row],[Global Primary]]</f>
        <v>#DIV/0!</v>
      </c>
      <c r="S216" t="e">
        <f>Table2[[#This Row],[Secondary]]/Table2[[#This Row],[Global Secondary]]</f>
        <v>#DIV/0!</v>
      </c>
      <c r="U216" t="e">
        <f>Table2[[#This Row],[Asia Refined]]/Table2[[#This Row],[Global Total]]</f>
        <v>#DIV/0!</v>
      </c>
      <c r="V216" t="e">
        <f>Table2[[#This Row],[Total]]/Table2[[#This Row],[Asia Refined]]</f>
        <v>#DIV/0!</v>
      </c>
    </row>
    <row r="217" spans="17:22" x14ac:dyDescent="0.2">
      <c r="Q217" t="e">
        <f>Table2[[#This Row],[Total]]/Table2[[#This Row],[Global Total]]</f>
        <v>#DIV/0!</v>
      </c>
      <c r="R217" t="e">
        <f>Table2[[#This Row],[Primary]]/Table2[[#This Row],[Global Primary]]</f>
        <v>#DIV/0!</v>
      </c>
      <c r="S217" t="e">
        <f>Table2[[#This Row],[Secondary]]/Table2[[#This Row],[Global Secondary]]</f>
        <v>#DIV/0!</v>
      </c>
      <c r="U217" t="e">
        <f>Table2[[#This Row],[Asia Refined]]/Table2[[#This Row],[Global Total]]</f>
        <v>#DIV/0!</v>
      </c>
      <c r="V217" t="e">
        <f>Table2[[#This Row],[Total]]/Table2[[#This Row],[Asia Refined]]</f>
        <v>#DIV/0!</v>
      </c>
    </row>
    <row r="218" spans="17:22" x14ac:dyDescent="0.2">
      <c r="Q218" t="e">
        <f>Table2[[#This Row],[Total]]/Table2[[#This Row],[Global Total]]</f>
        <v>#DIV/0!</v>
      </c>
      <c r="R218" t="e">
        <f>Table2[[#This Row],[Primary]]/Table2[[#This Row],[Global Primary]]</f>
        <v>#DIV/0!</v>
      </c>
      <c r="S218" t="e">
        <f>Table2[[#This Row],[Secondary]]/Table2[[#This Row],[Global Secondary]]</f>
        <v>#DIV/0!</v>
      </c>
      <c r="U218" t="e">
        <f>Table2[[#This Row],[Asia Refined]]/Table2[[#This Row],[Global Total]]</f>
        <v>#DIV/0!</v>
      </c>
      <c r="V218" t="e">
        <f>Table2[[#This Row],[Total]]/Table2[[#This Row],[Asia Refined]]</f>
        <v>#DIV/0!</v>
      </c>
    </row>
    <row r="219" spans="17:22" x14ac:dyDescent="0.2">
      <c r="Q219" t="e">
        <f>Table2[[#This Row],[Total]]/Table2[[#This Row],[Global Total]]</f>
        <v>#DIV/0!</v>
      </c>
      <c r="R219" t="e">
        <f>Table2[[#This Row],[Primary]]/Table2[[#This Row],[Global Primary]]</f>
        <v>#DIV/0!</v>
      </c>
      <c r="S219" t="e">
        <f>Table2[[#This Row],[Secondary]]/Table2[[#This Row],[Global Secondary]]</f>
        <v>#DIV/0!</v>
      </c>
      <c r="U219" t="e">
        <f>Table2[[#This Row],[Asia Refined]]/Table2[[#This Row],[Global Total]]</f>
        <v>#DIV/0!</v>
      </c>
      <c r="V219" t="e">
        <f>Table2[[#This Row],[Total]]/Table2[[#This Row],[Asia Refined]]</f>
        <v>#DIV/0!</v>
      </c>
    </row>
    <row r="220" spans="17:22" x14ac:dyDescent="0.2">
      <c r="Q220" t="e">
        <f>Table2[[#This Row],[Total]]/Table2[[#This Row],[Global Total]]</f>
        <v>#DIV/0!</v>
      </c>
      <c r="R220" t="e">
        <f>Table2[[#This Row],[Primary]]/Table2[[#This Row],[Global Primary]]</f>
        <v>#DIV/0!</v>
      </c>
      <c r="S220" t="e">
        <f>Table2[[#This Row],[Secondary]]/Table2[[#This Row],[Global Secondary]]</f>
        <v>#DIV/0!</v>
      </c>
      <c r="U220" t="e">
        <f>Table2[[#This Row],[Asia Refined]]/Table2[[#This Row],[Global Total]]</f>
        <v>#DIV/0!</v>
      </c>
      <c r="V220" t="e">
        <f>Table2[[#This Row],[Total]]/Table2[[#This Row],[Asia Refined]]</f>
        <v>#DIV/0!</v>
      </c>
    </row>
    <row r="221" spans="17:22" x14ac:dyDescent="0.2">
      <c r="Q221" t="e">
        <f>Table2[[#This Row],[Total]]/Table2[[#This Row],[Global Total]]</f>
        <v>#DIV/0!</v>
      </c>
      <c r="R221" t="e">
        <f>Table2[[#This Row],[Primary]]/Table2[[#This Row],[Global Primary]]</f>
        <v>#DIV/0!</v>
      </c>
      <c r="S221" t="e">
        <f>Table2[[#This Row],[Secondary]]/Table2[[#This Row],[Global Secondary]]</f>
        <v>#DIV/0!</v>
      </c>
      <c r="U221" t="e">
        <f>Table2[[#This Row],[Asia Refined]]/Table2[[#This Row],[Global Total]]</f>
        <v>#DIV/0!</v>
      </c>
      <c r="V221" t="e">
        <f>Table2[[#This Row],[Total]]/Table2[[#This Row],[Asia Refined]]</f>
        <v>#DIV/0!</v>
      </c>
    </row>
    <row r="222" spans="17:22" x14ac:dyDescent="0.2">
      <c r="Q222" t="e">
        <f>Table2[[#This Row],[Total]]/Table2[[#This Row],[Global Total]]</f>
        <v>#DIV/0!</v>
      </c>
      <c r="R222" t="e">
        <f>Table2[[#This Row],[Primary]]/Table2[[#This Row],[Global Primary]]</f>
        <v>#DIV/0!</v>
      </c>
      <c r="S222" t="e">
        <f>Table2[[#This Row],[Secondary]]/Table2[[#This Row],[Global Secondary]]</f>
        <v>#DIV/0!</v>
      </c>
      <c r="U222" t="e">
        <f>Table2[[#This Row],[Asia Refined]]/Table2[[#This Row],[Global Total]]</f>
        <v>#DIV/0!</v>
      </c>
      <c r="V222" t="e">
        <f>Table2[[#This Row],[Total]]/Table2[[#This Row],[Asia Refined]]</f>
        <v>#DIV/0!</v>
      </c>
    </row>
    <row r="223" spans="17:22" x14ac:dyDescent="0.2">
      <c r="Q223" t="e">
        <f>Table2[[#This Row],[Total]]/Table2[[#This Row],[Global Total]]</f>
        <v>#DIV/0!</v>
      </c>
      <c r="R223" t="e">
        <f>Table2[[#This Row],[Primary]]/Table2[[#This Row],[Global Primary]]</f>
        <v>#DIV/0!</v>
      </c>
      <c r="S223" t="e">
        <f>Table2[[#This Row],[Secondary]]/Table2[[#This Row],[Global Secondary]]</f>
        <v>#DIV/0!</v>
      </c>
      <c r="U223" t="e">
        <f>Table2[[#This Row],[Asia Refined]]/Table2[[#This Row],[Global Total]]</f>
        <v>#DIV/0!</v>
      </c>
      <c r="V223" t="e">
        <f>Table2[[#This Row],[Total]]/Table2[[#This Row],[Asia Refined]]</f>
        <v>#DIV/0!</v>
      </c>
    </row>
    <row r="224" spans="17:22" x14ac:dyDescent="0.2">
      <c r="Q224" t="e">
        <f>Table2[[#This Row],[Total]]/Table2[[#This Row],[Global Total]]</f>
        <v>#DIV/0!</v>
      </c>
      <c r="R224" t="e">
        <f>Table2[[#This Row],[Primary]]/Table2[[#This Row],[Global Primary]]</f>
        <v>#DIV/0!</v>
      </c>
      <c r="S224" t="e">
        <f>Table2[[#This Row],[Secondary]]/Table2[[#This Row],[Global Secondary]]</f>
        <v>#DIV/0!</v>
      </c>
      <c r="U224" t="e">
        <f>Table2[[#This Row],[Asia Refined]]/Table2[[#This Row],[Global Total]]</f>
        <v>#DIV/0!</v>
      </c>
      <c r="V224" t="e">
        <f>Table2[[#This Row],[Total]]/Table2[[#This Row],[Asia Refined]]</f>
        <v>#DIV/0!</v>
      </c>
    </row>
    <row r="225" spans="17:22" x14ac:dyDescent="0.2">
      <c r="Q225" t="e">
        <f>Table2[[#This Row],[Total]]/Table2[[#This Row],[Global Total]]</f>
        <v>#DIV/0!</v>
      </c>
      <c r="R225" t="e">
        <f>Table2[[#This Row],[Primary]]/Table2[[#This Row],[Global Primary]]</f>
        <v>#DIV/0!</v>
      </c>
      <c r="S225" t="e">
        <f>Table2[[#This Row],[Secondary]]/Table2[[#This Row],[Global Secondary]]</f>
        <v>#DIV/0!</v>
      </c>
      <c r="U225" t="e">
        <f>Table2[[#This Row],[Asia Refined]]/Table2[[#This Row],[Global Total]]</f>
        <v>#DIV/0!</v>
      </c>
      <c r="V225" t="e">
        <f>Table2[[#This Row],[Total]]/Table2[[#This Row],[Asia Refined]]</f>
        <v>#DIV/0!</v>
      </c>
    </row>
    <row r="226" spans="17:22" x14ac:dyDescent="0.2">
      <c r="Q226" t="e">
        <f>Table2[[#This Row],[Total]]/Table2[[#This Row],[Global Total]]</f>
        <v>#DIV/0!</v>
      </c>
      <c r="R226" t="e">
        <f>Table2[[#This Row],[Primary]]/Table2[[#This Row],[Global Primary]]</f>
        <v>#DIV/0!</v>
      </c>
      <c r="S226" t="e">
        <f>Table2[[#This Row],[Secondary]]/Table2[[#This Row],[Global Secondary]]</f>
        <v>#DIV/0!</v>
      </c>
      <c r="U226" t="e">
        <f>Table2[[#This Row],[Asia Refined]]/Table2[[#This Row],[Global Total]]</f>
        <v>#DIV/0!</v>
      </c>
      <c r="V226" t="e">
        <f>Table2[[#This Row],[Total]]/Table2[[#This Row],[Asia Refined]]</f>
        <v>#DIV/0!</v>
      </c>
    </row>
    <row r="227" spans="17:22" x14ac:dyDescent="0.2">
      <c r="Q227" t="e">
        <f>Table2[[#This Row],[Total]]/Table2[[#This Row],[Global Total]]</f>
        <v>#DIV/0!</v>
      </c>
      <c r="R227" t="e">
        <f>Table2[[#This Row],[Primary]]/Table2[[#This Row],[Global Primary]]</f>
        <v>#DIV/0!</v>
      </c>
      <c r="S227" t="e">
        <f>Table2[[#This Row],[Secondary]]/Table2[[#This Row],[Global Secondary]]</f>
        <v>#DIV/0!</v>
      </c>
      <c r="U227" t="e">
        <f>Table2[[#This Row],[Asia Refined]]/Table2[[#This Row],[Global Total]]</f>
        <v>#DIV/0!</v>
      </c>
      <c r="V227" t="e">
        <f>Table2[[#This Row],[Total]]/Table2[[#This Row],[Asia Refined]]</f>
        <v>#DIV/0!</v>
      </c>
    </row>
    <row r="228" spans="17:22" x14ac:dyDescent="0.2">
      <c r="Q228" t="e">
        <f>Table2[[#This Row],[Total]]/Table2[[#This Row],[Global Total]]</f>
        <v>#DIV/0!</v>
      </c>
      <c r="R228" t="e">
        <f>Table2[[#This Row],[Primary]]/Table2[[#This Row],[Global Primary]]</f>
        <v>#DIV/0!</v>
      </c>
      <c r="S228" t="e">
        <f>Table2[[#This Row],[Secondary]]/Table2[[#This Row],[Global Secondary]]</f>
        <v>#DIV/0!</v>
      </c>
      <c r="U228" t="e">
        <f>Table2[[#This Row],[Asia Refined]]/Table2[[#This Row],[Global Total]]</f>
        <v>#DIV/0!</v>
      </c>
      <c r="V228" t="e">
        <f>Table2[[#This Row],[Total]]/Table2[[#This Row],[Asia Refined]]</f>
        <v>#DIV/0!</v>
      </c>
    </row>
    <row r="229" spans="17:22" x14ac:dyDescent="0.2">
      <c r="Q229" t="e">
        <f>Table2[[#This Row],[Total]]/Table2[[#This Row],[Global Total]]</f>
        <v>#DIV/0!</v>
      </c>
      <c r="R229" t="e">
        <f>Table2[[#This Row],[Primary]]/Table2[[#This Row],[Global Primary]]</f>
        <v>#DIV/0!</v>
      </c>
      <c r="S229" t="e">
        <f>Table2[[#This Row],[Secondary]]/Table2[[#This Row],[Global Secondary]]</f>
        <v>#DIV/0!</v>
      </c>
      <c r="U229" t="e">
        <f>Table2[[#This Row],[Asia Refined]]/Table2[[#This Row],[Global Total]]</f>
        <v>#DIV/0!</v>
      </c>
      <c r="V229" t="e">
        <f>Table2[[#This Row],[Total]]/Table2[[#This Row],[Asia Refined]]</f>
        <v>#DIV/0!</v>
      </c>
    </row>
    <row r="230" spans="17:22" x14ac:dyDescent="0.2">
      <c r="Q230" t="e">
        <f>Table2[[#This Row],[Total]]/Table2[[#This Row],[Global Total]]</f>
        <v>#DIV/0!</v>
      </c>
      <c r="R230" t="e">
        <f>Table2[[#This Row],[Primary]]/Table2[[#This Row],[Global Primary]]</f>
        <v>#DIV/0!</v>
      </c>
      <c r="S230" t="e">
        <f>Table2[[#This Row],[Secondary]]/Table2[[#This Row],[Global Secondary]]</f>
        <v>#DIV/0!</v>
      </c>
      <c r="U230" t="e">
        <f>Table2[[#This Row],[Asia Refined]]/Table2[[#This Row],[Global Total]]</f>
        <v>#DIV/0!</v>
      </c>
      <c r="V230" t="e">
        <f>Table2[[#This Row],[Total]]/Table2[[#This Row],[Asia Refined]]</f>
        <v>#DIV/0!</v>
      </c>
    </row>
    <row r="231" spans="17:22" x14ac:dyDescent="0.2">
      <c r="Q231" t="e">
        <f>Table2[[#This Row],[Total]]/Table2[[#This Row],[Global Total]]</f>
        <v>#DIV/0!</v>
      </c>
      <c r="R231" t="e">
        <f>Table2[[#This Row],[Primary]]/Table2[[#This Row],[Global Primary]]</f>
        <v>#DIV/0!</v>
      </c>
      <c r="S231" t="e">
        <f>Table2[[#This Row],[Secondary]]/Table2[[#This Row],[Global Secondary]]</f>
        <v>#DIV/0!</v>
      </c>
      <c r="U231" t="e">
        <f>Table2[[#This Row],[Asia Refined]]/Table2[[#This Row],[Global Total]]</f>
        <v>#DIV/0!</v>
      </c>
      <c r="V231" t="e">
        <f>Table2[[#This Row],[Total]]/Table2[[#This Row],[Asia Refined]]</f>
        <v>#DIV/0!</v>
      </c>
    </row>
    <row r="232" spans="17:22" x14ac:dyDescent="0.2">
      <c r="Q232" t="e">
        <f>Table2[[#This Row],[Total]]/Table2[[#This Row],[Global Total]]</f>
        <v>#DIV/0!</v>
      </c>
      <c r="R232" t="e">
        <f>Table2[[#This Row],[Primary]]/Table2[[#This Row],[Global Primary]]</f>
        <v>#DIV/0!</v>
      </c>
      <c r="S232" t="e">
        <f>Table2[[#This Row],[Secondary]]/Table2[[#This Row],[Global Secondary]]</f>
        <v>#DIV/0!</v>
      </c>
      <c r="U232" t="e">
        <f>Table2[[#This Row],[Asia Refined]]/Table2[[#This Row],[Global Total]]</f>
        <v>#DIV/0!</v>
      </c>
      <c r="V232" t="e">
        <f>Table2[[#This Row],[Total]]/Table2[[#This Row],[Asia Refined]]</f>
        <v>#DIV/0!</v>
      </c>
    </row>
    <row r="233" spans="17:22" x14ac:dyDescent="0.2">
      <c r="Q233" t="e">
        <f>Table2[[#This Row],[Total]]/Table2[[#This Row],[Global Total]]</f>
        <v>#DIV/0!</v>
      </c>
      <c r="R233" t="e">
        <f>Table2[[#This Row],[Primary]]/Table2[[#This Row],[Global Primary]]</f>
        <v>#DIV/0!</v>
      </c>
      <c r="S233" t="e">
        <f>Table2[[#This Row],[Secondary]]/Table2[[#This Row],[Global Secondary]]</f>
        <v>#DIV/0!</v>
      </c>
      <c r="U233" t="e">
        <f>Table2[[#This Row],[Asia Refined]]/Table2[[#This Row],[Global Total]]</f>
        <v>#DIV/0!</v>
      </c>
      <c r="V233" t="e">
        <f>Table2[[#This Row],[Total]]/Table2[[#This Row],[Asia Refined]]</f>
        <v>#DIV/0!</v>
      </c>
    </row>
    <row r="234" spans="17:22" x14ac:dyDescent="0.2">
      <c r="Q234" t="e">
        <f>Table2[[#This Row],[Total]]/Table2[[#This Row],[Global Total]]</f>
        <v>#DIV/0!</v>
      </c>
      <c r="R234" t="e">
        <f>Table2[[#This Row],[Primary]]/Table2[[#This Row],[Global Primary]]</f>
        <v>#DIV/0!</v>
      </c>
      <c r="S234" t="e">
        <f>Table2[[#This Row],[Secondary]]/Table2[[#This Row],[Global Secondary]]</f>
        <v>#DIV/0!</v>
      </c>
      <c r="U234" t="e">
        <f>Table2[[#This Row],[Asia Refined]]/Table2[[#This Row],[Global Total]]</f>
        <v>#DIV/0!</v>
      </c>
      <c r="V234" t="e">
        <f>Table2[[#This Row],[Total]]/Table2[[#This Row],[Asia Refined]]</f>
        <v>#DIV/0!</v>
      </c>
    </row>
    <row r="235" spans="17:22" x14ac:dyDescent="0.2">
      <c r="Q235" t="e">
        <f>Table2[[#This Row],[Total]]/Table2[[#This Row],[Global Total]]</f>
        <v>#DIV/0!</v>
      </c>
      <c r="R235" t="e">
        <f>Table2[[#This Row],[Primary]]/Table2[[#This Row],[Global Primary]]</f>
        <v>#DIV/0!</v>
      </c>
      <c r="S235" t="e">
        <f>Table2[[#This Row],[Secondary]]/Table2[[#This Row],[Global Secondary]]</f>
        <v>#DIV/0!</v>
      </c>
      <c r="U235" t="e">
        <f>Table2[[#This Row],[Asia Refined]]/Table2[[#This Row],[Global Total]]</f>
        <v>#DIV/0!</v>
      </c>
      <c r="V235" t="e">
        <f>Table2[[#This Row],[Total]]/Table2[[#This Row],[Asia Refined]]</f>
        <v>#DIV/0!</v>
      </c>
    </row>
    <row r="236" spans="17:22" x14ac:dyDescent="0.2">
      <c r="Q236" t="e">
        <f>Table2[[#This Row],[Total]]/Table2[[#This Row],[Global Total]]</f>
        <v>#DIV/0!</v>
      </c>
      <c r="R236" t="e">
        <f>Table2[[#This Row],[Primary]]/Table2[[#This Row],[Global Primary]]</f>
        <v>#DIV/0!</v>
      </c>
      <c r="S236" t="e">
        <f>Table2[[#This Row],[Secondary]]/Table2[[#This Row],[Global Secondary]]</f>
        <v>#DIV/0!</v>
      </c>
      <c r="U236" t="e">
        <f>Table2[[#This Row],[Asia Refined]]/Table2[[#This Row],[Global Total]]</f>
        <v>#DIV/0!</v>
      </c>
      <c r="V236" t="e">
        <f>Table2[[#This Row],[Total]]/Table2[[#This Row],[Asia Refined]]</f>
        <v>#DIV/0!</v>
      </c>
    </row>
    <row r="237" spans="17:22" x14ac:dyDescent="0.2">
      <c r="Q237" t="e">
        <f>Table2[[#This Row],[Total]]/Table2[[#This Row],[Global Total]]</f>
        <v>#DIV/0!</v>
      </c>
      <c r="R237" t="e">
        <f>Table2[[#This Row],[Primary]]/Table2[[#This Row],[Global Primary]]</f>
        <v>#DIV/0!</v>
      </c>
      <c r="S237" t="e">
        <f>Table2[[#This Row],[Secondary]]/Table2[[#This Row],[Global Secondary]]</f>
        <v>#DIV/0!</v>
      </c>
      <c r="U237" t="e">
        <f>Table2[[#This Row],[Asia Refined]]/Table2[[#This Row],[Global Total]]</f>
        <v>#DIV/0!</v>
      </c>
      <c r="V237" t="e">
        <f>Table2[[#This Row],[Total]]/Table2[[#This Row],[Asia Refined]]</f>
        <v>#DIV/0!</v>
      </c>
    </row>
    <row r="238" spans="17:22" x14ac:dyDescent="0.2">
      <c r="Q238" t="e">
        <f>Table2[[#This Row],[Total]]/Table2[[#This Row],[Global Total]]</f>
        <v>#DIV/0!</v>
      </c>
      <c r="R238" t="e">
        <f>Table2[[#This Row],[Primary]]/Table2[[#This Row],[Global Primary]]</f>
        <v>#DIV/0!</v>
      </c>
      <c r="S238" t="e">
        <f>Table2[[#This Row],[Secondary]]/Table2[[#This Row],[Global Secondary]]</f>
        <v>#DIV/0!</v>
      </c>
      <c r="U238" t="e">
        <f>Table2[[#This Row],[Asia Refined]]/Table2[[#This Row],[Global Total]]</f>
        <v>#DIV/0!</v>
      </c>
      <c r="V238" t="e">
        <f>Table2[[#This Row],[Total]]/Table2[[#This Row],[Asia Refined]]</f>
        <v>#DIV/0!</v>
      </c>
    </row>
    <row r="239" spans="17:22" x14ac:dyDescent="0.2">
      <c r="Q239" t="e">
        <f>Table2[[#This Row],[Total]]/Table2[[#This Row],[Global Total]]</f>
        <v>#DIV/0!</v>
      </c>
      <c r="R239" t="e">
        <f>Table2[[#This Row],[Primary]]/Table2[[#This Row],[Global Primary]]</f>
        <v>#DIV/0!</v>
      </c>
      <c r="S239" t="e">
        <f>Table2[[#This Row],[Secondary]]/Table2[[#This Row],[Global Secondary]]</f>
        <v>#DIV/0!</v>
      </c>
      <c r="U239" t="e">
        <f>Table2[[#This Row],[Asia Refined]]/Table2[[#This Row],[Global Total]]</f>
        <v>#DIV/0!</v>
      </c>
      <c r="V239" t="e">
        <f>Table2[[#This Row],[Total]]/Table2[[#This Row],[Asia Refined]]</f>
        <v>#DIV/0!</v>
      </c>
    </row>
    <row r="240" spans="17:22" x14ac:dyDescent="0.2">
      <c r="Q240" t="e">
        <f>Table2[[#This Row],[Total]]/Table2[[#This Row],[Global Total]]</f>
        <v>#DIV/0!</v>
      </c>
      <c r="R240" t="e">
        <f>Table2[[#This Row],[Primary]]/Table2[[#This Row],[Global Primary]]</f>
        <v>#DIV/0!</v>
      </c>
      <c r="S240" t="e">
        <f>Table2[[#This Row],[Secondary]]/Table2[[#This Row],[Global Secondary]]</f>
        <v>#DIV/0!</v>
      </c>
      <c r="U240" t="e">
        <f>Table2[[#This Row],[Asia Refined]]/Table2[[#This Row],[Global Total]]</f>
        <v>#DIV/0!</v>
      </c>
      <c r="V240" t="e">
        <f>Table2[[#This Row],[Total]]/Table2[[#This Row],[Asia Refined]]</f>
        <v>#DIV/0!</v>
      </c>
    </row>
    <row r="241" spans="17:23" x14ac:dyDescent="0.2">
      <c r="Q241" t="e">
        <f>Table2[[#This Row],[Total]]/Table2[[#This Row],[Global Total]]</f>
        <v>#DIV/0!</v>
      </c>
      <c r="R241" t="e">
        <f>Table2[[#This Row],[Primary]]/Table2[[#This Row],[Global Primary]]</f>
        <v>#DIV/0!</v>
      </c>
      <c r="S241" t="e">
        <f>Table2[[#This Row],[Secondary]]/Table2[[#This Row],[Global Secondary]]</f>
        <v>#DIV/0!</v>
      </c>
      <c r="U241" t="e">
        <f>Table2[[#This Row],[Asia Refined]]/Table2[[#This Row],[Global Total]]</f>
        <v>#DIV/0!</v>
      </c>
      <c r="V241" t="e">
        <f>Table2[[#This Row],[Total]]/Table2[[#This Row],[Asia Refined]]</f>
        <v>#DIV/0!</v>
      </c>
    </row>
    <row r="242" spans="17:23" x14ac:dyDescent="0.2">
      <c r="Q242" t="e">
        <f>Table2[[#This Row],[Total]]/Table2[[#This Row],[Global Total]]</f>
        <v>#DIV/0!</v>
      </c>
      <c r="R242" t="e">
        <f>Table2[[#This Row],[Primary]]/Table2[[#This Row],[Global Primary]]</f>
        <v>#DIV/0!</v>
      </c>
      <c r="S242" t="e">
        <f>Table2[[#This Row],[Secondary]]/Table2[[#This Row],[Global Secondary]]</f>
        <v>#DIV/0!</v>
      </c>
      <c r="U242" t="e">
        <f>Table2[[#This Row],[Asia Refined]]/Table2[[#This Row],[Global Total]]</f>
        <v>#DIV/0!</v>
      </c>
      <c r="V242" t="e">
        <f>Table2[[#This Row],[Total]]/Table2[[#This Row],[Asia Refined]]</f>
        <v>#DIV/0!</v>
      </c>
      <c r="W242" t="e">
        <f>Table2[[#This Row],[Asia Fraction]]-Table2[[#This Row],[Ch:Asia Fraction]]</f>
        <v>#DIV/0!</v>
      </c>
    </row>
    <row r="243" spans="17:23" x14ac:dyDescent="0.2">
      <c r="Q243" t="e">
        <f>Table2[[#This Row],[Total]]/Table2[[#This Row],[Global Total]]</f>
        <v>#DIV/0!</v>
      </c>
      <c r="R243" t="e">
        <f>Table2[[#This Row],[Primary]]/Table2[[#This Row],[Global Primary]]</f>
        <v>#DIV/0!</v>
      </c>
      <c r="S243" t="e">
        <f>Table2[[#This Row],[Secondary]]/Table2[[#This Row],[Global Secondary]]</f>
        <v>#DIV/0!</v>
      </c>
      <c r="U243" t="e">
        <f>Table2[[#This Row],[Asia Refined]]/Table2[[#This Row],[Global Total]]</f>
        <v>#DIV/0!</v>
      </c>
      <c r="V243" t="e">
        <f>Table2[[#This Row],[Total]]/Table2[[#This Row],[Asia Refined]]</f>
        <v>#DIV/0!</v>
      </c>
      <c r="W243" t="e">
        <f>Table2[[#This Row],[Asia Fraction]]-Table2[[#This Row],[Ch:Asia Fraction]]</f>
        <v>#DIV/0!</v>
      </c>
    </row>
    <row r="244" spans="17:23" x14ac:dyDescent="0.2">
      <c r="Q244" t="e">
        <f>Table2[[#This Row],[Total]]/Table2[[#This Row],[Global Total]]</f>
        <v>#DIV/0!</v>
      </c>
      <c r="R244" t="e">
        <f>Table2[[#This Row],[Primary]]/Table2[[#This Row],[Global Primary]]</f>
        <v>#DIV/0!</v>
      </c>
      <c r="S244" t="e">
        <f>Table2[[#This Row],[Secondary]]/Table2[[#This Row],[Global Secondary]]</f>
        <v>#DIV/0!</v>
      </c>
      <c r="U244" t="e">
        <f>Table2[[#This Row],[Asia Refined]]/Table2[[#This Row],[Global Total]]</f>
        <v>#DIV/0!</v>
      </c>
      <c r="V244" t="e">
        <f>Table2[[#This Row],[Total]]/Table2[[#This Row],[Asia Refined]]</f>
        <v>#DIV/0!</v>
      </c>
      <c r="W244" t="e">
        <f>Table2[[#This Row],[Asia Fraction]]-Table2[[#This Row],[Ch:Asia Fraction]]</f>
        <v>#DIV/0!</v>
      </c>
    </row>
    <row r="245" spans="17:23" x14ac:dyDescent="0.2">
      <c r="Q245" t="e">
        <f>Table2[[#This Row],[Total]]/Table2[[#This Row],[Global Total]]</f>
        <v>#DIV/0!</v>
      </c>
      <c r="R245" t="e">
        <f>Table2[[#This Row],[Primary]]/Table2[[#This Row],[Global Primary]]</f>
        <v>#DIV/0!</v>
      </c>
      <c r="S245" t="e">
        <f>Table2[[#This Row],[Secondary]]/Table2[[#This Row],[Global Secondary]]</f>
        <v>#DIV/0!</v>
      </c>
      <c r="U245" t="e">
        <f>Table2[[#This Row],[Asia Refined]]/Table2[[#This Row],[Global Total]]</f>
        <v>#DIV/0!</v>
      </c>
      <c r="V245" t="e">
        <f>Table2[[#This Row],[Total]]/Table2[[#This Row],[Asia Refined]]</f>
        <v>#DIV/0!</v>
      </c>
      <c r="W245" t="e">
        <f>Table2[[#This Row],[Asia Fraction]]-Table2[[#This Row],[Ch:Asia Fraction]]</f>
        <v>#DIV/0!</v>
      </c>
    </row>
    <row r="246" spans="17:23" x14ac:dyDescent="0.2">
      <c r="Q246" t="e">
        <f>Table2[[#This Row],[Total]]/Table2[[#This Row],[Global Total]]</f>
        <v>#DIV/0!</v>
      </c>
      <c r="R246" t="e">
        <f>Table2[[#This Row],[Primary]]/Table2[[#This Row],[Global Primary]]</f>
        <v>#DIV/0!</v>
      </c>
      <c r="S246" t="e">
        <f>Table2[[#This Row],[Secondary]]/Table2[[#This Row],[Global Secondary]]</f>
        <v>#DIV/0!</v>
      </c>
      <c r="U246" t="e">
        <f>Table2[[#This Row],[Asia Refined]]/Table2[[#This Row],[Global Total]]</f>
        <v>#DIV/0!</v>
      </c>
      <c r="V246" t="e">
        <f>Table2[[#This Row],[Total]]/Table2[[#This Row],[Asia Refined]]</f>
        <v>#DIV/0!</v>
      </c>
      <c r="W246" t="e">
        <f>Table2[[#This Row],[Asia Fraction]]-Table2[[#This Row],[Ch:Asia Fraction]]</f>
        <v>#DIV/0!</v>
      </c>
    </row>
    <row r="247" spans="17:23" x14ac:dyDescent="0.2">
      <c r="Q247" t="e">
        <f>Table2[[#This Row],[Total]]/Table2[[#This Row],[Global Total]]</f>
        <v>#DIV/0!</v>
      </c>
      <c r="R247" t="e">
        <f>Table2[[#This Row],[Primary]]/Table2[[#This Row],[Global Primary]]</f>
        <v>#DIV/0!</v>
      </c>
      <c r="S247" t="e">
        <f>Table2[[#This Row],[Secondary]]/Table2[[#This Row],[Global Secondary]]</f>
        <v>#DIV/0!</v>
      </c>
      <c r="U247" t="e">
        <f>Table2[[#This Row],[Asia Refined]]/Table2[[#This Row],[Global Total]]</f>
        <v>#DIV/0!</v>
      </c>
      <c r="V247" t="e">
        <f>Table2[[#This Row],[Total]]/Table2[[#This Row],[Asia Refined]]</f>
        <v>#DIV/0!</v>
      </c>
      <c r="W247" t="e">
        <f>Table2[[#This Row],[Asia Fraction]]-Table2[[#This Row],[Ch:Asia Fraction]]</f>
        <v>#DIV/0!</v>
      </c>
    </row>
    <row r="248" spans="17:23" x14ac:dyDescent="0.2">
      <c r="Q248" t="e">
        <f>Table2[[#This Row],[Total]]/Table2[[#This Row],[Global Total]]</f>
        <v>#DIV/0!</v>
      </c>
      <c r="R248" t="e">
        <f>Table2[[#This Row],[Primary]]/Table2[[#This Row],[Global Primary]]</f>
        <v>#DIV/0!</v>
      </c>
      <c r="S248" t="e">
        <f>Table2[[#This Row],[Secondary]]/Table2[[#This Row],[Global Secondary]]</f>
        <v>#DIV/0!</v>
      </c>
      <c r="U248" t="e">
        <f>Table2[[#This Row],[Asia Refined]]/Table2[[#This Row],[Global Total]]</f>
        <v>#DIV/0!</v>
      </c>
      <c r="V248" t="e">
        <f>Table2[[#This Row],[Total]]/Table2[[#This Row],[Asia Refined]]</f>
        <v>#DIV/0!</v>
      </c>
      <c r="W248" t="e">
        <f>Table2[[#This Row],[Asia Fraction]]-Table2[[#This Row],[Ch:Asia Fraction]]</f>
        <v>#DIV/0!</v>
      </c>
    </row>
    <row r="249" spans="17:23" x14ac:dyDescent="0.2">
      <c r="Q249" t="e">
        <f>Table2[[#This Row],[Total]]/Table2[[#This Row],[Global Total]]</f>
        <v>#DIV/0!</v>
      </c>
      <c r="R249" t="e">
        <f>Table2[[#This Row],[Primary]]/Table2[[#This Row],[Global Primary]]</f>
        <v>#DIV/0!</v>
      </c>
      <c r="S249" t="e">
        <f>Table2[[#This Row],[Secondary]]/Table2[[#This Row],[Global Secondary]]</f>
        <v>#DIV/0!</v>
      </c>
      <c r="U249" t="e">
        <f>Table2[[#This Row],[Asia Refined]]/Table2[[#This Row],[Global Total]]</f>
        <v>#DIV/0!</v>
      </c>
      <c r="V249" t="e">
        <f>Table2[[#This Row],[Total]]/Table2[[#This Row],[Asia Refined]]</f>
        <v>#DIV/0!</v>
      </c>
      <c r="W249" t="e">
        <f>Table2[[#This Row],[Asia Fraction]]-Table2[[#This Row],[Ch:Asia Fraction]]</f>
        <v>#DIV/0!</v>
      </c>
    </row>
    <row r="250" spans="17:23" x14ac:dyDescent="0.2">
      <c r="Q250" t="e">
        <f>Table2[[#This Row],[Total]]/Table2[[#This Row],[Global Total]]</f>
        <v>#DIV/0!</v>
      </c>
      <c r="R250" t="e">
        <f>Table2[[#This Row],[Primary]]/Table2[[#This Row],[Global Primary]]</f>
        <v>#DIV/0!</v>
      </c>
      <c r="S250" t="e">
        <f>Table2[[#This Row],[Secondary]]/Table2[[#This Row],[Global Secondary]]</f>
        <v>#DIV/0!</v>
      </c>
      <c r="U250" t="e">
        <f>Table2[[#This Row],[Asia Refined]]/Table2[[#This Row],[Global Total]]</f>
        <v>#DIV/0!</v>
      </c>
      <c r="V250" t="e">
        <f>Table2[[#This Row],[Total]]/Table2[[#This Row],[Asia Refined]]</f>
        <v>#DIV/0!</v>
      </c>
      <c r="W250" t="e">
        <f>Table2[[#This Row],[Asia Fraction]]-Table2[[#This Row],[Ch:Asia Fraction]]</f>
        <v>#DIV/0!</v>
      </c>
    </row>
    <row r="251" spans="17:23" x14ac:dyDescent="0.2">
      <c r="Q251" t="e">
        <f>Table2[[#This Row],[Total]]/Table2[[#This Row],[Global Total]]</f>
        <v>#DIV/0!</v>
      </c>
      <c r="R251" t="e">
        <f>Table2[[#This Row],[Primary]]/Table2[[#This Row],[Global Primary]]</f>
        <v>#DIV/0!</v>
      </c>
      <c r="S251" t="e">
        <f>Table2[[#This Row],[Secondary]]/Table2[[#This Row],[Global Secondary]]</f>
        <v>#DIV/0!</v>
      </c>
      <c r="U251" t="e">
        <f>Table2[[#This Row],[Asia Refined]]/Table2[[#This Row],[Global Total]]</f>
        <v>#DIV/0!</v>
      </c>
      <c r="V251" t="e">
        <f>Table2[[#This Row],[Total]]/Table2[[#This Row],[Asia Refined]]</f>
        <v>#DIV/0!</v>
      </c>
      <c r="W251" t="e">
        <f>Table2[[#This Row],[Asia Fraction]]-Table2[[#This Row],[Ch:Asia Fraction]]</f>
        <v>#DIV/0!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39530-0F01-4C05-98AD-DEB6B0532A1B}">
  <dimension ref="A1"/>
  <sheetViews>
    <sheetView workbookViewId="0">
      <selection activeCell="A2" sqref="A2"/>
    </sheetView>
  </sheetViews>
  <sheetFormatPr baseColWidth="10" defaultColWidth="8.83203125" defaultRowHeight="15" x14ac:dyDescent="0.2"/>
  <sheetData>
    <row r="1" spans="1:1" x14ac:dyDescent="0.2">
      <c r="A1"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All sources</vt:lpstr>
      <vt:lpstr>Selected</vt:lpstr>
      <vt:lpstr>Notes</vt:lpstr>
      <vt:lpstr>China</vt:lpstr>
      <vt:lpstr>China Data Analysis</vt:lpstr>
      <vt:lpstr>China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2023-04-28T19:02:55Z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{87623AEC-1F9B-4B5B-961B-1922D517BDD9}</vt:lpwstr>
  </property>
</Properties>
</file>