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3"/>
  <workbookPr filterPrivacy="1"/>
  <xr:revisionPtr revIDLastSave="0" documentId="13_ncr:1_{3EDBAA1E-92D5-48CD-AD9E-9134D5B8E3ED}" xr6:coauthVersionLast="36" xr6:coauthVersionMax="36" xr10:uidLastSave="{00000000-0000-0000-0000-000000000000}"/>
  <bookViews>
    <workbookView xWindow="0" yWindow="0" windowWidth="22260" windowHeight="12048" firstSheet="2" activeTab="7" xr2:uid="{00000000-000D-0000-FFFF-FFFF00000000}"/>
  </bookViews>
  <sheets>
    <sheet name="Parameters old" sheetId="1" r:id="rId1"/>
    <sheet name="Parameters old 2" sheetId="6" r:id="rId2"/>
    <sheet name="CN Parameters old 2" sheetId="7" r:id="rId3"/>
    <sheet name="RW Parameters old 2" sheetId="8" r:id="rId4"/>
    <sheet name="Parameters" sheetId="3" r:id="rId5"/>
    <sheet name="CN Parameters" sheetId="4" r:id="rId6"/>
    <sheet name="RW Parameters" sheetId="5" r:id="rId7"/>
    <sheet name="Note" sheetId="2" r:id="rId8"/>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4" l="1"/>
  <c r="E2" i="4"/>
  <c r="B3" i="4"/>
  <c r="B3" i="5"/>
  <c r="B8" i="4"/>
  <c r="B8" i="5"/>
  <c r="B5" i="5"/>
  <c r="B5" i="4"/>
  <c r="B2" i="5"/>
  <c r="B2" i="4"/>
  <c r="B2" i="8" s="1"/>
  <c r="B2" i="3"/>
  <c r="B5" i="3"/>
  <c r="B8" i="8"/>
  <c r="J37" i="2"/>
  <c r="I37" i="2"/>
  <c r="I38" i="2"/>
  <c r="J38" i="2" s="1"/>
  <c r="I36" i="2"/>
  <c r="J36" i="2" s="1"/>
  <c r="J33" i="2"/>
  <c r="J31" i="2"/>
  <c r="I32" i="2"/>
  <c r="J32" i="2" s="1"/>
  <c r="I33" i="2"/>
  <c r="I31" i="2"/>
  <c r="B5" i="8" l="1"/>
  <c r="I23" i="2"/>
  <c r="I24" i="2" l="1"/>
  <c r="J24" i="2" s="1"/>
  <c r="I25" i="2"/>
  <c r="J25" i="2" s="1"/>
  <c r="J23" i="2"/>
</calcChain>
</file>

<file path=xl/sharedStrings.xml><?xml version="1.0" encoding="utf-8"?>
<sst xmlns="http://schemas.openxmlformats.org/spreadsheetml/2006/main" count="306" uniqueCount="143">
  <si>
    <t>Value</t>
  </si>
  <si>
    <t>Item</t>
  </si>
  <si>
    <t>2016 total secondary production/2016 total production of all secondary refineries, from WoodMac data</t>
  </si>
  <si>
    <t>Note:</t>
  </si>
  <si>
    <t>Primary refineries mean 100% primary. Secondary refineries include 100% secondary and mixed</t>
  </si>
  <si>
    <t>Capacity utilization rate of all primary refineries, WoodMac</t>
  </si>
  <si>
    <t>Capacity utilization rate of all secondary refineries, WoodMac</t>
  </si>
  <si>
    <t>pri cap</t>
  </si>
  <si>
    <t>pri CU</t>
  </si>
  <si>
    <t>sec cap</t>
  </si>
  <si>
    <t>sec CU</t>
  </si>
  <si>
    <t>sec ratio</t>
  </si>
  <si>
    <t>Primary CU long run elasticity to TCRC</t>
  </si>
  <si>
    <t>sec CU TCRC elas</t>
  </si>
  <si>
    <t>pri CU TCRC elas</t>
  </si>
  <si>
    <t>Calculated primary capacity</t>
  </si>
  <si>
    <t>Calculated secondary capacity</t>
  </si>
  <si>
    <t>Secondary CU long run elasticity to TCRC</t>
  </si>
  <si>
    <t>sec ratio TCRC elas</t>
  </si>
  <si>
    <t>Secondary ratio long run elasticity to TCRC</t>
  </si>
  <si>
    <t>sec ratio SP2 elas</t>
  </si>
  <si>
    <t>Secondary ratio long run elasticity to No.2 spread to LME price</t>
  </si>
  <si>
    <t>Description</t>
  </si>
  <si>
    <t>All numbers for 2017 as initial year</t>
  </si>
  <si>
    <t>0.3 secondary ratio based on using 2016 number to simulate 2017</t>
  </si>
  <si>
    <t>Then everything is calibrated to ICSG</t>
  </si>
  <si>
    <t>2018 Capacity utilization rate of all refineries, from ICSG data downloaded from TR</t>
  </si>
  <si>
    <t>conc to cathode eff</t>
  </si>
  <si>
    <t>scrap to cathode eff</t>
  </si>
  <si>
    <t>Concentrate to cathode efficiency, global average taking SX-EW into account</t>
  </si>
  <si>
    <t>No.2 scrap to cathode efficiency</t>
  </si>
  <si>
    <t>Primary</t>
  </si>
  <si>
    <t>Secondary</t>
  </si>
  <si>
    <t>Total</t>
  </si>
  <si>
    <t>China</t>
  </si>
  <si>
    <t>RoW</t>
  </si>
  <si>
    <t>Random effects</t>
  </si>
  <si>
    <t>Fixed effects</t>
  </si>
  <si>
    <t>Dynamic models</t>
  </si>
  <si>
    <t>Capacity Utilization</t>
  </si>
  <si>
    <t>Secondary Ratio</t>
  </si>
  <si>
    <t>TCRC</t>
  </si>
  <si>
    <t>SP2</t>
  </si>
  <si>
    <t>Signif. codes:  0 ‘***’ 0.001 ‘**’ 0.01 ‘*’ 0.05 ‘.’ 0.1 ‘ ’ 1</t>
  </si>
  <si>
    <t>China primary: n = 47, N = 492, T = 1-26</t>
  </si>
  <si>
    <t>China total: n = 94, N = 1070, T = 1-26</t>
  </si>
  <si>
    <t>China secondary: n = 47, N = 578, T = 2-26</t>
  </si>
  <si>
    <t>RoW primary: n = 253, N = 3706, T = 1-26</t>
  </si>
  <si>
    <t>RoW secondary: n = 25, N = 585, T = 14-26</t>
  </si>
  <si>
    <t>RoW total: n = 253, N = 3706, T = 1-26</t>
  </si>
  <si>
    <t>.220701***</t>
  </si>
  <si>
    <t>.120424*</t>
  </si>
  <si>
    <t>.0679598***</t>
  </si>
  <si>
    <t>.434244***</t>
  </si>
  <si>
    <t>.211011***</t>
  </si>
  <si>
    <t>.163818***</t>
  </si>
  <si>
    <t>.341035***</t>
  </si>
  <si>
    <t>.173196***</t>
  </si>
  <si>
    <t>.081771***</t>
  </si>
  <si>
    <t>.222416***</t>
  </si>
  <si>
    <t>0.119629*</t>
  </si>
  <si>
    <t>0.0729504***</t>
  </si>
  <si>
    <t>.456746***</t>
  </si>
  <si>
    <t>.212741***</t>
  </si>
  <si>
    <t>.163454***</t>
  </si>
  <si>
    <t>.351576***</t>
  </si>
  <si>
    <t>.172669***</t>
  </si>
  <si>
    <t>.0866647***</t>
  </si>
  <si>
    <t>John Note:</t>
  </si>
  <si>
    <t>Work done here: http://localhost:8888/notebooks/Displacement/00%20Simulation/01%20Refinery%20module/Refinery%20exploration.ipynb</t>
  </si>
  <si>
    <t>2018 Capacity utilization rate of all refineries, from ICSG data downloaded from TR, scaled by CN:World CU ratio from WoodMac - same done for all other CUs</t>
  </si>
  <si>
    <t>2018 Capacity utilization rate of all refineries, from ICSG data downloaded from TR, scaled by RoW:World CU ratio from WoodMac - same done for all other CUs</t>
  </si>
  <si>
    <t>2016 Sec Ratio</t>
  </si>
  <si>
    <t>2017 Sec Ratio (simulated)</t>
  </si>
  <si>
    <t>2018 Sec Ratio (simulated)</t>
  </si>
  <si>
    <t xml:space="preserve"> =(TCRC.2018/TCRC.2017)^TCRC.elasticity*(SP2.2018/SP2.2017)^SP2.elasticity*2017.Sec.Ratio</t>
  </si>
  <si>
    <t>TR=C:\Users\ryter\Dropbox (MIT)\Group Research Folder_Olivetti\Displacement\00 Simulation\05 Data Compile\TR data 20190410.xlsx</t>
  </si>
  <si>
    <t>WoodMac=C:\Users\ryter\Dropbox (MIT)\Group Research Folder_Olivetti\Displacement\00 Simulation\01 Refinery module\Data\Refinery CU original data.xls</t>
  </si>
  <si>
    <t>Processing done in: http://localhost:8888/notebooks/Displacement/00%20Simulation/01%20Refinery%20module/Refinery%20exploration.ipynb</t>
  </si>
  <si>
    <t>Other notes in: C:\Users\ryter\Dropbox (MIT)\Group Research Folder_Olivetti\Displacement\04 Presentations\John\Weekly Updates\20200225 China Historical Behavior.pptx</t>
  </si>
  <si>
    <t>.095183(.)</t>
  </si>
  <si>
    <t>OG (Original Global)</t>
  </si>
  <si>
    <t>OG</t>
  </si>
  <si>
    <t>.024556(.)</t>
  </si>
  <si>
    <t>.075196***</t>
  </si>
  <si>
    <t>0.060151**</t>
  </si>
  <si>
    <t>0.062938**</t>
  </si>
  <si>
    <t>Eventual: 0.0574</t>
  </si>
  <si>
    <t>.263796***</t>
  </si>
  <si>
    <t>.275161***</t>
  </si>
  <si>
    <t>-0.093841**</t>
  </si>
  <si>
    <t>.110979(.)</t>
  </si>
  <si>
    <t>-.091734**</t>
  </si>
  <si>
    <t>.120289(.)</t>
  </si>
  <si>
    <t>-.125814**</t>
  </si>
  <si>
    <t>.201605**</t>
  </si>
  <si>
    <t>eventual values: TCRC: -.1970, SP2: .3157</t>
  </si>
  <si>
    <t>Eventual: 0.1529</t>
  </si>
  <si>
    <t>Simulated 2018 sec ratio based on 2016 initial data</t>
  </si>
  <si>
    <t>-.082663*</t>
  </si>
  <si>
    <t>-.065508(.)</t>
  </si>
  <si>
    <t>-.085355(.)</t>
  </si>
  <si>
    <t>-.106097*</t>
  </si>
  <si>
    <t>.101823(.)</t>
  </si>
  <si>
    <t>-.106470*</t>
  </si>
  <si>
    <t>.062208(.)</t>
  </si>
  <si>
    <t>.065174**</t>
  </si>
  <si>
    <t>.019679(.)</t>
  </si>
  <si>
    <t>.020447(.)</t>
  </si>
  <si>
    <t>.092052**</t>
  </si>
  <si>
    <t>.092878**</t>
  </si>
  <si>
    <t>.101933**</t>
  </si>
  <si>
    <t>.105282**</t>
  </si>
  <si>
    <t>.175878**</t>
  </si>
  <si>
    <t>.184048**</t>
  </si>
  <si>
    <t>Results from R on panel regressions of WoodMac refinery data for China and RoW individual refineries from 1993-2016, done at the end of Jupyter notebook Refinery exploration.ipynb, everything is log-log, and CU was previously only dependent on TCRC, so doing that first here:</t>
  </si>
  <si>
    <t>Calculated secondary capacity from global times 2016 WoodMac CN secondary fraction, then scaled to match historical WoodMac data by multiplying by 1.129012 (sufficiently similar and more years than SMM)</t>
  </si>
  <si>
    <t>Calculated primary capacity based on above and CN primary fraction in 2016 WoodMac data, then scaled to match historical WoodMac data by multiplying by 1.129012 (sufficiently similar and more years than SMM)</t>
  </si>
  <si>
    <t>CN:</t>
  </si>
  <si>
    <t>RoW:</t>
  </si>
  <si>
    <t>Global:</t>
  </si>
  <si>
    <t>Secondary ratio from WoodMac calibrated to match reported 2018 production</t>
  </si>
  <si>
    <t>Calculated primary capacity, global minus China, then scaled by 0.997115 to reach historical ICSG 2018 value</t>
  </si>
  <si>
    <t>Calculated secondary capacity, global minus China, then scaled by 0.997115 to reach historical ICSG 2018 value</t>
  </si>
  <si>
    <t>Simulated sec ratio based on 2016 initial data calibrated to historical RoW data of 7291 primary and 2733 secondary by multiplying by 0.901758. (Global primary for 2018 of 15285, sec 4312, China 7994p and 1579s)</t>
  </si>
  <si>
    <t>For China and RoW, I used the 2016 WoodMac data to estimate the primary and secondary capacity fractions of the world for CN and RoW, as well as the ratio of CU of each with global, assuming that these 2016 ratios held to present, then calibrated these to 2018 data in Production data compile.xlsx by multiplying both by the ratio with those total values, then corrected secondary ratio to match secondary refining production column</t>
  </si>
  <si>
    <t>2016 Pri CU</t>
  </si>
  <si>
    <t>2017 Pri CU (simulated)</t>
  </si>
  <si>
    <t>2018 Pri CU (simulated)</t>
  </si>
  <si>
    <t>2016 Sec CU</t>
  </si>
  <si>
    <t>2017 Sec CU (simulated)</t>
  </si>
  <si>
    <t>2018 Sec CU (simulated)</t>
  </si>
  <si>
    <t>Pri CU TCRC elas</t>
  </si>
  <si>
    <t>Sec CU TCRC elas</t>
  </si>
  <si>
    <t>Capacity utilization rate of all primary refineries, WoodMac, simulated to 2018</t>
  </si>
  <si>
    <t>Capacity utilization rate of all secondary refineries, WoodMac, simulated to 2018</t>
  </si>
  <si>
    <t>2016 total secondary production/2016 total production of all secondary refineries, from WoodMac data, simulated to 2018</t>
  </si>
  <si>
    <t>2018 Capacity utilization rate of China secondary refineries, simulated from 2016 WoodMac</t>
  </si>
  <si>
    <t>from WoodMac</t>
  </si>
  <si>
    <t>Assumed Woodmac secondary ratio data was incomplete due to how low it was for RoW and mismatches, so used China fraction of primary and secondary capacity data to project its cap fraction to 2018 in Refinery exploration - China.ipynb. Assumed the sec CU from Woodmac was accurate and solved SR to give correct production</t>
  </si>
  <si>
    <t>Used China fraction of primary and secondary capacity data to project its cap fraction to 2018 in Refinery exploration - China.ipynb</t>
  </si>
  <si>
    <t>"=(7291.1628-B5*B6*(1-B8))/B2", primary production for RoW 2018</t>
  </si>
  <si>
    <t>"=(7994-B5*B6*(1-B8))/B2", China 2018 production is 7994 primary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</si>
</sst>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7" x14ac:knownFonts="1">
    <font>
      <sz val="11"/>
      <color theme="1"/>
      <name val="Calibri"/>
      <family val="2"/>
      <scheme val="minor"/>
    </font>
    <font>
      <sz val="10"/>
      <name val="Arial"/>
      <family val="2"/>
    </font>
    <font>
      <sz val="9"/>
      <color theme="1"/>
      <name val="Calibri"/>
      <family val="2"/>
      <scheme val="minor"/>
    </font>
    <font>
      <sz val="11"/>
      <color rgb="FF000000"/>
      <name val="Calibri"/>
      <family val="2"/>
      <scheme val="minor"/>
    </font>
    <font>
      <u/>
      <sz val="11"/>
      <color theme="10"/>
      <name val="Calibri"/>
      <family val="2"/>
      <scheme val="minor"/>
    </font>
    <font>
      <sz val="11"/>
      <color rgb="FFFF0000"/>
      <name val="Calibri"/>
      <family val="2"/>
      <scheme val="minor"/>
    </font>
    <font>
      <sz val="11"/>
      <color rgb="FF00B050"/>
      <name val="Calibri"/>
      <family val="2"/>
      <scheme val="minor"/>
    </font>
  </fonts>
  <fills count="2">
    <fill>
      <patternFill patternType="none"/>
    </fill>
    <fill>
      <patternFill patternType="gray125"/>
    </fill>
  </fills>
  <borders count="4">
    <border>
      <left/>
      <right/>
      <top/>
      <bottom/>
      <diagonal/>
    </border>
    <border>
      <left style="thin">
        <color indexed="64"/>
      </left>
      <right/>
      <top/>
      <bottom/>
      <diagonal/>
    </border>
    <border>
      <left/>
      <right/>
      <top/>
      <bottom style="thin">
        <color indexed="64"/>
      </bottom>
      <diagonal/>
    </border>
    <border>
      <left/>
      <right/>
      <top style="thin">
        <color indexed="64"/>
      </top>
      <bottom/>
      <diagonal/>
    </border>
  </borders>
  <cellStyleXfs count="2">
    <xf numFmtId="0" fontId="0" fillId="0" borderId="0"/>
    <xf numFmtId="0" fontId="4" fillId="0" borderId="0" applyNumberFormat="0" applyFill="0" applyBorder="0" applyAlignment="0" applyProtection="0"/>
  </cellStyleXfs>
  <cellXfs count="38">
    <xf numFmtId="0" fontId="0" fillId="0" borderId="0" xfId="0"/>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1" fillId="0" borderId="0" xfId="0" applyFont="1" applyFill="1" applyBorder="1" applyAlignment="1" applyProtection="1"/>
    <xf numFmtId="0" fontId="0" fillId="0" borderId="0" xfId="0" applyAlignment="1">
      <alignment horizontal="center"/>
    </xf>
    <xf numFmtId="0" fontId="0" fillId="0" borderId="0" xfId="0" applyAlignment="1">
      <alignment horizontal="center" wrapText="1"/>
    </xf>
    <xf numFmtId="0" fontId="2" fillId="0" borderId="0" xfId="0" applyFont="1"/>
    <xf numFmtId="0" fontId="3" fillId="0" borderId="0" xfId="0" applyFont="1" applyAlignment="1">
      <alignment vertical="center"/>
    </xf>
    <xf numFmtId="0" fontId="0" fillId="0" borderId="0" xfId="0" applyAlignment="1">
      <alignment horizontal="center" vertical="center"/>
    </xf>
    <xf numFmtId="0" fontId="0" fillId="0" borderId="0" xfId="0" applyBorder="1" applyAlignment="1">
      <alignment horizontal="center"/>
    </xf>
    <xf numFmtId="0" fontId="2" fillId="0" borderId="1" xfId="0" applyFont="1" applyBorder="1"/>
    <xf numFmtId="0" fontId="2" fillId="0" borderId="0" xfId="0" applyFont="1" applyBorder="1"/>
    <xf numFmtId="0" fontId="0" fillId="0" borderId="0" xfId="0" applyBorder="1" applyAlignment="1">
      <alignment vertical="center"/>
    </xf>
    <xf numFmtId="0" fontId="0" fillId="0" borderId="0" xfId="0" applyBorder="1" applyAlignment="1">
      <alignment vertical="center" wrapText="1"/>
    </xf>
    <xf numFmtId="0" fontId="0" fillId="0" borderId="2" xfId="0" applyBorder="1" applyAlignment="1">
      <alignment vertical="center"/>
    </xf>
    <xf numFmtId="0" fontId="0" fillId="0" borderId="2" xfId="0" applyBorder="1" applyAlignment="1">
      <alignment vertical="center" wrapText="1"/>
    </xf>
    <xf numFmtId="0" fontId="0" fillId="0" borderId="3" xfId="0" applyBorder="1" applyAlignment="1">
      <alignment vertical="center"/>
    </xf>
    <xf numFmtId="0" fontId="0" fillId="0" borderId="3" xfId="0" applyBorder="1" applyAlignment="1">
      <alignment vertical="center" wrapText="1"/>
    </xf>
    <xf numFmtId="0" fontId="0" fillId="0" borderId="0" xfId="0" applyAlignment="1">
      <alignment vertical="top"/>
    </xf>
    <xf numFmtId="0" fontId="4" fillId="0" borderId="0" xfId="1" applyAlignment="1">
      <alignment wrapText="1"/>
    </xf>
    <xf numFmtId="0" fontId="2" fillId="0" borderId="0" xfId="0" quotePrefix="1" applyFont="1" applyBorder="1"/>
    <xf numFmtId="0" fontId="2" fillId="0" borderId="0" xfId="0" quotePrefix="1" applyFont="1"/>
    <xf numFmtId="0" fontId="2" fillId="0" borderId="0" xfId="0" applyFont="1" applyFill="1" applyBorder="1"/>
    <xf numFmtId="0" fontId="0" fillId="0" borderId="1" xfId="0" applyBorder="1" applyAlignment="1">
      <alignment vertical="center"/>
    </xf>
    <xf numFmtId="1" fontId="5" fillId="0" borderId="0" xfId="0" applyNumberFormat="1" applyFont="1"/>
    <xf numFmtId="1" fontId="6" fillId="0" borderId="0" xfId="0" applyNumberFormat="1" applyFont="1"/>
    <xf numFmtId="1" fontId="0" fillId="0" borderId="0" xfId="0" applyNumberFormat="1"/>
    <xf numFmtId="164" fontId="0" fillId="0" borderId="0" xfId="0" applyNumberFormat="1"/>
    <xf numFmtId="0" fontId="0" fillId="0" borderId="0" xfId="0" applyBorder="1" applyAlignment="1">
      <alignment horizontal="center"/>
    </xf>
    <xf numFmtId="0" fontId="0" fillId="0" borderId="1" xfId="0" applyBorder="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wrapText="1"/>
    </xf>
    <xf numFmtId="0" fontId="0" fillId="0" borderId="1" xfId="0" applyBorder="1" applyAlignment="1">
      <alignment horizontal="center" wrapText="1"/>
    </xf>
    <xf numFmtId="0" fontId="0" fillId="0" borderId="0" xfId="0" applyBorder="1" applyAlignment="1">
      <alignment horizontal="center" wrapText="1"/>
    </xf>
    <xf numFmtId="0" fontId="0" fillId="0" borderId="0" xfId="0" applyAlignment="1">
      <alignment vertical="top" wrapText="1"/>
    </xf>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localhost:8888/notebooks/Displacement/00%20Simulation/01%20Refinery%20module/Refinery%20exploration.ipyn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
  <sheetViews>
    <sheetView workbookViewId="0">
      <selection activeCell="C10" sqref="A2:C10"/>
    </sheetView>
  </sheetViews>
  <sheetFormatPr defaultColWidth="8.88671875" defaultRowHeight="14.4" x14ac:dyDescent="0.3"/>
  <cols>
    <col min="1" max="1" width="15.88671875" style="2" bestFit="1" customWidth="1"/>
    <col min="2" max="2" width="7.6640625" style="2" customWidth="1"/>
    <col min="3" max="3" width="33.44140625" style="3" customWidth="1"/>
    <col min="4" max="5" width="8.88671875" style="2"/>
    <col min="6" max="6" width="11.109375" style="2" customWidth="1"/>
    <col min="7" max="16384" width="8.88671875" style="2"/>
  </cols>
  <sheetData>
    <row r="1" spans="1:3" x14ac:dyDescent="0.3">
      <c r="A1" s="2" t="s">
        <v>1</v>
      </c>
      <c r="B1" s="2" t="s">
        <v>0</v>
      </c>
      <c r="C1" s="3" t="s">
        <v>22</v>
      </c>
    </row>
    <row r="2" spans="1:3" x14ac:dyDescent="0.3">
      <c r="A2" s="2" t="s">
        <v>7</v>
      </c>
      <c r="B2" s="2">
        <v>10592.150378406999</v>
      </c>
      <c r="C2" s="3" t="s">
        <v>15</v>
      </c>
    </row>
    <row r="3" spans="1:3" ht="28.8" x14ac:dyDescent="0.3">
      <c r="A3" s="2" t="s">
        <v>8</v>
      </c>
      <c r="B3" s="2">
        <v>0.83629492695614904</v>
      </c>
      <c r="C3" s="3" t="s">
        <v>5</v>
      </c>
    </row>
    <row r="4" spans="1:3" x14ac:dyDescent="0.3">
      <c r="A4" s="2" t="s">
        <v>14</v>
      </c>
      <c r="B4" s="2">
        <v>5.741885E-2</v>
      </c>
      <c r="C4" s="3" t="s">
        <v>12</v>
      </c>
    </row>
    <row r="5" spans="1:3" x14ac:dyDescent="0.3">
      <c r="A5" s="2" t="s">
        <v>9</v>
      </c>
      <c r="B5" s="2">
        <v>20863.018520735</v>
      </c>
      <c r="C5" s="3" t="s">
        <v>16</v>
      </c>
    </row>
    <row r="6" spans="1:3" ht="28.8" x14ac:dyDescent="0.3">
      <c r="A6" s="2" t="s">
        <v>10</v>
      </c>
      <c r="B6" s="2">
        <v>0.69402892772159397</v>
      </c>
      <c r="C6" s="3" t="s">
        <v>6</v>
      </c>
    </row>
    <row r="7" spans="1:3" ht="28.8" x14ac:dyDescent="0.3">
      <c r="A7" s="2" t="s">
        <v>13</v>
      </c>
      <c r="B7" s="2">
        <v>0.15286749999999999</v>
      </c>
      <c r="C7" s="3" t="s">
        <v>17</v>
      </c>
    </row>
    <row r="8" spans="1:3" ht="43.2" x14ac:dyDescent="0.3">
      <c r="A8" s="2" t="s">
        <v>11</v>
      </c>
      <c r="B8" s="2">
        <v>0.26699746224049897</v>
      </c>
      <c r="C8" s="3" t="s">
        <v>2</v>
      </c>
    </row>
    <row r="9" spans="1:3" ht="28.8" x14ac:dyDescent="0.3">
      <c r="A9" s="2" t="s">
        <v>18</v>
      </c>
      <c r="B9" s="2">
        <v>-0.1970092</v>
      </c>
      <c r="C9" s="3" t="s">
        <v>19</v>
      </c>
    </row>
    <row r="10" spans="1:3" ht="28.8" x14ac:dyDescent="0.3">
      <c r="A10" s="2" t="s">
        <v>20</v>
      </c>
      <c r="B10" s="2">
        <v>0.31568849999999998</v>
      </c>
      <c r="C10" s="3"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8ACC4-837B-4C3F-BBDA-B233AF0CF359}">
  <dimension ref="A1:H12"/>
  <sheetViews>
    <sheetView workbookViewId="0">
      <selection activeCell="B2" sqref="B2"/>
    </sheetView>
  </sheetViews>
  <sheetFormatPr defaultRowHeight="14.4" x14ac:dyDescent="0.3"/>
  <cols>
    <col min="1" max="1" width="18.6640625" bestFit="1" customWidth="1"/>
    <col min="2" max="2" width="12" bestFit="1" customWidth="1"/>
    <col min="3" max="3" width="39" customWidth="1"/>
  </cols>
  <sheetData>
    <row r="1" spans="1:8" x14ac:dyDescent="0.3">
      <c r="A1" s="2" t="s">
        <v>1</v>
      </c>
      <c r="B1" s="2" t="s">
        <v>0</v>
      </c>
      <c r="C1" s="3" t="s">
        <v>22</v>
      </c>
    </row>
    <row r="2" spans="1:8" x14ac:dyDescent="0.3">
      <c r="A2" s="2" t="s">
        <v>7</v>
      </c>
      <c r="B2" s="2">
        <v>7470.609912343325</v>
      </c>
      <c r="C2" s="3" t="s">
        <v>15</v>
      </c>
    </row>
    <row r="3" spans="1:8" ht="28.8" x14ac:dyDescent="0.3">
      <c r="A3" s="2" t="s">
        <v>8</v>
      </c>
      <c r="B3">
        <v>0.86005052327679599</v>
      </c>
      <c r="C3" s="3" t="s">
        <v>26</v>
      </c>
    </row>
    <row r="4" spans="1:8" x14ac:dyDescent="0.3">
      <c r="A4" s="2" t="s">
        <v>14</v>
      </c>
      <c r="B4" s="2">
        <v>5.741885E-2</v>
      </c>
      <c r="C4" s="3" t="s">
        <v>12</v>
      </c>
      <c r="H4" s="4"/>
    </row>
    <row r="5" spans="1:8" x14ac:dyDescent="0.3">
      <c r="A5" s="2" t="s">
        <v>9</v>
      </c>
      <c r="B5" s="2">
        <v>15426.642910630822</v>
      </c>
      <c r="C5" s="3" t="s">
        <v>16</v>
      </c>
    </row>
    <row r="6" spans="1:8" ht="28.8" x14ac:dyDescent="0.3">
      <c r="A6" s="2" t="s">
        <v>10</v>
      </c>
      <c r="B6">
        <v>0.86005052327679554</v>
      </c>
      <c r="C6" s="3" t="s">
        <v>26</v>
      </c>
    </row>
    <row r="7" spans="1:8" x14ac:dyDescent="0.3">
      <c r="A7" s="2" t="s">
        <v>13</v>
      </c>
      <c r="B7" s="2">
        <v>0.15286749999999999</v>
      </c>
      <c r="C7" s="3" t="s">
        <v>17</v>
      </c>
    </row>
    <row r="8" spans="1:8" ht="28.8" x14ac:dyDescent="0.3">
      <c r="A8" s="2" t="s">
        <v>11</v>
      </c>
      <c r="B8" s="2">
        <v>0.32500000000000001</v>
      </c>
      <c r="C8" s="3" t="s">
        <v>98</v>
      </c>
    </row>
    <row r="9" spans="1:8" x14ac:dyDescent="0.3">
      <c r="A9" s="2" t="s">
        <v>18</v>
      </c>
      <c r="B9" s="2">
        <v>-0.1970092</v>
      </c>
      <c r="C9" s="3" t="s">
        <v>19</v>
      </c>
    </row>
    <row r="10" spans="1:8" ht="28.8" x14ac:dyDescent="0.3">
      <c r="A10" s="2" t="s">
        <v>20</v>
      </c>
      <c r="B10" s="2">
        <v>0.31568849999999998</v>
      </c>
      <c r="C10" s="3" t="s">
        <v>21</v>
      </c>
    </row>
    <row r="11" spans="1:8" ht="28.8" x14ac:dyDescent="0.3">
      <c r="A11" s="2" t="s">
        <v>27</v>
      </c>
      <c r="B11" s="2">
        <v>0.99</v>
      </c>
      <c r="C11" s="3" t="s">
        <v>29</v>
      </c>
    </row>
    <row r="12" spans="1:8" x14ac:dyDescent="0.3">
      <c r="A12" s="2" t="s">
        <v>28</v>
      </c>
      <c r="B12" s="2">
        <v>0.99</v>
      </c>
      <c r="C12" s="3" t="s">
        <v>30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0BB9C-6678-49B1-8631-7D43AC826B90}">
  <dimension ref="A1:C12"/>
  <sheetViews>
    <sheetView workbookViewId="0">
      <selection activeCell="B4" sqref="B4"/>
    </sheetView>
  </sheetViews>
  <sheetFormatPr defaultRowHeight="14.4" x14ac:dyDescent="0.3"/>
  <cols>
    <col min="1" max="1" width="18.6640625" bestFit="1" customWidth="1"/>
    <col min="2" max="2" width="12" bestFit="1" customWidth="1"/>
    <col min="3" max="3" width="39" customWidth="1"/>
  </cols>
  <sheetData>
    <row r="1" spans="1:3" x14ac:dyDescent="0.3">
      <c r="A1" s="2" t="s">
        <v>1</v>
      </c>
      <c r="B1" s="2" t="s">
        <v>0</v>
      </c>
      <c r="C1" s="3" t="s">
        <v>22</v>
      </c>
    </row>
    <row r="2" spans="1:3" ht="86.4" x14ac:dyDescent="0.3">
      <c r="A2" s="17" t="s">
        <v>7</v>
      </c>
      <c r="B2">
        <v>6650.0701320532653</v>
      </c>
      <c r="C2" s="18" t="s">
        <v>117</v>
      </c>
    </row>
    <row r="3" spans="1:3" ht="57.6" x14ac:dyDescent="0.3">
      <c r="A3" s="13" t="s">
        <v>8</v>
      </c>
      <c r="B3">
        <v>0.87460041080332029</v>
      </c>
      <c r="C3" s="14" t="s">
        <v>70</v>
      </c>
    </row>
    <row r="4" spans="1:3" x14ac:dyDescent="0.3">
      <c r="A4" s="13" t="s">
        <v>14</v>
      </c>
      <c r="B4" s="13">
        <v>5.741885E-2</v>
      </c>
      <c r="C4" s="14" t="s">
        <v>12</v>
      </c>
    </row>
    <row r="5" spans="1:3" ht="72" x14ac:dyDescent="0.3">
      <c r="A5" s="13" t="s">
        <v>9</v>
      </c>
      <c r="B5">
        <v>4240.9049267067976</v>
      </c>
      <c r="C5" s="14" t="s">
        <v>116</v>
      </c>
    </row>
    <row r="6" spans="1:3" ht="57.6" x14ac:dyDescent="0.3">
      <c r="A6" s="13" t="s">
        <v>10</v>
      </c>
      <c r="B6">
        <v>0.88585950299825256</v>
      </c>
      <c r="C6" s="14" t="s">
        <v>70</v>
      </c>
    </row>
    <row r="7" spans="1:3" x14ac:dyDescent="0.3">
      <c r="A7" s="13" t="s">
        <v>13</v>
      </c>
      <c r="B7" s="13">
        <v>0.15286749999999999</v>
      </c>
      <c r="C7" s="14" t="s">
        <v>17</v>
      </c>
    </row>
    <row r="8" spans="1:3" ht="28.8" x14ac:dyDescent="0.3">
      <c r="A8" s="13" t="s">
        <v>11</v>
      </c>
      <c r="B8" s="13">
        <v>0.42029899999999998</v>
      </c>
      <c r="C8" s="14" t="s">
        <v>121</v>
      </c>
    </row>
    <row r="9" spans="1:3" x14ac:dyDescent="0.3">
      <c r="A9" s="13" t="s">
        <v>18</v>
      </c>
      <c r="B9" s="13">
        <v>-0.1970092</v>
      </c>
      <c r="C9" s="14" t="s">
        <v>19</v>
      </c>
    </row>
    <row r="10" spans="1:3" ht="28.8" x14ac:dyDescent="0.3">
      <c r="A10" s="15" t="s">
        <v>20</v>
      </c>
      <c r="B10" s="15">
        <v>0.31568849999999998</v>
      </c>
      <c r="C10" s="16" t="s">
        <v>21</v>
      </c>
    </row>
    <row r="11" spans="1:3" ht="28.8" x14ac:dyDescent="0.3">
      <c r="A11" s="17" t="s">
        <v>27</v>
      </c>
      <c r="B11" s="17">
        <v>0.99</v>
      </c>
      <c r="C11" s="18" t="s">
        <v>29</v>
      </c>
    </row>
    <row r="12" spans="1:3" x14ac:dyDescent="0.3">
      <c r="A12" s="2" t="s">
        <v>28</v>
      </c>
      <c r="B12" s="2">
        <v>0.99</v>
      </c>
      <c r="C12" s="3" t="s">
        <v>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8AFCA-DEAA-4ACB-9485-27DCC8175C02}">
  <dimension ref="A1:J12"/>
  <sheetViews>
    <sheetView workbookViewId="0">
      <selection activeCell="B6" sqref="B6"/>
    </sheetView>
  </sheetViews>
  <sheetFormatPr defaultRowHeight="14.4" x14ac:dyDescent="0.3"/>
  <cols>
    <col min="1" max="1" width="18.21875" bestFit="1" customWidth="1"/>
    <col min="2" max="2" width="12" bestFit="1" customWidth="1"/>
    <col min="3" max="3" width="49.6640625" customWidth="1"/>
    <col min="10" max="10" width="10.5546875" bestFit="1" customWidth="1"/>
  </cols>
  <sheetData>
    <row r="1" spans="1:10" x14ac:dyDescent="0.3">
      <c r="A1" s="2" t="s">
        <v>1</v>
      </c>
      <c r="B1" s="2" t="s">
        <v>0</v>
      </c>
      <c r="C1" s="3" t="s">
        <v>22</v>
      </c>
    </row>
    <row r="2" spans="1:10" ht="28.8" x14ac:dyDescent="0.3">
      <c r="A2" s="2" t="s">
        <v>7</v>
      </c>
      <c r="B2" t="e">
        <f>(Parameters!#REF!-'CN Parameters'!B2)*0.997115</f>
        <v>#REF!</v>
      </c>
      <c r="C2" s="3" t="s">
        <v>122</v>
      </c>
    </row>
    <row r="3" spans="1:10" ht="43.2" x14ac:dyDescent="0.3">
      <c r="A3" s="2" t="s">
        <v>8</v>
      </c>
      <c r="B3">
        <v>0.8540806143896249</v>
      </c>
      <c r="C3" s="3" t="s">
        <v>71</v>
      </c>
    </row>
    <row r="4" spans="1:10" x14ac:dyDescent="0.3">
      <c r="A4" s="2" t="s">
        <v>14</v>
      </c>
      <c r="B4">
        <v>5.741885E-2</v>
      </c>
      <c r="C4" s="3" t="s">
        <v>12</v>
      </c>
    </row>
    <row r="5" spans="1:10" ht="28.8" x14ac:dyDescent="0.3">
      <c r="A5" s="2" t="s">
        <v>9</v>
      </c>
      <c r="B5">
        <f>(Parameters!B5-'CN Parameters'!B5)*0.997115</f>
        <v>9507.8729470026556</v>
      </c>
      <c r="C5" s="3" t="s">
        <v>123</v>
      </c>
      <c r="H5" s="25"/>
      <c r="I5" s="26"/>
      <c r="J5" s="27"/>
    </row>
    <row r="6" spans="1:10" ht="43.2" x14ac:dyDescent="0.3">
      <c r="A6" s="2" t="s">
        <v>10</v>
      </c>
      <c r="B6">
        <v>0.83609667190082682</v>
      </c>
      <c r="C6" s="3" t="s">
        <v>71</v>
      </c>
    </row>
    <row r="7" spans="1:10" x14ac:dyDescent="0.3">
      <c r="A7" s="2" t="s">
        <v>13</v>
      </c>
      <c r="B7">
        <v>0.15286749999999999</v>
      </c>
      <c r="C7" s="3" t="s">
        <v>17</v>
      </c>
      <c r="H7" s="27"/>
      <c r="I7" s="27"/>
      <c r="J7" s="28"/>
    </row>
    <row r="8" spans="1:10" ht="57.6" x14ac:dyDescent="0.3">
      <c r="A8" s="2" t="s">
        <v>11</v>
      </c>
      <c r="B8">
        <f>0.325*0.901758</f>
        <v>0.29307135000000001</v>
      </c>
      <c r="C8" s="3" t="s">
        <v>124</v>
      </c>
    </row>
    <row r="9" spans="1:10" x14ac:dyDescent="0.3">
      <c r="A9" s="2" t="s">
        <v>18</v>
      </c>
      <c r="B9">
        <v>-0.1970092</v>
      </c>
      <c r="C9" s="3" t="s">
        <v>19</v>
      </c>
    </row>
    <row r="10" spans="1:10" ht="28.8" x14ac:dyDescent="0.3">
      <c r="A10" s="2" t="s">
        <v>20</v>
      </c>
      <c r="B10">
        <v>0.31568849999999998</v>
      </c>
      <c r="C10" s="3" t="s">
        <v>21</v>
      </c>
    </row>
    <row r="11" spans="1:10" ht="28.8" x14ac:dyDescent="0.3">
      <c r="A11" s="17" t="s">
        <v>27</v>
      </c>
      <c r="B11" s="17">
        <v>0.99</v>
      </c>
      <c r="C11" s="18" t="s">
        <v>29</v>
      </c>
    </row>
    <row r="12" spans="1:10" x14ac:dyDescent="0.3">
      <c r="A12" s="2" t="s">
        <v>28</v>
      </c>
      <c r="B12" s="2">
        <v>0.99</v>
      </c>
      <c r="C12" s="3" t="s">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
  <sheetViews>
    <sheetView workbookViewId="0">
      <selection activeCell="B3" sqref="B3"/>
    </sheetView>
  </sheetViews>
  <sheetFormatPr defaultRowHeight="14.4" x14ac:dyDescent="0.3"/>
  <cols>
    <col min="1" max="1" width="18.6640625" bestFit="1" customWidth="1"/>
    <col min="2" max="2" width="12" bestFit="1" customWidth="1"/>
    <col min="3" max="3" width="39" customWidth="1"/>
  </cols>
  <sheetData>
    <row r="1" spans="1:8" x14ac:dyDescent="0.3">
      <c r="A1" s="2" t="s">
        <v>1</v>
      </c>
      <c r="B1" s="2" t="s">
        <v>0</v>
      </c>
      <c r="C1" s="3" t="s">
        <v>22</v>
      </c>
    </row>
    <row r="2" spans="1:8" x14ac:dyDescent="0.3">
      <c r="A2" s="2" t="s">
        <v>7</v>
      </c>
      <c r="B2">
        <f>(15285.162847-B5*B6*(1-B8))/B3</f>
        <v>7666.1629879437714</v>
      </c>
      <c r="C2" s="3" t="s">
        <v>15</v>
      </c>
    </row>
    <row r="3" spans="1:8" ht="28.8" x14ac:dyDescent="0.3">
      <c r="A3" s="2" t="s">
        <v>8</v>
      </c>
      <c r="B3" s="2">
        <v>0.82482348342886136</v>
      </c>
      <c r="C3" s="3" t="s">
        <v>134</v>
      </c>
    </row>
    <row r="4" spans="1:8" x14ac:dyDescent="0.3">
      <c r="A4" s="2" t="s">
        <v>14</v>
      </c>
      <c r="B4" s="2">
        <v>5.741885E-2</v>
      </c>
      <c r="C4" s="3" t="s">
        <v>12</v>
      </c>
      <c r="H4" s="4"/>
    </row>
    <row r="5" spans="1:8" x14ac:dyDescent="0.3">
      <c r="A5" s="2" t="s">
        <v>9</v>
      </c>
      <c r="B5" s="2">
        <f>4312/B6/B8</f>
        <v>19824.492246385536</v>
      </c>
      <c r="C5" s="3" t="s">
        <v>16</v>
      </c>
    </row>
    <row r="6" spans="1:8" ht="28.8" x14ac:dyDescent="0.3">
      <c r="A6" s="2" t="s">
        <v>10</v>
      </c>
      <c r="B6" s="2">
        <v>0.66957233616769962</v>
      </c>
      <c r="C6" s="3" t="s">
        <v>135</v>
      </c>
    </row>
    <row r="7" spans="1:8" x14ac:dyDescent="0.3">
      <c r="A7" s="2" t="s">
        <v>13</v>
      </c>
      <c r="B7" s="2">
        <v>0.15286749999999999</v>
      </c>
      <c r="C7" s="3" t="s">
        <v>17</v>
      </c>
    </row>
    <row r="8" spans="1:8" ht="43.2" x14ac:dyDescent="0.3">
      <c r="A8" s="2" t="s">
        <v>11</v>
      </c>
      <c r="B8" s="2">
        <v>0.32484723699374513</v>
      </c>
      <c r="C8" s="3" t="s">
        <v>136</v>
      </c>
    </row>
    <row r="9" spans="1:8" x14ac:dyDescent="0.3">
      <c r="A9" s="2" t="s">
        <v>18</v>
      </c>
      <c r="B9" s="2">
        <v>-0.1970092</v>
      </c>
      <c r="C9" s="3" t="s">
        <v>19</v>
      </c>
    </row>
    <row r="10" spans="1:8" ht="28.8" x14ac:dyDescent="0.3">
      <c r="A10" s="2" t="s">
        <v>20</v>
      </c>
      <c r="B10" s="2">
        <v>0.31568849999999998</v>
      </c>
      <c r="C10" s="3" t="s">
        <v>21</v>
      </c>
    </row>
    <row r="11" spans="1:8" ht="28.8" x14ac:dyDescent="0.3">
      <c r="A11" s="2" t="s">
        <v>27</v>
      </c>
      <c r="B11" s="2">
        <v>0.99</v>
      </c>
      <c r="C11" s="3" t="s">
        <v>29</v>
      </c>
    </row>
    <row r="12" spans="1:8" x14ac:dyDescent="0.3">
      <c r="A12" s="2" t="s">
        <v>28</v>
      </c>
      <c r="B12" s="2">
        <v>0.99</v>
      </c>
      <c r="C12" s="3" t="s">
        <v>30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89306-1FDF-4F67-A2FA-7B41C555A879}">
  <dimension ref="A1:E12"/>
  <sheetViews>
    <sheetView workbookViewId="0">
      <selection activeCell="E3" sqref="E2:E3"/>
    </sheetView>
  </sheetViews>
  <sheetFormatPr defaultRowHeight="14.4" x14ac:dyDescent="0.3"/>
  <cols>
    <col min="1" max="1" width="18.6640625" bestFit="1" customWidth="1"/>
    <col min="2" max="2" width="12" bestFit="1" customWidth="1"/>
    <col min="3" max="3" width="39" customWidth="1"/>
  </cols>
  <sheetData>
    <row r="1" spans="1:5" x14ac:dyDescent="0.3">
      <c r="A1" s="2" t="s">
        <v>1</v>
      </c>
      <c r="B1" s="2" t="s">
        <v>0</v>
      </c>
      <c r="C1" s="3" t="s">
        <v>22</v>
      </c>
    </row>
    <row r="2" spans="1:5" ht="43.2" x14ac:dyDescent="0.3">
      <c r="A2" s="17" t="s">
        <v>7</v>
      </c>
      <c r="B2">
        <f>Parameters!B2*0.33967</f>
        <v>2603.9655821148613</v>
      </c>
      <c r="C2" s="14" t="s">
        <v>140</v>
      </c>
      <c r="E2">
        <f>B2*B3+B5*B6*(1-B8)</f>
        <v>7994</v>
      </c>
    </row>
    <row r="3" spans="1:5" ht="28.8" x14ac:dyDescent="0.3">
      <c r="A3" s="13" t="s">
        <v>8</v>
      </c>
      <c r="B3">
        <f>(7994-B5*B6*(1-B8))/B2</f>
        <v>0.95056203361274394</v>
      </c>
      <c r="C3" s="14" t="s">
        <v>142</v>
      </c>
      <c r="E3">
        <f>B5*B6*B8</f>
        <v>1579.0000000000002</v>
      </c>
    </row>
    <row r="4" spans="1:5" x14ac:dyDescent="0.3">
      <c r="A4" s="13" t="s">
        <v>14</v>
      </c>
      <c r="B4" s="13">
        <v>5.741885E-2</v>
      </c>
      <c r="C4" s="14" t="s">
        <v>12</v>
      </c>
    </row>
    <row r="5" spans="1:5" ht="72" x14ac:dyDescent="0.3">
      <c r="A5" s="13" t="s">
        <v>9</v>
      </c>
      <c r="B5">
        <f>Parameters!B5*0.51901</f>
        <v>10289.109720796556</v>
      </c>
      <c r="C5" s="14" t="s">
        <v>116</v>
      </c>
    </row>
    <row r="6" spans="1:5" ht="43.2" x14ac:dyDescent="0.3">
      <c r="A6" s="13" t="s">
        <v>10</v>
      </c>
      <c r="B6">
        <v>0.68983317054741389</v>
      </c>
      <c r="C6" s="14" t="s">
        <v>137</v>
      </c>
    </row>
    <row r="7" spans="1:5" x14ac:dyDescent="0.3">
      <c r="A7" s="13" t="s">
        <v>13</v>
      </c>
      <c r="B7" s="13">
        <v>0.15286749999999999</v>
      </c>
      <c r="C7" s="14" t="s">
        <v>17</v>
      </c>
    </row>
    <row r="8" spans="1:5" ht="115.2" x14ac:dyDescent="0.3">
      <c r="A8" s="13" t="s">
        <v>11</v>
      </c>
      <c r="B8" s="13">
        <f>1579/B6/B5</f>
        <v>0.22246426444377607</v>
      </c>
      <c r="C8" s="14" t="s">
        <v>139</v>
      </c>
    </row>
    <row r="9" spans="1:5" x14ac:dyDescent="0.3">
      <c r="A9" s="13" t="s">
        <v>18</v>
      </c>
      <c r="B9" s="13">
        <v>-0.1970092</v>
      </c>
      <c r="C9" s="14" t="s">
        <v>19</v>
      </c>
    </row>
    <row r="10" spans="1:5" ht="28.8" x14ac:dyDescent="0.3">
      <c r="A10" s="15" t="s">
        <v>20</v>
      </c>
      <c r="B10" s="15">
        <v>0.31568849999999998</v>
      </c>
      <c r="C10" s="16" t="s">
        <v>21</v>
      </c>
    </row>
    <row r="11" spans="1:5" ht="28.8" x14ac:dyDescent="0.3">
      <c r="A11" s="17" t="s">
        <v>27</v>
      </c>
      <c r="B11" s="17">
        <v>0.99</v>
      </c>
      <c r="C11" s="18" t="s">
        <v>29</v>
      </c>
    </row>
    <row r="12" spans="1:5" x14ac:dyDescent="0.3">
      <c r="A12" s="2" t="s">
        <v>28</v>
      </c>
      <c r="B12" s="2">
        <v>0.99</v>
      </c>
      <c r="C12" s="3" t="s">
        <v>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2173F-125D-49A4-B46D-6BB93D24C8B3}">
  <dimension ref="A1:J12"/>
  <sheetViews>
    <sheetView workbookViewId="0">
      <selection activeCell="F3" sqref="F3"/>
    </sheetView>
  </sheetViews>
  <sheetFormatPr defaultRowHeight="14.4" x14ac:dyDescent="0.3"/>
  <cols>
    <col min="1" max="1" width="18.21875" bestFit="1" customWidth="1"/>
    <col min="2" max="2" width="12" bestFit="1" customWidth="1"/>
    <col min="3" max="3" width="49.6640625" customWidth="1"/>
    <col min="10" max="10" width="10.5546875" bestFit="1" customWidth="1"/>
  </cols>
  <sheetData>
    <row r="1" spans="1:10" x14ac:dyDescent="0.3">
      <c r="A1" s="2" t="s">
        <v>1</v>
      </c>
      <c r="B1" s="2" t="s">
        <v>0</v>
      </c>
      <c r="C1" s="3" t="s">
        <v>22</v>
      </c>
    </row>
    <row r="2" spans="1:10" ht="28.8" x14ac:dyDescent="0.3">
      <c r="A2" s="2" t="s">
        <v>7</v>
      </c>
      <c r="B2">
        <f>Parameters!B2*(1-0.33967)</f>
        <v>5062.1974058289106</v>
      </c>
      <c r="C2" s="3" t="s">
        <v>122</v>
      </c>
    </row>
    <row r="3" spans="1:10" ht="28.8" x14ac:dyDescent="0.3">
      <c r="A3" s="2" t="s">
        <v>8</v>
      </c>
      <c r="B3">
        <f>(7291.1628-B5*B6*(1-B8))/B2</f>
        <v>0.75394704510078647</v>
      </c>
      <c r="C3" s="3" t="s">
        <v>141</v>
      </c>
    </row>
    <row r="4" spans="1:10" x14ac:dyDescent="0.3">
      <c r="A4" s="2" t="s">
        <v>14</v>
      </c>
      <c r="B4">
        <v>5.741885E-2</v>
      </c>
      <c r="C4" s="3" t="s">
        <v>12</v>
      </c>
    </row>
    <row r="5" spans="1:10" ht="28.8" x14ac:dyDescent="0.3">
      <c r="A5" s="2" t="s">
        <v>9</v>
      </c>
      <c r="B5">
        <f>Parameters!B5*(1-0.51901)</f>
        <v>9535.3825255889806</v>
      </c>
      <c r="C5" s="3" t="s">
        <v>123</v>
      </c>
      <c r="H5" s="25"/>
      <c r="I5" s="26"/>
      <c r="J5" s="27"/>
    </row>
    <row r="6" spans="1:10" x14ac:dyDescent="0.3">
      <c r="A6" s="2" t="s">
        <v>10</v>
      </c>
      <c r="B6">
        <v>0.65100000000000002</v>
      </c>
      <c r="C6" s="3" t="s">
        <v>138</v>
      </c>
    </row>
    <row r="7" spans="1:10" x14ac:dyDescent="0.3">
      <c r="A7" s="2" t="s">
        <v>13</v>
      </c>
      <c r="B7">
        <v>0.15286749999999999</v>
      </c>
      <c r="C7" s="3" t="s">
        <v>17</v>
      </c>
      <c r="H7" s="27"/>
      <c r="I7" s="27"/>
      <c r="J7" s="28"/>
    </row>
    <row r="8" spans="1:10" ht="86.4" x14ac:dyDescent="0.3">
      <c r="A8" s="2" t="s">
        <v>11</v>
      </c>
      <c r="B8">
        <f>2733/B6/B5</f>
        <v>0.44027144907522608</v>
      </c>
      <c r="C8" s="14" t="s">
        <v>139</v>
      </c>
    </row>
    <row r="9" spans="1:10" x14ac:dyDescent="0.3">
      <c r="A9" s="2" t="s">
        <v>18</v>
      </c>
      <c r="B9">
        <v>-0.1970092</v>
      </c>
      <c r="C9" s="3" t="s">
        <v>19</v>
      </c>
    </row>
    <row r="10" spans="1:10" ht="28.8" x14ac:dyDescent="0.3">
      <c r="A10" s="2" t="s">
        <v>20</v>
      </c>
      <c r="B10">
        <v>0.31568849999999998</v>
      </c>
      <c r="C10" s="3" t="s">
        <v>21</v>
      </c>
    </row>
    <row r="11" spans="1:10" ht="28.8" x14ac:dyDescent="0.3">
      <c r="A11" s="17" t="s">
        <v>27</v>
      </c>
      <c r="B11" s="17">
        <v>0.99</v>
      </c>
      <c r="C11" s="18" t="s">
        <v>29</v>
      </c>
    </row>
    <row r="12" spans="1:10" x14ac:dyDescent="0.3">
      <c r="A12" s="2" t="s">
        <v>28</v>
      </c>
      <c r="B12" s="2">
        <v>0.99</v>
      </c>
      <c r="C12" s="3" t="s">
        <v>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38"/>
  <sheetViews>
    <sheetView tabSelected="1" topLeftCell="A18" workbookViewId="0">
      <selection activeCell="N38" sqref="N38"/>
    </sheetView>
  </sheetViews>
  <sheetFormatPr defaultRowHeight="14.4" x14ac:dyDescent="0.3"/>
  <cols>
    <col min="2" max="2" width="53" bestFit="1" customWidth="1"/>
    <col min="6" max="6" width="8.88671875" customWidth="1"/>
  </cols>
  <sheetData>
    <row r="1" spans="1:24" ht="28.8" x14ac:dyDescent="0.3">
      <c r="A1" t="s">
        <v>3</v>
      </c>
      <c r="B1" s="1" t="s">
        <v>4</v>
      </c>
      <c r="D1" s="36" t="s">
        <v>115</v>
      </c>
      <c r="E1" s="36"/>
      <c r="F1" s="36"/>
      <c r="G1" s="36"/>
      <c r="H1" s="36"/>
      <c r="I1" s="36"/>
      <c r="J1" s="36"/>
      <c r="K1" s="36"/>
      <c r="L1" s="36"/>
      <c r="M1" s="36"/>
      <c r="N1" s="36"/>
      <c r="O1" s="36"/>
      <c r="P1" s="36"/>
      <c r="Q1" s="36"/>
      <c r="R1" s="36"/>
      <c r="S1" s="36"/>
      <c r="T1" s="36"/>
    </row>
    <row r="2" spans="1:24" x14ac:dyDescent="0.3">
      <c r="B2" t="s">
        <v>23</v>
      </c>
      <c r="D2" s="1"/>
      <c r="E2" s="1"/>
      <c r="F2" s="33" t="s">
        <v>39</v>
      </c>
      <c r="G2" s="33"/>
      <c r="H2" s="33"/>
      <c r="I2" s="33"/>
      <c r="J2" s="33"/>
      <c r="K2" s="33"/>
      <c r="L2" s="33"/>
      <c r="M2" s="33"/>
      <c r="N2" s="6"/>
      <c r="O2" s="34" t="s">
        <v>40</v>
      </c>
      <c r="P2" s="35"/>
      <c r="Q2" s="35"/>
      <c r="R2" s="35"/>
      <c r="S2" s="35"/>
      <c r="T2" s="35"/>
    </row>
    <row r="3" spans="1:24" x14ac:dyDescent="0.3">
      <c r="B3" t="s">
        <v>24</v>
      </c>
      <c r="D3" s="1"/>
      <c r="E3" s="1"/>
      <c r="F3" s="37" t="s">
        <v>36</v>
      </c>
      <c r="G3" s="37"/>
      <c r="H3" s="37" t="s">
        <v>37</v>
      </c>
      <c r="I3" s="37"/>
      <c r="J3" s="37" t="s">
        <v>38</v>
      </c>
      <c r="K3" s="37"/>
      <c r="N3" s="5"/>
      <c r="O3" s="30"/>
      <c r="Q3" s="29" t="s">
        <v>36</v>
      </c>
      <c r="R3" s="29"/>
      <c r="S3" s="29" t="s">
        <v>37</v>
      </c>
      <c r="T3" s="29"/>
      <c r="U3" s="29" t="s">
        <v>38</v>
      </c>
      <c r="V3" s="29"/>
    </row>
    <row r="4" spans="1:24" x14ac:dyDescent="0.3">
      <c r="B4" t="s">
        <v>25</v>
      </c>
      <c r="F4" s="5" t="s">
        <v>41</v>
      </c>
      <c r="G4" s="5" t="s">
        <v>42</v>
      </c>
      <c r="H4" s="5" t="s">
        <v>41</v>
      </c>
      <c r="I4" s="5" t="s">
        <v>42</v>
      </c>
      <c r="J4" s="5" t="s">
        <v>41</v>
      </c>
      <c r="K4" s="5" t="s">
        <v>42</v>
      </c>
      <c r="N4" s="5"/>
      <c r="O4" s="30"/>
      <c r="Q4" s="10" t="s">
        <v>41</v>
      </c>
      <c r="R4" s="10" t="s">
        <v>42</v>
      </c>
      <c r="S4" s="10" t="s">
        <v>41</v>
      </c>
      <c r="T4" s="10" t="s">
        <v>42</v>
      </c>
      <c r="U4" s="10" t="s">
        <v>41</v>
      </c>
      <c r="V4" s="10" t="s">
        <v>42</v>
      </c>
      <c r="W4" s="5"/>
      <c r="X4" s="5"/>
    </row>
    <row r="5" spans="1:24" x14ac:dyDescent="0.3">
      <c r="D5" s="31" t="s">
        <v>31</v>
      </c>
      <c r="E5" t="s">
        <v>34</v>
      </c>
      <c r="F5" s="7" t="s">
        <v>111</v>
      </c>
      <c r="G5" s="7"/>
      <c r="H5" s="7" t="s">
        <v>112</v>
      </c>
      <c r="I5" s="7"/>
      <c r="J5" s="7" t="s">
        <v>80</v>
      </c>
      <c r="K5" s="7"/>
      <c r="N5" s="7"/>
      <c r="O5" s="30" t="s">
        <v>32</v>
      </c>
      <c r="P5" t="s">
        <v>34</v>
      </c>
      <c r="Q5" s="21" t="s">
        <v>99</v>
      </c>
      <c r="R5" s="12">
        <v>0.12574299999999999</v>
      </c>
      <c r="S5" s="21" t="s">
        <v>100</v>
      </c>
      <c r="T5" s="12">
        <v>0.14504900000000001</v>
      </c>
      <c r="U5" s="7">
        <v>-6.6610000000000003E-2</v>
      </c>
      <c r="V5" s="7">
        <v>7.6299000000000006E-2</v>
      </c>
    </row>
    <row r="6" spans="1:24" x14ac:dyDescent="0.3">
      <c r="D6" s="31"/>
      <c r="E6" t="s">
        <v>35</v>
      </c>
      <c r="F6" s="7" t="s">
        <v>107</v>
      </c>
      <c r="G6" s="7"/>
      <c r="H6" s="7" t="s">
        <v>108</v>
      </c>
      <c r="I6" s="7"/>
      <c r="J6" s="7">
        <v>1.5297E-2</v>
      </c>
      <c r="K6" s="7"/>
      <c r="N6" s="7"/>
      <c r="O6" s="30"/>
      <c r="P6" t="s">
        <v>35</v>
      </c>
      <c r="Q6" s="21" t="s">
        <v>102</v>
      </c>
      <c r="R6" s="12" t="s">
        <v>103</v>
      </c>
      <c r="S6" s="21" t="s">
        <v>104</v>
      </c>
      <c r="T6" s="12">
        <v>0.10704</v>
      </c>
      <c r="U6" s="22" t="s">
        <v>101</v>
      </c>
      <c r="V6" s="7">
        <v>6.7083000000000004E-2</v>
      </c>
    </row>
    <row r="7" spans="1:24" x14ac:dyDescent="0.3">
      <c r="D7" s="31"/>
      <c r="E7" t="s">
        <v>81</v>
      </c>
      <c r="F7" s="7" t="s">
        <v>85</v>
      </c>
      <c r="G7" s="7"/>
      <c r="H7" s="7" t="s">
        <v>86</v>
      </c>
      <c r="I7" s="7"/>
      <c r="J7" s="7" t="s">
        <v>83</v>
      </c>
      <c r="K7" s="7" t="s">
        <v>87</v>
      </c>
      <c r="N7" s="7"/>
      <c r="O7" s="30"/>
      <c r="P7" t="s">
        <v>81</v>
      </c>
      <c r="Q7" s="21" t="s">
        <v>90</v>
      </c>
      <c r="R7" s="12" t="s">
        <v>91</v>
      </c>
      <c r="S7" s="21" t="s">
        <v>92</v>
      </c>
      <c r="T7" s="12" t="s">
        <v>93</v>
      </c>
      <c r="U7" s="22" t="s">
        <v>94</v>
      </c>
      <c r="V7" s="23" t="s">
        <v>95</v>
      </c>
      <c r="W7" s="7" t="s">
        <v>96</v>
      </c>
    </row>
    <row r="8" spans="1:24" x14ac:dyDescent="0.3">
      <c r="D8" s="32" t="s">
        <v>32</v>
      </c>
      <c r="E8" t="s">
        <v>34</v>
      </c>
      <c r="F8" s="7" t="s">
        <v>113</v>
      </c>
      <c r="G8" s="7"/>
      <c r="H8" s="7" t="s">
        <v>114</v>
      </c>
      <c r="I8" s="7"/>
      <c r="J8" s="7" t="s">
        <v>105</v>
      </c>
      <c r="K8" s="7"/>
      <c r="N8" s="7"/>
      <c r="O8" s="24"/>
      <c r="Q8" s="12"/>
      <c r="R8" s="12"/>
      <c r="S8" s="12"/>
      <c r="T8" s="12"/>
      <c r="U8" s="7"/>
    </row>
    <row r="9" spans="1:24" x14ac:dyDescent="0.3">
      <c r="D9" s="32"/>
      <c r="E9" t="s">
        <v>35</v>
      </c>
      <c r="F9" s="7" t="s">
        <v>109</v>
      </c>
      <c r="G9" s="7"/>
      <c r="H9" s="7" t="s">
        <v>110</v>
      </c>
      <c r="I9" s="7"/>
      <c r="J9" s="7" t="s">
        <v>106</v>
      </c>
      <c r="K9" s="7"/>
      <c r="N9" s="7"/>
      <c r="O9" s="24"/>
      <c r="Q9" s="12"/>
      <c r="R9" s="12"/>
      <c r="S9" s="12"/>
      <c r="T9" s="12"/>
      <c r="U9" s="7"/>
    </row>
    <row r="10" spans="1:24" x14ac:dyDescent="0.3">
      <c r="B10" t="s">
        <v>44</v>
      </c>
      <c r="D10" s="32"/>
      <c r="E10" t="s">
        <v>82</v>
      </c>
      <c r="F10" s="7" t="s">
        <v>88</v>
      </c>
      <c r="H10" s="7" t="s">
        <v>89</v>
      </c>
      <c r="J10" s="7" t="s">
        <v>84</v>
      </c>
      <c r="K10" t="s">
        <v>97</v>
      </c>
      <c r="O10" s="24"/>
      <c r="R10" s="12"/>
      <c r="S10" s="12"/>
      <c r="T10" s="12"/>
      <c r="U10" s="7"/>
    </row>
    <row r="11" spans="1:24" x14ac:dyDescent="0.3">
      <c r="B11" t="s">
        <v>46</v>
      </c>
      <c r="D11" s="32" t="s">
        <v>33</v>
      </c>
      <c r="E11" t="s">
        <v>34</v>
      </c>
      <c r="F11" s="7"/>
      <c r="G11" s="7"/>
      <c r="H11" s="7"/>
      <c r="I11" s="7"/>
      <c r="J11" s="7"/>
      <c r="K11" s="7"/>
      <c r="L11" s="7"/>
      <c r="M11" s="7"/>
      <c r="N11" s="7"/>
      <c r="O11" s="11"/>
      <c r="P11" s="12"/>
      <c r="Q11" s="12"/>
      <c r="R11" s="12"/>
      <c r="S11" s="12"/>
      <c r="T11" s="12"/>
      <c r="U11" s="7"/>
    </row>
    <row r="12" spans="1:24" x14ac:dyDescent="0.3">
      <c r="B12" t="s">
        <v>45</v>
      </c>
      <c r="D12" s="32"/>
      <c r="E12" t="s">
        <v>35</v>
      </c>
      <c r="F12" s="7"/>
      <c r="G12" s="7"/>
      <c r="H12" s="7"/>
      <c r="I12" s="7"/>
      <c r="J12" s="7"/>
      <c r="K12" s="7"/>
      <c r="L12" s="7"/>
      <c r="M12" s="7"/>
      <c r="N12" s="7"/>
      <c r="O12" s="11"/>
      <c r="P12" s="12"/>
      <c r="Q12" s="12"/>
      <c r="R12" s="12"/>
      <c r="S12" s="12"/>
      <c r="T12" s="12"/>
      <c r="U12" s="7"/>
    </row>
    <row r="13" spans="1:24" x14ac:dyDescent="0.3">
      <c r="B13" t="s">
        <v>47</v>
      </c>
      <c r="D13" s="9"/>
      <c r="F13" s="7"/>
      <c r="G13" s="7"/>
      <c r="H13" s="7"/>
      <c r="I13" s="7"/>
      <c r="J13" s="7"/>
      <c r="K13" s="7"/>
      <c r="L13" s="7"/>
      <c r="M13" s="7"/>
      <c r="N13" s="7"/>
      <c r="O13" s="11"/>
      <c r="P13" s="12"/>
      <c r="Q13" s="12"/>
      <c r="R13" s="12"/>
      <c r="S13" s="12"/>
      <c r="T13" s="12"/>
      <c r="U13" s="7"/>
    </row>
    <row r="14" spans="1:24" x14ac:dyDescent="0.3">
      <c r="B14" t="s">
        <v>48</v>
      </c>
      <c r="D14" s="31" t="s">
        <v>31</v>
      </c>
      <c r="E14" t="s">
        <v>34</v>
      </c>
      <c r="F14" s="7" t="s">
        <v>50</v>
      </c>
      <c r="G14" s="7" t="s">
        <v>51</v>
      </c>
      <c r="H14" s="7" t="s">
        <v>59</v>
      </c>
      <c r="I14" s="7" t="s">
        <v>60</v>
      </c>
      <c r="J14" s="7"/>
      <c r="K14" s="7"/>
      <c r="L14" s="7"/>
      <c r="M14" s="7"/>
      <c r="N14" s="7"/>
      <c r="O14" s="11"/>
      <c r="P14" s="12"/>
      <c r="Q14" s="12"/>
      <c r="R14" s="12"/>
      <c r="S14" s="12"/>
      <c r="T14" s="12"/>
      <c r="U14" s="7"/>
    </row>
    <row r="15" spans="1:24" x14ac:dyDescent="0.3">
      <c r="B15" t="s">
        <v>49</v>
      </c>
      <c r="D15" s="31"/>
      <c r="E15" t="s">
        <v>35</v>
      </c>
      <c r="F15" s="7" t="s">
        <v>52</v>
      </c>
      <c r="G15" s="7">
        <v>-2.5910999999999998E-3</v>
      </c>
      <c r="H15" s="7" t="s">
        <v>61</v>
      </c>
      <c r="I15" s="7">
        <v>-2.4285999999999999E-3</v>
      </c>
      <c r="J15" s="7"/>
      <c r="K15" s="7"/>
      <c r="L15" s="7"/>
      <c r="M15" s="7"/>
      <c r="N15" s="7"/>
      <c r="O15" s="11"/>
      <c r="P15" s="12"/>
      <c r="Q15" s="12"/>
      <c r="R15" s="12"/>
      <c r="S15" s="12"/>
      <c r="T15" s="12"/>
      <c r="U15" s="7"/>
    </row>
    <row r="16" spans="1:24" x14ac:dyDescent="0.3">
      <c r="B16" s="8" t="s">
        <v>43</v>
      </c>
      <c r="D16" s="32" t="s">
        <v>32</v>
      </c>
      <c r="E16" t="s">
        <v>34</v>
      </c>
      <c r="F16" s="7" t="s">
        <v>53</v>
      </c>
      <c r="G16" s="7" t="s">
        <v>54</v>
      </c>
      <c r="H16" s="7" t="s">
        <v>62</v>
      </c>
      <c r="I16" s="7" t="s">
        <v>63</v>
      </c>
      <c r="J16" s="7"/>
      <c r="K16" s="7"/>
      <c r="L16" s="7"/>
      <c r="M16" s="7"/>
      <c r="N16" s="7"/>
      <c r="O16" s="11"/>
      <c r="P16" s="12"/>
      <c r="Q16" s="12"/>
      <c r="R16" s="12"/>
      <c r="S16" s="12"/>
      <c r="T16" s="12"/>
      <c r="U16" s="7"/>
    </row>
    <row r="17" spans="1:21" x14ac:dyDescent="0.3">
      <c r="D17" s="32"/>
      <c r="E17" t="s">
        <v>35</v>
      </c>
      <c r="F17" s="7" t="s">
        <v>55</v>
      </c>
      <c r="G17" s="7">
        <v>-2.2301999999999999E-2</v>
      </c>
      <c r="H17" s="7" t="s">
        <v>64</v>
      </c>
      <c r="I17" s="7">
        <v>-2.2072999999999999E-2</v>
      </c>
      <c r="J17" s="7"/>
      <c r="K17" s="7"/>
      <c r="L17" s="7"/>
      <c r="M17" s="7"/>
      <c r="N17" s="7"/>
      <c r="O17" s="11"/>
      <c r="P17" s="12"/>
      <c r="Q17" s="12"/>
      <c r="R17" s="12"/>
      <c r="S17" s="12"/>
      <c r="T17" s="12"/>
      <c r="U17" s="7"/>
    </row>
    <row r="18" spans="1:21" x14ac:dyDescent="0.3">
      <c r="D18" s="32" t="s">
        <v>33</v>
      </c>
      <c r="E18" t="s">
        <v>34</v>
      </c>
      <c r="F18" s="7" t="s">
        <v>56</v>
      </c>
      <c r="G18" s="7" t="s">
        <v>57</v>
      </c>
      <c r="H18" s="7" t="s">
        <v>65</v>
      </c>
      <c r="I18" s="7" t="s">
        <v>66</v>
      </c>
      <c r="J18" s="7"/>
      <c r="K18" s="7"/>
      <c r="L18" s="7"/>
      <c r="M18" s="7"/>
      <c r="N18" s="7"/>
      <c r="O18" s="11"/>
      <c r="P18" s="12"/>
      <c r="Q18" s="12"/>
      <c r="R18" s="12"/>
      <c r="S18" s="12"/>
      <c r="T18" s="12"/>
      <c r="U18" s="7"/>
    </row>
    <row r="19" spans="1:21" x14ac:dyDescent="0.3">
      <c r="D19" s="32"/>
      <c r="E19" t="s">
        <v>35</v>
      </c>
      <c r="F19" s="7" t="s">
        <v>58</v>
      </c>
      <c r="G19" s="7">
        <v>-5.5199999999999997E-3</v>
      </c>
      <c r="H19" s="7" t="s">
        <v>67</v>
      </c>
      <c r="I19" s="7">
        <v>-5.4238999999999997E-3</v>
      </c>
      <c r="J19" s="7"/>
      <c r="K19" s="7"/>
      <c r="L19" s="7"/>
      <c r="M19" s="7"/>
      <c r="N19" s="7"/>
      <c r="O19" s="11"/>
      <c r="P19" s="12"/>
      <c r="Q19" s="12"/>
      <c r="R19" s="12"/>
      <c r="S19" s="12"/>
      <c r="T19" s="12"/>
      <c r="U19" s="7"/>
    </row>
    <row r="22" spans="1:21" ht="115.2" x14ac:dyDescent="0.3">
      <c r="A22" s="19" t="s">
        <v>68</v>
      </c>
      <c r="B22" s="1" t="s">
        <v>125</v>
      </c>
      <c r="H22" t="s">
        <v>72</v>
      </c>
      <c r="I22" t="s">
        <v>73</v>
      </c>
      <c r="J22" t="s">
        <v>74</v>
      </c>
    </row>
    <row r="23" spans="1:21" ht="43.2" x14ac:dyDescent="0.3">
      <c r="B23" s="20" t="s">
        <v>69</v>
      </c>
      <c r="G23" t="s">
        <v>120</v>
      </c>
      <c r="H23" s="2">
        <v>0.26699746224049897</v>
      </c>
      <c r="I23">
        <f>0.93238167^'CN Parameters'!$B$9*1.43795959797891^'CN Parameters'!$B$10*H23</f>
        <v>0.30359615225276576</v>
      </c>
      <c r="J23">
        <f>0.84841024^'CN Parameters'!$B$9*1.11820469446547^'CN Parameters'!$B$10*I23</f>
        <v>0.32484723699374513</v>
      </c>
      <c r="K23" t="s">
        <v>75</v>
      </c>
    </row>
    <row r="24" spans="1:21" x14ac:dyDescent="0.3">
      <c r="G24" t="s">
        <v>118</v>
      </c>
      <c r="H24">
        <v>0.367981</v>
      </c>
      <c r="I24">
        <f>0.93238167^'CN Parameters'!$B$9*1.43795959797891^'CN Parameters'!$B$10*H24</f>
        <v>0.41842201332046719</v>
      </c>
      <c r="J24">
        <f>0.84841024^'CN Parameters'!$B$9*1.11820469446547^'CN Parameters'!$B$10*I24</f>
        <v>0.44771066403815241</v>
      </c>
    </row>
    <row r="25" spans="1:21" x14ac:dyDescent="0.3">
      <c r="B25" t="s">
        <v>76</v>
      </c>
      <c r="G25" t="s">
        <v>119</v>
      </c>
      <c r="H25">
        <v>0.16769400000000001</v>
      </c>
      <c r="I25">
        <f>0.93238167^'CN Parameters'!$B$9*1.43795959797891^'CN Parameters'!$B$10*H25</f>
        <v>0.19068066313685333</v>
      </c>
      <c r="J25">
        <f>0.84841024^'CN Parameters'!$B$9*1.11820469446547^'CN Parameters'!$B$10*I25</f>
        <v>0.20402790387333566</v>
      </c>
    </row>
    <row r="26" spans="1:21" x14ac:dyDescent="0.3">
      <c r="B26" t="s">
        <v>77</v>
      </c>
    </row>
    <row r="27" spans="1:21" x14ac:dyDescent="0.3">
      <c r="B27" t="s">
        <v>78</v>
      </c>
    </row>
    <row r="28" spans="1:21" x14ac:dyDescent="0.3">
      <c r="B28" t="s">
        <v>79</v>
      </c>
    </row>
    <row r="30" spans="1:21" x14ac:dyDescent="0.3">
      <c r="H30" t="s">
        <v>126</v>
      </c>
      <c r="I30" t="s">
        <v>127</v>
      </c>
      <c r="J30" t="s">
        <v>128</v>
      </c>
      <c r="M30" t="s">
        <v>132</v>
      </c>
      <c r="N30" s="13">
        <v>5.741885E-2</v>
      </c>
    </row>
    <row r="31" spans="1:21" x14ac:dyDescent="0.3">
      <c r="G31" t="s">
        <v>120</v>
      </c>
      <c r="H31" s="2">
        <v>0.83599999999999997</v>
      </c>
      <c r="I31">
        <f>0.93238167^'CN Parameters'!$B$4*H31</f>
        <v>0.83264596961553494</v>
      </c>
      <c r="J31">
        <f>0.84841024^'CN Parameters'!$B$4*I31</f>
        <v>0.82482348342886136</v>
      </c>
    </row>
    <row r="32" spans="1:21" x14ac:dyDescent="0.3">
      <c r="G32" t="s">
        <v>118</v>
      </c>
      <c r="H32">
        <v>0.85</v>
      </c>
      <c r="I32">
        <f>0.93238167^'CN Parameters'!$B$4*H32</f>
        <v>0.84658980164258935</v>
      </c>
      <c r="J32">
        <f>0.84841024^'CN Parameters'!$B$4*I32</f>
        <v>0.83863631688341167</v>
      </c>
    </row>
    <row r="33" spans="7:14" x14ac:dyDescent="0.3">
      <c r="G33" t="s">
        <v>119</v>
      </c>
      <c r="H33">
        <v>0.83</v>
      </c>
      <c r="I33">
        <f>0.93238167^'CN Parameters'!$B$4*H33</f>
        <v>0.8266700416039402</v>
      </c>
      <c r="J33">
        <f>0.84841024^'CN Parameters'!$B$4*I33</f>
        <v>0.81890369766262561</v>
      </c>
    </row>
    <row r="35" spans="7:14" x14ac:dyDescent="0.3">
      <c r="H35" t="s">
        <v>129</v>
      </c>
      <c r="I35" t="s">
        <v>130</v>
      </c>
      <c r="J35" t="s">
        <v>131</v>
      </c>
      <c r="M35" t="s">
        <v>133</v>
      </c>
      <c r="N35">
        <v>0.15286749999999999</v>
      </c>
    </row>
    <row r="36" spans="7:14" x14ac:dyDescent="0.3">
      <c r="G36" t="s">
        <v>120</v>
      </c>
      <c r="H36" s="2">
        <v>0.69399999999999995</v>
      </c>
      <c r="I36">
        <f>0.93238167^'CN Parameters'!$B$7*H36</f>
        <v>0.68661192117757186</v>
      </c>
      <c r="J36">
        <f>0.84841024^'CN Parameters'!$B$7*I36</f>
        <v>0.66957233616769962</v>
      </c>
    </row>
    <row r="37" spans="7:14" x14ac:dyDescent="0.3">
      <c r="G37" t="s">
        <v>118</v>
      </c>
      <c r="H37">
        <v>0.71499999999999997</v>
      </c>
      <c r="I37">
        <f>0.93238167^'CN Parameters'!$B$7*H37</f>
        <v>0.70738836259648974</v>
      </c>
      <c r="J37">
        <f>0.84841024^'CN Parameters'!$B$7*I37</f>
        <v>0.68983317054741389</v>
      </c>
    </row>
    <row r="38" spans="7:14" x14ac:dyDescent="0.3">
      <c r="G38" t="s">
        <v>119</v>
      </c>
      <c r="H38">
        <v>0.67500000000000004</v>
      </c>
      <c r="I38">
        <f>0.93238167^'CN Parameters'!$B$7*H38</f>
        <v>0.66781418846521767</v>
      </c>
      <c r="J38">
        <f>0.84841024^'CN Parameters'!$B$7*I38</f>
        <v>0.65124110506224397</v>
      </c>
    </row>
  </sheetData>
  <mergeCells count="17">
    <mergeCell ref="F2:M2"/>
    <mergeCell ref="O2:T2"/>
    <mergeCell ref="Q3:R3"/>
    <mergeCell ref="S3:T3"/>
    <mergeCell ref="D1:T1"/>
    <mergeCell ref="F3:G3"/>
    <mergeCell ref="H3:I3"/>
    <mergeCell ref="J3:K3"/>
    <mergeCell ref="U3:V3"/>
    <mergeCell ref="O3:O4"/>
    <mergeCell ref="D14:D15"/>
    <mergeCell ref="D16:D17"/>
    <mergeCell ref="D18:D19"/>
    <mergeCell ref="D5:D7"/>
    <mergeCell ref="D8:D10"/>
    <mergeCell ref="O5:O7"/>
    <mergeCell ref="D11:D12"/>
  </mergeCells>
  <hyperlinks>
    <hyperlink ref="B23" r:id="rId1" display="http://localhost:8888/notebooks/Displacement/00 Simulation/01 Refinery module/Refinery exploration.ipynb" xr:uid="{EAEFA26D-87C4-4EC4-A150-25C1BAB514DD}"/>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Parameters old</vt:lpstr>
      <vt:lpstr>Parameters old 2</vt:lpstr>
      <vt:lpstr>CN Parameters old 2</vt:lpstr>
      <vt:lpstr>RW Parameters old 2</vt:lpstr>
      <vt:lpstr>Parameters</vt:lpstr>
      <vt:lpstr>CN Parameters</vt:lpstr>
      <vt:lpstr>RW Parameters</vt:lpstr>
      <vt:lpstr>Note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2021-05-18T14:20:43Z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{295EDD13-B1BD-41DF-9C14-86641B102CF8}</vt:lpwstr>
  </property>
</Properties>
</file>