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6"/>
  <workbookPr filterPrivacy="1"/>
  <xr:revisionPtr revIDLastSave="0" documentId="8_{5F384113-BD3D-4CD0-948E-6691509624D2}" xr6:coauthVersionLast="36" xr6:coauthVersionMax="36" xr10:uidLastSave="{00000000-0000-0000-0000-000000000000}"/>
  <bookViews>
    <workbookView xWindow="0" yWindow="0" windowWidth="22260" windowHeight="12048" activeTab="2" xr2:uid="{00000000-000D-0000-FFFF-FFFF00000000}"/>
  </bookViews>
  <sheets>
    <sheet name="Parameters old" sheetId="1" r:id="rId1"/>
    <sheet name="Parameters" sheetId="3" r:id="rId2"/>
    <sheet name="CN Parameters" sheetId="4" r:id="rId3"/>
    <sheet name="RW Parameters" sheetId="5" r:id="rId4"/>
    <sheet name="Note" sheetId="2" r:id="rId5"/>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4" l="1"/>
  <c r="E8" i="4" s="1"/>
  <c r="E5" i="4"/>
  <c r="F5" i="4"/>
  <c r="G4" i="4"/>
  <c r="F6" i="4" l="1"/>
  <c r="E2" i="4" l="1"/>
  <c r="I24" i="2"/>
  <c r="J24" i="2" s="1"/>
  <c r="I25" i="2"/>
  <c r="J25" i="2" s="1"/>
  <c r="I23" i="2"/>
  <c r="J23" i="2" s="1"/>
  <c r="J3" i="4"/>
  <c r="H3" i="4" l="1"/>
  <c r="F4" i="4"/>
  <c r="F3" i="4"/>
  <c r="G3" i="4" l="1"/>
  <c r="H4" i="4" s="1"/>
  <c r="I4" i="4" s="1"/>
  <c r="F2" i="4" l="1"/>
</calcChain>
</file>

<file path=xl/sharedStrings.xml><?xml version="1.0" encoding="utf-8"?>
<sst xmlns="http://schemas.openxmlformats.org/spreadsheetml/2006/main" count="219" uniqueCount="128">
  <si>
    <t>Value</t>
  </si>
  <si>
    <t>Item</t>
  </si>
  <si>
    <t>2016 total secondary production/2016 total production of all secondary refineries, from WoodMac data</t>
  </si>
  <si>
    <t>Note:</t>
  </si>
  <si>
    <t>Primary refineries mean 100% primary. Secondary refineries include 100% secondary and mixed</t>
  </si>
  <si>
    <t>Capacity utilization rate of all primary refineries, WoodMac</t>
  </si>
  <si>
    <t>Capacity utilization rate of all secondary refineries, WoodMac</t>
  </si>
  <si>
    <t>pri cap</t>
  </si>
  <si>
    <t>pri CU</t>
  </si>
  <si>
    <t>sec cap</t>
  </si>
  <si>
    <t>sec CU</t>
  </si>
  <si>
    <t>sec ratio</t>
  </si>
  <si>
    <t>Primary CU long run elasticity to TCRC</t>
  </si>
  <si>
    <t>sec CU TCRC elas</t>
  </si>
  <si>
    <t>pri CU TCRC elas</t>
  </si>
  <si>
    <t>Calculated primary capacity</t>
  </si>
  <si>
    <t>Calculated secondary capacity</t>
  </si>
  <si>
    <t>Secondary CU long run elasticity to TCRC</t>
  </si>
  <si>
    <t>sec ratio TCRC elas</t>
  </si>
  <si>
    <t>Secondary ratio long run elasticity to TCRC</t>
  </si>
  <si>
    <t>sec ratio SP2 elas</t>
  </si>
  <si>
    <t>Secondary ratio long run elasticity to No.2 spread to LME price</t>
  </si>
  <si>
    <t>Description</t>
  </si>
  <si>
    <t>All numbers for 2017 as initial year</t>
  </si>
  <si>
    <t>0.3 secondary ratio based on using 2016 number to simulate 2017</t>
  </si>
  <si>
    <t>Then everything is calibrated to ICSG</t>
  </si>
  <si>
    <t>2018 Capacity utilization rate of all refineries, from ICSG data downloaded from TR</t>
  </si>
  <si>
    <t>Simulated sec ratio based on 2016 initial data</t>
  </si>
  <si>
    <t>conc to cathode eff</t>
  </si>
  <si>
    <t>scrap to cathode eff</t>
  </si>
  <si>
    <t>Concentrate to cathode efficiency, global average taking SX-EW into account</t>
  </si>
  <si>
    <t>No.2 scrap to cathode efficiency</t>
  </si>
  <si>
    <t>Primary</t>
  </si>
  <si>
    <t>Secondary</t>
  </si>
  <si>
    <t>Total</t>
  </si>
  <si>
    <t>China</t>
  </si>
  <si>
    <t>RoW</t>
  </si>
  <si>
    <t>Random effects</t>
  </si>
  <si>
    <t>Fixed effects</t>
  </si>
  <si>
    <t>Dynamic models</t>
  </si>
  <si>
    <t>Capacity Utilization</t>
  </si>
  <si>
    <t>Secondary Ratio</t>
  </si>
  <si>
    <t>TCRC</t>
  </si>
  <si>
    <t>SP2</t>
  </si>
  <si>
    <t>Signif. codes:  0 ‘***’ 0.001 ‘**’ 0.01 ‘*’ 0.05 ‘.’ 0.1 ‘ ’ 1</t>
  </si>
  <si>
    <t>China primary: n = 47, N = 492, T = 1-26</t>
  </si>
  <si>
    <t>China total: n = 94, N = 1070, T = 1-26</t>
  </si>
  <si>
    <t>China secondary: n = 47, N = 578, T = 2-26</t>
  </si>
  <si>
    <t>RoW primary: n = 253, N = 3706, T = 1-26</t>
  </si>
  <si>
    <t>RoW secondary: n = 25, N = 585, T = 14-26</t>
  </si>
  <si>
    <t>RoW total: n = 253, N = 3706, T = 1-26</t>
  </si>
  <si>
    <t>.220701***</t>
  </si>
  <si>
    <t>.120424*</t>
  </si>
  <si>
    <t>.0679598***</t>
  </si>
  <si>
    <t>.434244***</t>
  </si>
  <si>
    <t>.211011***</t>
  </si>
  <si>
    <t>.163818***</t>
  </si>
  <si>
    <t>.341035***</t>
  </si>
  <si>
    <t>.173196***</t>
  </si>
  <si>
    <t>.081771***</t>
  </si>
  <si>
    <t>.222416***</t>
  </si>
  <si>
    <t>0.119629*</t>
  </si>
  <si>
    <t>0.0729504***</t>
  </si>
  <si>
    <t>.456746***</t>
  </si>
  <si>
    <t>.212741***</t>
  </si>
  <si>
    <t>.163454***</t>
  </si>
  <si>
    <t>.351576***</t>
  </si>
  <si>
    <t>.172669***</t>
  </si>
  <si>
    <t>.0866647***</t>
  </si>
  <si>
    <t>John Note:</t>
  </si>
  <si>
    <t>For China and RoW, I used the 2016 WoodMac data to estimate the primary and secondary capacity fractions of the world for CN and RoW, as well as the ratio of CU of each with global, assuming that these 2016 ratios held to present</t>
  </si>
  <si>
    <t>Work done here: http://localhost:8888/notebooks/Displacement/00%20Simulation/01%20Refinery%20module/Refinery%20exploration.ipynb</t>
  </si>
  <si>
    <t>2018 Capacity utilization rate of all refineries, from ICSG data downloaded from TR, scaled by CN:World CU ratio from WoodMac - same done for all other CUs</t>
  </si>
  <si>
    <t>2018 Capacity utilization rate of all refineries, from ICSG data downloaded from TR, scaled by RoW:World CU ratio from WoodMac - same done for all other CUs</t>
  </si>
  <si>
    <t>2016 Sec Ratio</t>
  </si>
  <si>
    <t>2017 Sec Ratio (simulated)</t>
  </si>
  <si>
    <t>2018 Sec Ratio (simulated)</t>
  </si>
  <si>
    <t xml:space="preserve"> =(TCRC.2018/TCRC.2017)^TCRC.elasticity*(SP2.2018/SP2.2017)^SP2.elasticity*2017.Sec.Ratio</t>
  </si>
  <si>
    <t>TR=C:\Users\ryter\Dropbox (MIT)\Group Research Folder_Olivetti\Displacement\00 Simulation\05 Data Compile\TR data 20190410.xlsx</t>
  </si>
  <si>
    <t>WoodMac=C:\Users\ryter\Dropbox (MIT)\Group Research Folder_Olivetti\Displacement\00 Simulation\01 Refinery module\Data\Refinery CU original data.xls</t>
  </si>
  <si>
    <t>Processing done in: http://localhost:8888/notebooks/Displacement/00%20Simulation/01%20Refinery%20module/Refinery%20exploration.ipynb</t>
  </si>
  <si>
    <t>Other notes in: C:\Users\ryter\Dropbox (MIT)\Group Research Folder_Olivetti\Displacement\04 Presentations\John\Weekly Updates\20200225 China Historical Behavior.pptx</t>
  </si>
  <si>
    <t>.095183(.)</t>
  </si>
  <si>
    <t>OG (Original Global)</t>
  </si>
  <si>
    <t>OG</t>
  </si>
  <si>
    <t>.024556(.)</t>
  </si>
  <si>
    <t>.075196***</t>
  </si>
  <si>
    <t>0.060151**</t>
  </si>
  <si>
    <t>0.062938**</t>
  </si>
  <si>
    <t>Eventual: 0.0574</t>
  </si>
  <si>
    <t>.263796***</t>
  </si>
  <si>
    <t>.275161***</t>
  </si>
  <si>
    <t>-0.093841**</t>
  </si>
  <si>
    <t>.110979(.)</t>
  </si>
  <si>
    <t>-.091734**</t>
  </si>
  <si>
    <t>.120289(.)</t>
  </si>
  <si>
    <t>-.125814**</t>
  </si>
  <si>
    <t>.201605**</t>
  </si>
  <si>
    <t>eventual values: TCRC: -.1970, SP2: .3157</t>
  </si>
  <si>
    <t>Eventual: 0.1529</t>
  </si>
  <si>
    <t>Simulated 2018 sec ratio based on 2016 initial data</t>
  </si>
  <si>
    <t>-.082663*</t>
  </si>
  <si>
    <t>-.065508(.)</t>
  </si>
  <si>
    <t>-.085355(.)</t>
  </si>
  <si>
    <t>-.106097*</t>
  </si>
  <si>
    <t>.101823(.)</t>
  </si>
  <si>
    <t>-.106470*</t>
  </si>
  <si>
    <t>.062208(.)</t>
  </si>
  <si>
    <t>.065174**</t>
  </si>
  <si>
    <t>.019679(.)</t>
  </si>
  <si>
    <t>.020447(.)</t>
  </si>
  <si>
    <t>.092052**</t>
  </si>
  <si>
    <t>.092878**</t>
  </si>
  <si>
    <t>.101933**</t>
  </si>
  <si>
    <t>.105282**</t>
  </si>
  <si>
    <t>.175878**</t>
  </si>
  <si>
    <t>.184048**</t>
  </si>
  <si>
    <t>Results from R on panel regressions of WoodMac refinery data for China and RoW individual refineries from 1993-2016, done at the end of Jupyter notebook Refinery exploration.ipynb, everything is log-log, and CU was previously only dependent on TCRC, so doing that first here:</t>
  </si>
  <si>
    <t>Calculated primary capacity, global minus China, then scaled by 0.893921 to reach historical ICSG 2018 value</t>
  </si>
  <si>
    <t>Calculated secondary capacity, global minus China, then scaled by 0.893921 to reach historical ICSG 2018 value</t>
  </si>
  <si>
    <t>primary prod:</t>
  </si>
  <si>
    <t>sec prod</t>
  </si>
  <si>
    <t>Calculated secondary capacity from global times 2016 WoodMac CN secondary fraction, then scaled to match historical WoodMac data by multiplying by 1.129012 (sufficiently similar and more years than SMM)</t>
  </si>
  <si>
    <t>Calculated primary capacity based on above and CN primary fraction in 2016 WoodMac data, then scaled to match historical WoodMac data by multiplying by 1.129012 (sufficiently similar and more years than SMM)</t>
  </si>
  <si>
    <t>Secondary ratio from WoodMac</t>
  </si>
  <si>
    <t>CN:</t>
  </si>
  <si>
    <t>RoW:</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</si>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</sst>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font>
    <font>
      <sz val="9"/>
      <color theme="1"/>
      <name val="Calibri"/>
      <family val="2"/>
      <scheme val="minor"/>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thin">
        <color indexed="64"/>
      </left>
      <right/>
      <top/>
      <bottom/>
      <diagonal/>
    </border>
    <border>
      <left/>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1" fillId="0" borderId="0" xfId="0" applyFont="1" applyFill="1" applyBorder="1" applyAlignment="1" applyProtection="1"/>
    <xf numFmtId="0" fontId="0" fillId="0" borderId="0" xfId="0" applyAlignment="1">
      <alignment horizontal="center"/>
    </xf>
    <xf numFmtId="0" fontId="0" fillId="0" borderId="0" xfId="0" applyAlignment="1">
      <alignment horizontal="center" wrapText="1"/>
    </xf>
    <xf numFmtId="0" fontId="2" fillId="0" borderId="0" xfId="0" applyFont="1"/>
    <xf numFmtId="0" fontId="3" fillId="0" borderId="0" xfId="0" applyFont="1" applyAlignment="1">
      <alignment vertical="center"/>
    </xf>
    <xf numFmtId="0" fontId="0" fillId="0" borderId="0" xfId="0" applyAlignment="1">
      <alignment horizontal="center" vertical="center"/>
    </xf>
    <xf numFmtId="0" fontId="0" fillId="0" borderId="0" xfId="0" applyBorder="1" applyAlignment="1">
      <alignment horizontal="center"/>
    </xf>
    <xf numFmtId="0" fontId="2" fillId="0" borderId="1" xfId="0" applyFont="1" applyBorder="1"/>
    <xf numFmtId="0" fontId="2" fillId="0" borderId="0" xfId="0" applyFont="1" applyBorder="1"/>
    <xf numFmtId="0" fontId="0" fillId="0" borderId="0" xfId="0" applyBorder="1" applyAlignment="1">
      <alignment vertical="center"/>
    </xf>
    <xf numFmtId="0" fontId="0" fillId="0" borderId="0" xfId="0"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0" xfId="0" applyAlignment="1">
      <alignment vertical="top"/>
    </xf>
    <xf numFmtId="0" fontId="4" fillId="0" borderId="0" xfId="1" applyAlignment="1">
      <alignment wrapText="1"/>
    </xf>
    <xf numFmtId="0" fontId="2" fillId="0" borderId="0" xfId="0" quotePrefix="1" applyFont="1" applyBorder="1"/>
    <xf numFmtId="0" fontId="2" fillId="0" borderId="0" xfId="0" quotePrefix="1" applyFont="1"/>
    <xf numFmtId="0" fontId="2" fillId="0" borderId="0" xfId="0" applyFont="1" applyFill="1" applyBorder="1"/>
    <xf numFmtId="0" fontId="0" fillId="0" borderId="1" xfId="0" applyBorder="1" applyAlignment="1">
      <alignment vertical="center"/>
    </xf>
    <xf numFmtId="0" fontId="0" fillId="0" borderId="0" xfId="0" applyAlignment="1">
      <alignment horizontal="center" wrapText="1"/>
    </xf>
    <xf numFmtId="0" fontId="0" fillId="0" borderId="1" xfId="0" applyBorder="1" applyAlignment="1">
      <alignment horizontal="center" wrapText="1"/>
    </xf>
    <xf numFmtId="0" fontId="0" fillId="0" borderId="0" xfId="0" applyBorder="1" applyAlignment="1">
      <alignment horizontal="center" wrapText="1"/>
    </xf>
    <xf numFmtId="0" fontId="0" fillId="0" borderId="0" xfId="0" applyBorder="1" applyAlignment="1">
      <alignment horizontal="center"/>
    </xf>
    <xf numFmtId="0" fontId="0" fillId="0" borderId="0" xfId="0" applyAlignment="1">
      <alignment vertical="top" wrapText="1"/>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localhost:8888/notebooks/Displacement/00%20Simulation/01%20Refinery%20module/Refinery%20exploration.ipy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8" sqref="B8"/>
    </sheetView>
  </sheetViews>
  <sheetFormatPr defaultColWidth="8.88671875" defaultRowHeight="14.4" x14ac:dyDescent="0.3"/>
  <cols>
    <col min="1" max="1" width="15.88671875" style="2" bestFit="1" customWidth="1"/>
    <col min="2" max="2" width="7.6640625" style="2" customWidth="1"/>
    <col min="3" max="3" width="33.44140625" style="3" customWidth="1"/>
    <col min="4" max="5" width="8.88671875" style="2"/>
    <col min="6" max="6" width="11.109375" style="2" customWidth="1"/>
    <col min="7" max="16384" width="8.88671875" style="2"/>
  </cols>
  <sheetData>
    <row r="1" spans="1:3" x14ac:dyDescent="0.3">
      <c r="A1" s="2" t="s">
        <v>1</v>
      </c>
      <c r="B1" s="2" t="s">
        <v>0</v>
      </c>
      <c r="C1" s="3" t="s">
        <v>22</v>
      </c>
    </row>
    <row r="2" spans="1:3" x14ac:dyDescent="0.3">
      <c r="A2" s="2" t="s">
        <v>7</v>
      </c>
      <c r="B2" s="2">
        <v>10592.150378406999</v>
      </c>
      <c r="C2" s="3" t="s">
        <v>15</v>
      </c>
    </row>
    <row r="3" spans="1:3" ht="28.8" x14ac:dyDescent="0.3">
      <c r="A3" s="2" t="s">
        <v>8</v>
      </c>
      <c r="B3" s="2">
        <v>0.83629492695614904</v>
      </c>
      <c r="C3" s="3" t="s">
        <v>5</v>
      </c>
    </row>
    <row r="4" spans="1:3" x14ac:dyDescent="0.3">
      <c r="A4" s="2" t="s">
        <v>14</v>
      </c>
      <c r="B4" s="2">
        <v>5.741885E-2</v>
      </c>
      <c r="C4" s="3" t="s">
        <v>12</v>
      </c>
    </row>
    <row r="5" spans="1:3" x14ac:dyDescent="0.3">
      <c r="A5" s="2" t="s">
        <v>9</v>
      </c>
      <c r="B5" s="2">
        <v>20863.018520735</v>
      </c>
      <c r="C5" s="3" t="s">
        <v>16</v>
      </c>
    </row>
    <row r="6" spans="1:3" ht="28.8" x14ac:dyDescent="0.3">
      <c r="A6" s="2" t="s">
        <v>10</v>
      </c>
      <c r="B6" s="2">
        <v>0.69402892772159397</v>
      </c>
      <c r="C6" s="3" t="s">
        <v>6</v>
      </c>
    </row>
    <row r="7" spans="1:3" ht="28.8" x14ac:dyDescent="0.3">
      <c r="A7" s="2" t="s">
        <v>13</v>
      </c>
      <c r="B7" s="2">
        <v>0.15286749999999999</v>
      </c>
      <c r="C7" s="3" t="s">
        <v>17</v>
      </c>
    </row>
    <row r="8" spans="1:3" ht="43.2" x14ac:dyDescent="0.3">
      <c r="A8" s="2" t="s">
        <v>11</v>
      </c>
      <c r="B8" s="2">
        <v>0.26699746224049897</v>
      </c>
      <c r="C8" s="3" t="s">
        <v>2</v>
      </c>
    </row>
    <row r="9" spans="1:3" ht="28.8" x14ac:dyDescent="0.3">
      <c r="A9" s="2" t="s">
        <v>18</v>
      </c>
      <c r="B9" s="2">
        <v>-0.1970092</v>
      </c>
      <c r="C9" s="3" t="s">
        <v>19</v>
      </c>
    </row>
    <row r="10" spans="1:3" ht="28.8" x14ac:dyDescent="0.3">
      <c r="A10" s="2" t="s">
        <v>20</v>
      </c>
      <c r="B10" s="2">
        <v>0.31568849999999998</v>
      </c>
      <c r="C10" s="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
  <sheetViews>
    <sheetView workbookViewId="0">
      <selection activeCell="C21" sqref="C21"/>
    </sheetView>
  </sheetViews>
  <sheetFormatPr defaultRowHeight="14.4" x14ac:dyDescent="0.3"/>
  <cols>
    <col min="1" max="1" width="18.6640625" bestFit="1" customWidth="1"/>
    <col min="2" max="2" width="12" bestFit="1" customWidth="1"/>
    <col min="3" max="3" width="39" customWidth="1"/>
  </cols>
  <sheetData>
    <row r="1" spans="1:8" x14ac:dyDescent="0.3">
      <c r="A1" s="2" t="s">
        <v>1</v>
      </c>
      <c r="B1" s="2" t="s">
        <v>0</v>
      </c>
      <c r="C1" s="3" t="s">
        <v>22</v>
      </c>
    </row>
    <row r="2" spans="1:8" x14ac:dyDescent="0.3">
      <c r="A2" s="2" t="s">
        <v>7</v>
      </c>
      <c r="B2" s="2">
        <v>7470.609912343325</v>
      </c>
      <c r="C2" s="3" t="s">
        <v>15</v>
      </c>
    </row>
    <row r="3" spans="1:8" ht="28.8" x14ac:dyDescent="0.3">
      <c r="A3" s="2" t="s">
        <v>8</v>
      </c>
      <c r="B3">
        <v>0.86005052327679599</v>
      </c>
      <c r="C3" s="3" t="s">
        <v>26</v>
      </c>
    </row>
    <row r="4" spans="1:8" x14ac:dyDescent="0.3">
      <c r="A4" s="2" t="s">
        <v>14</v>
      </c>
      <c r="B4" s="2">
        <v>5.741885E-2</v>
      </c>
      <c r="C4" s="3" t="s">
        <v>12</v>
      </c>
      <c r="H4" s="4"/>
    </row>
    <row r="5" spans="1:8" x14ac:dyDescent="0.3">
      <c r="A5" s="2" t="s">
        <v>9</v>
      </c>
      <c r="B5" s="2">
        <v>15426.642910630822</v>
      </c>
      <c r="C5" s="3" t="s">
        <v>16</v>
      </c>
    </row>
    <row r="6" spans="1:8" ht="28.8" x14ac:dyDescent="0.3">
      <c r="A6" s="2" t="s">
        <v>10</v>
      </c>
      <c r="B6">
        <v>0.86005052327679554</v>
      </c>
      <c r="C6" s="3" t="s">
        <v>26</v>
      </c>
    </row>
    <row r="7" spans="1:8" x14ac:dyDescent="0.3">
      <c r="A7" s="2" t="s">
        <v>13</v>
      </c>
      <c r="B7" s="2">
        <v>0.15286749999999999</v>
      </c>
      <c r="C7" s="3" t="s">
        <v>17</v>
      </c>
    </row>
    <row r="8" spans="1:8" ht="28.8" x14ac:dyDescent="0.3">
      <c r="A8" s="2" t="s">
        <v>11</v>
      </c>
      <c r="B8" s="2">
        <v>0.32500000000000001</v>
      </c>
      <c r="C8" s="3" t="s">
        <v>100</v>
      </c>
    </row>
    <row r="9" spans="1:8" x14ac:dyDescent="0.3">
      <c r="A9" s="2" t="s">
        <v>18</v>
      </c>
      <c r="B9" s="2">
        <v>-0.1970092</v>
      </c>
      <c r="C9" s="3" t="s">
        <v>19</v>
      </c>
    </row>
    <row r="10" spans="1:8" ht="28.8" x14ac:dyDescent="0.3">
      <c r="A10" s="2" t="s">
        <v>20</v>
      </c>
      <c r="B10" s="2">
        <v>0.31568849999999998</v>
      </c>
      <c r="C10" s="3" t="s">
        <v>21</v>
      </c>
    </row>
    <row r="11" spans="1:8" ht="28.8" x14ac:dyDescent="0.3">
      <c r="A11" s="2" t="s">
        <v>28</v>
      </c>
      <c r="B11" s="2">
        <v>0.99</v>
      </c>
      <c r="C11" s="3" t="s">
        <v>30</v>
      </c>
    </row>
    <row r="12" spans="1:8" x14ac:dyDescent="0.3">
      <c r="A12" s="2" t="s">
        <v>29</v>
      </c>
      <c r="B12" s="2">
        <v>0.99</v>
      </c>
      <c r="C12" s="3"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9306-1FDF-4F67-A2FA-7B41C555A879}">
  <dimension ref="A1:J12"/>
  <sheetViews>
    <sheetView tabSelected="1" workbookViewId="0">
      <selection activeCell="E7" sqref="E7"/>
    </sheetView>
  </sheetViews>
  <sheetFormatPr defaultRowHeight="14.4" x14ac:dyDescent="0.3"/>
  <cols>
    <col min="1" max="1" width="18.6640625" bestFit="1" customWidth="1"/>
    <col min="2" max="2" width="12" bestFit="1" customWidth="1"/>
    <col min="3" max="3" width="39" customWidth="1"/>
  </cols>
  <sheetData>
    <row r="1" spans="1:10" x14ac:dyDescent="0.3">
      <c r="A1" s="2" t="s">
        <v>1</v>
      </c>
      <c r="B1" s="2" t="s">
        <v>0</v>
      </c>
      <c r="C1" s="3" t="s">
        <v>22</v>
      </c>
    </row>
    <row r="2" spans="1:10" ht="86.4" x14ac:dyDescent="0.3">
      <c r="A2" s="17" t="s">
        <v>7</v>
      </c>
      <c r="B2">
        <v>2453.8564256429318</v>
      </c>
      <c r="C2" s="18" t="s">
        <v>123</v>
      </c>
      <c r="D2">
        <v>4785.5258389999999</v>
      </c>
      <c r="E2">
        <f>9573/SUM($D$2,$D$5)*D2</f>
        <v>5816.1540693646766</v>
      </c>
      <c r="F2">
        <f>B2*I4</f>
        <v>2235.3667289467539</v>
      </c>
    </row>
    <row r="3" spans="1:10" ht="57.6" x14ac:dyDescent="0.3">
      <c r="A3" s="13" t="s">
        <v>8</v>
      </c>
      <c r="B3">
        <v>0.87460041080332029</v>
      </c>
      <c r="C3" s="14" t="s">
        <v>72</v>
      </c>
      <c r="E3" t="s">
        <v>120</v>
      </c>
      <c r="F3">
        <f>B2*B3</f>
        <v>2146.1438379196752</v>
      </c>
      <c r="G3">
        <f>F3+F4-G4</f>
        <v>7159.2717473238945</v>
      </c>
      <c r="H3">
        <f>9573/1.129012</f>
        <v>8479.0949963330786</v>
      </c>
      <c r="I3">
        <v>8720.6266318537801</v>
      </c>
      <c r="J3">
        <f>I3/H3</f>
        <v>1.0284855442267313</v>
      </c>
    </row>
    <row r="4" spans="1:10" x14ac:dyDescent="0.3">
      <c r="A4" s="13" t="s">
        <v>14</v>
      </c>
      <c r="B4" s="13">
        <v>5.741885E-2</v>
      </c>
      <c r="C4" s="14" t="s">
        <v>12</v>
      </c>
      <c r="E4" t="s">
        <v>121</v>
      </c>
      <c r="F4">
        <f>B5*B6</f>
        <v>7426.8561620803248</v>
      </c>
      <c r="G4">
        <f>F4*B8</f>
        <v>2413.7282526761055</v>
      </c>
      <c r="H4">
        <f>SUM(G4,G3)</f>
        <v>9573</v>
      </c>
      <c r="I4">
        <f>I3/H4</f>
        <v>0.91096068440967093</v>
      </c>
    </row>
    <row r="5" spans="1:10" ht="72" x14ac:dyDescent="0.3">
      <c r="A5" s="13" t="s">
        <v>9</v>
      </c>
      <c r="B5">
        <v>8383.7856194392207</v>
      </c>
      <c r="C5" s="14" t="s">
        <v>122</v>
      </c>
      <c r="D5">
        <v>3091.1291310000001</v>
      </c>
      <c r="E5">
        <f>9573/SUM($D$2,$D$5)*D5</f>
        <v>3756.8459306353243</v>
      </c>
      <c r="F5">
        <f>B5*I4</f>
        <v>7637.2990858283092</v>
      </c>
    </row>
    <row r="6" spans="1:10" ht="57.6" x14ac:dyDescent="0.3">
      <c r="A6" s="13" t="s">
        <v>10</v>
      </c>
      <c r="B6">
        <v>0.88585950299825256</v>
      </c>
      <c r="C6" s="14" t="s">
        <v>72</v>
      </c>
      <c r="E6">
        <f>E5*B6*0.474454</f>
        <v>1579.0007841857189</v>
      </c>
      <c r="F6">
        <f>E2+E5-E6</f>
        <v>7993.9992158142813</v>
      </c>
    </row>
    <row r="7" spans="1:10" x14ac:dyDescent="0.3">
      <c r="A7" s="13" t="s">
        <v>13</v>
      </c>
      <c r="B7" s="13">
        <v>0.15286749999999999</v>
      </c>
      <c r="C7" s="14" t="s">
        <v>17</v>
      </c>
    </row>
    <row r="8" spans="1:10" x14ac:dyDescent="0.3">
      <c r="A8" s="13" t="s">
        <v>11</v>
      </c>
      <c r="B8" s="13">
        <v>0.32500000000000001</v>
      </c>
      <c r="C8" s="14" t="s">
        <v>124</v>
      </c>
      <c r="E8">
        <f>0.447711*1579/E6</f>
        <v>0.44771077765142625</v>
      </c>
    </row>
    <row r="9" spans="1:10" x14ac:dyDescent="0.3">
      <c r="A9" s="13" t="s">
        <v>18</v>
      </c>
      <c r="B9" s="13">
        <v>-0.1970092</v>
      </c>
      <c r="C9" s="14" t="s">
        <v>19</v>
      </c>
    </row>
    <row r="10" spans="1:10" ht="28.8" x14ac:dyDescent="0.3">
      <c r="A10" s="15" t="s">
        <v>20</v>
      </c>
      <c r="B10" s="15">
        <v>0.31568849999999998</v>
      </c>
      <c r="C10" s="16" t="s">
        <v>21</v>
      </c>
    </row>
    <row r="11" spans="1:10" ht="28.8" x14ac:dyDescent="0.3">
      <c r="A11" s="17" t="s">
        <v>28</v>
      </c>
      <c r="B11" s="17">
        <v>0.99</v>
      </c>
      <c r="C11" s="18" t="s">
        <v>30</v>
      </c>
    </row>
    <row r="12" spans="1:10" x14ac:dyDescent="0.3">
      <c r="A12" s="2" t="s">
        <v>29</v>
      </c>
      <c r="B12" s="2">
        <v>0.99</v>
      </c>
      <c r="C12" s="3"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173F-125D-49A4-B46D-6BB93D24C8B3}">
  <dimension ref="A1:C12"/>
  <sheetViews>
    <sheetView workbookViewId="0">
      <selection activeCell="E3" sqref="E3"/>
    </sheetView>
  </sheetViews>
  <sheetFormatPr defaultRowHeight="14.4" x14ac:dyDescent="0.3"/>
  <cols>
    <col min="1" max="1" width="18.21875" bestFit="1" customWidth="1"/>
    <col min="2" max="2" width="12" bestFit="1" customWidth="1"/>
    <col min="3" max="3" width="49.6640625" customWidth="1"/>
  </cols>
  <sheetData>
    <row r="1" spans="1:3" x14ac:dyDescent="0.3">
      <c r="A1" s="2" t="s">
        <v>1</v>
      </c>
      <c r="B1" s="2" t="s">
        <v>0</v>
      </c>
      <c r="C1" s="3" t="s">
        <v>22</v>
      </c>
    </row>
    <row r="2" spans="1:3" ht="28.8" x14ac:dyDescent="0.3">
      <c r="A2" s="2" t="s">
        <v>7</v>
      </c>
      <c r="B2">
        <v>4735.2393823337661</v>
      </c>
      <c r="C2" s="3" t="s">
        <v>118</v>
      </c>
    </row>
    <row r="3" spans="1:3" ht="43.2" x14ac:dyDescent="0.3">
      <c r="A3" s="2" t="s">
        <v>8</v>
      </c>
      <c r="B3">
        <v>0.8540806143896249</v>
      </c>
      <c r="C3" s="3" t="s">
        <v>73</v>
      </c>
    </row>
    <row r="4" spans="1:3" x14ac:dyDescent="0.3">
      <c r="A4" s="2" t="s">
        <v>14</v>
      </c>
      <c r="B4">
        <v>5.741885E-2</v>
      </c>
      <c r="C4" s="3" t="s">
        <v>12</v>
      </c>
    </row>
    <row r="5" spans="1:3" ht="28.8" x14ac:dyDescent="0.3">
      <c r="A5" s="2" t="s">
        <v>9</v>
      </c>
      <c r="B5">
        <v>7152.1474574123531</v>
      </c>
      <c r="C5" s="3" t="s">
        <v>119</v>
      </c>
    </row>
    <row r="6" spans="1:3" ht="43.2" x14ac:dyDescent="0.3">
      <c r="A6" s="2" t="s">
        <v>10</v>
      </c>
      <c r="B6">
        <v>0.83609667190082682</v>
      </c>
      <c r="C6" s="3" t="s">
        <v>73</v>
      </c>
    </row>
    <row r="7" spans="1:3" x14ac:dyDescent="0.3">
      <c r="A7" s="2" t="s">
        <v>13</v>
      </c>
      <c r="B7">
        <v>0.15286749999999999</v>
      </c>
      <c r="C7" s="3" t="s">
        <v>17</v>
      </c>
    </row>
    <row r="8" spans="1:3" x14ac:dyDescent="0.3">
      <c r="A8" s="2" t="s">
        <v>11</v>
      </c>
      <c r="B8">
        <v>0.32500000000000001</v>
      </c>
      <c r="C8" s="3" t="s">
        <v>27</v>
      </c>
    </row>
    <row r="9" spans="1:3" x14ac:dyDescent="0.3">
      <c r="A9" s="2" t="s">
        <v>18</v>
      </c>
      <c r="B9">
        <v>-0.1970092</v>
      </c>
      <c r="C9" s="3" t="s">
        <v>19</v>
      </c>
    </row>
    <row r="10" spans="1:3" ht="28.8" x14ac:dyDescent="0.3">
      <c r="A10" s="2" t="s">
        <v>20</v>
      </c>
      <c r="B10">
        <v>0.31568849999999998</v>
      </c>
      <c r="C10" s="3" t="s">
        <v>21</v>
      </c>
    </row>
    <row r="11" spans="1:3" ht="28.8" x14ac:dyDescent="0.3">
      <c r="A11" s="17" t="s">
        <v>28</v>
      </c>
      <c r="B11" s="17">
        <v>0.99</v>
      </c>
      <c r="C11" s="18" t="s">
        <v>30</v>
      </c>
    </row>
    <row r="12" spans="1:3" x14ac:dyDescent="0.3">
      <c r="A12" s="2" t="s">
        <v>29</v>
      </c>
      <c r="B12" s="2">
        <v>0.99</v>
      </c>
      <c r="C12" s="3"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8"/>
  <sheetViews>
    <sheetView topLeftCell="A7" workbookViewId="0">
      <selection activeCell="J24" sqref="J24"/>
    </sheetView>
  </sheetViews>
  <sheetFormatPr defaultRowHeight="14.4" x14ac:dyDescent="0.3"/>
  <cols>
    <col min="2" max="2" width="53" bestFit="1" customWidth="1"/>
    <col min="6" max="6" width="8.88671875" customWidth="1"/>
  </cols>
  <sheetData>
    <row r="1" spans="1:24" ht="28.8" x14ac:dyDescent="0.3">
      <c r="A1" t="s">
        <v>3</v>
      </c>
      <c r="B1" s="1" t="s">
        <v>4</v>
      </c>
      <c r="D1" s="29" t="s">
        <v>117</v>
      </c>
      <c r="E1" s="29"/>
      <c r="F1" s="29"/>
      <c r="G1" s="29"/>
      <c r="H1" s="29"/>
      <c r="I1" s="29"/>
      <c r="J1" s="29"/>
      <c r="K1" s="29"/>
      <c r="L1" s="29"/>
      <c r="M1" s="29"/>
      <c r="N1" s="29"/>
      <c r="O1" s="29"/>
      <c r="P1" s="29"/>
      <c r="Q1" s="29"/>
      <c r="R1" s="29"/>
      <c r="S1" s="29"/>
      <c r="T1" s="29"/>
    </row>
    <row r="2" spans="1:24" x14ac:dyDescent="0.3">
      <c r="B2" t="s">
        <v>23</v>
      </c>
      <c r="D2" s="1"/>
      <c r="E2" s="1"/>
      <c r="F2" s="25" t="s">
        <v>40</v>
      </c>
      <c r="G2" s="25"/>
      <c r="H2" s="25"/>
      <c r="I2" s="25"/>
      <c r="J2" s="25"/>
      <c r="K2" s="25"/>
      <c r="L2" s="25"/>
      <c r="M2" s="25"/>
      <c r="N2" s="6"/>
      <c r="O2" s="26" t="s">
        <v>41</v>
      </c>
      <c r="P2" s="27"/>
      <c r="Q2" s="27"/>
      <c r="R2" s="27"/>
      <c r="S2" s="27"/>
      <c r="T2" s="27"/>
    </row>
    <row r="3" spans="1:24" x14ac:dyDescent="0.3">
      <c r="B3" t="s">
        <v>24</v>
      </c>
      <c r="D3" s="1"/>
      <c r="E3" s="1"/>
      <c r="F3" s="30" t="s">
        <v>37</v>
      </c>
      <c r="G3" s="30"/>
      <c r="H3" s="30" t="s">
        <v>38</v>
      </c>
      <c r="I3" s="30"/>
      <c r="J3" s="30" t="s">
        <v>39</v>
      </c>
      <c r="K3" s="30"/>
      <c r="N3" s="5"/>
      <c r="O3" s="31"/>
      <c r="Q3" s="28" t="s">
        <v>37</v>
      </c>
      <c r="R3" s="28"/>
      <c r="S3" s="28" t="s">
        <v>38</v>
      </c>
      <c r="T3" s="28"/>
      <c r="U3" s="28" t="s">
        <v>39</v>
      </c>
      <c r="V3" s="28"/>
    </row>
    <row r="4" spans="1:24" x14ac:dyDescent="0.3">
      <c r="B4" t="s">
        <v>25</v>
      </c>
      <c r="F4" s="5" t="s">
        <v>42</v>
      </c>
      <c r="G4" s="5" t="s">
        <v>43</v>
      </c>
      <c r="H4" s="5" t="s">
        <v>42</v>
      </c>
      <c r="I4" s="5" t="s">
        <v>43</v>
      </c>
      <c r="J4" s="5" t="s">
        <v>42</v>
      </c>
      <c r="K4" s="5" t="s">
        <v>43</v>
      </c>
      <c r="N4" s="5"/>
      <c r="O4" s="31"/>
      <c r="Q4" s="10" t="s">
        <v>42</v>
      </c>
      <c r="R4" s="10" t="s">
        <v>43</v>
      </c>
      <c r="S4" s="10" t="s">
        <v>42</v>
      </c>
      <c r="T4" s="10" t="s">
        <v>43</v>
      </c>
      <c r="U4" s="10" t="s">
        <v>42</v>
      </c>
      <c r="V4" s="10" t="s">
        <v>43</v>
      </c>
      <c r="W4" s="5"/>
      <c r="X4" s="5"/>
    </row>
    <row r="5" spans="1:24" x14ac:dyDescent="0.3">
      <c r="D5" s="32" t="s">
        <v>32</v>
      </c>
      <c r="E5" t="s">
        <v>35</v>
      </c>
      <c r="F5" s="7" t="s">
        <v>113</v>
      </c>
      <c r="G5" s="7"/>
      <c r="H5" s="7" t="s">
        <v>114</v>
      </c>
      <c r="I5" s="7"/>
      <c r="J5" s="7" t="s">
        <v>82</v>
      </c>
      <c r="K5" s="7"/>
      <c r="N5" s="7"/>
      <c r="O5" s="31" t="s">
        <v>33</v>
      </c>
      <c r="P5" t="s">
        <v>35</v>
      </c>
      <c r="Q5" s="21" t="s">
        <v>101</v>
      </c>
      <c r="R5" s="12">
        <v>0.12574299999999999</v>
      </c>
      <c r="S5" s="21" t="s">
        <v>102</v>
      </c>
      <c r="T5" s="12">
        <v>0.14504900000000001</v>
      </c>
      <c r="U5" s="7">
        <v>-6.6610000000000003E-2</v>
      </c>
      <c r="V5" s="7">
        <v>7.6299000000000006E-2</v>
      </c>
    </row>
    <row r="6" spans="1:24" x14ac:dyDescent="0.3">
      <c r="D6" s="32"/>
      <c r="E6" t="s">
        <v>36</v>
      </c>
      <c r="F6" s="7" t="s">
        <v>109</v>
      </c>
      <c r="G6" s="7"/>
      <c r="H6" s="7" t="s">
        <v>110</v>
      </c>
      <c r="I6" s="7"/>
      <c r="J6" s="7">
        <v>1.5297E-2</v>
      </c>
      <c r="K6" s="7"/>
      <c r="N6" s="7"/>
      <c r="O6" s="31"/>
      <c r="P6" t="s">
        <v>36</v>
      </c>
      <c r="Q6" s="21" t="s">
        <v>104</v>
      </c>
      <c r="R6" s="12" t="s">
        <v>105</v>
      </c>
      <c r="S6" s="21" t="s">
        <v>106</v>
      </c>
      <c r="T6" s="12">
        <v>0.10704</v>
      </c>
      <c r="U6" s="22" t="s">
        <v>103</v>
      </c>
      <c r="V6" s="7">
        <v>6.7083000000000004E-2</v>
      </c>
    </row>
    <row r="7" spans="1:24" x14ac:dyDescent="0.3">
      <c r="D7" s="32"/>
      <c r="E7" t="s">
        <v>83</v>
      </c>
      <c r="F7" s="7" t="s">
        <v>87</v>
      </c>
      <c r="G7" s="7"/>
      <c r="H7" s="7" t="s">
        <v>88</v>
      </c>
      <c r="I7" s="7"/>
      <c r="J7" s="7" t="s">
        <v>85</v>
      </c>
      <c r="K7" s="7" t="s">
        <v>89</v>
      </c>
      <c r="N7" s="7"/>
      <c r="O7" s="31"/>
      <c r="P7" t="s">
        <v>83</v>
      </c>
      <c r="Q7" s="21" t="s">
        <v>92</v>
      </c>
      <c r="R7" s="12" t="s">
        <v>93</v>
      </c>
      <c r="S7" s="21" t="s">
        <v>94</v>
      </c>
      <c r="T7" s="12" t="s">
        <v>95</v>
      </c>
      <c r="U7" s="22" t="s">
        <v>96</v>
      </c>
      <c r="V7" s="23" t="s">
        <v>97</v>
      </c>
      <c r="W7" s="7" t="s">
        <v>98</v>
      </c>
    </row>
    <row r="8" spans="1:24" x14ac:dyDescent="0.3">
      <c r="D8" s="33" t="s">
        <v>33</v>
      </c>
      <c r="E8" t="s">
        <v>35</v>
      </c>
      <c r="F8" s="7" t="s">
        <v>115</v>
      </c>
      <c r="G8" s="7"/>
      <c r="H8" s="7" t="s">
        <v>116</v>
      </c>
      <c r="I8" s="7"/>
      <c r="J8" s="7" t="s">
        <v>107</v>
      </c>
      <c r="K8" s="7"/>
      <c r="N8" s="7"/>
      <c r="O8" s="24"/>
      <c r="Q8" s="12"/>
      <c r="R8" s="12"/>
      <c r="S8" s="12"/>
      <c r="T8" s="12"/>
      <c r="U8" s="7"/>
    </row>
    <row r="9" spans="1:24" x14ac:dyDescent="0.3">
      <c r="D9" s="33"/>
      <c r="E9" t="s">
        <v>36</v>
      </c>
      <c r="F9" s="7" t="s">
        <v>111</v>
      </c>
      <c r="G9" s="7"/>
      <c r="H9" s="7" t="s">
        <v>112</v>
      </c>
      <c r="I9" s="7"/>
      <c r="J9" s="7" t="s">
        <v>108</v>
      </c>
      <c r="K9" s="7"/>
      <c r="N9" s="7"/>
      <c r="O9" s="24"/>
      <c r="Q9" s="12"/>
      <c r="R9" s="12"/>
      <c r="S9" s="12"/>
      <c r="T9" s="12"/>
      <c r="U9" s="7"/>
    </row>
    <row r="10" spans="1:24" x14ac:dyDescent="0.3">
      <c r="B10" t="s">
        <v>45</v>
      </c>
      <c r="D10" s="33"/>
      <c r="E10" t="s">
        <v>84</v>
      </c>
      <c r="F10" s="7" t="s">
        <v>90</v>
      </c>
      <c r="H10" s="7" t="s">
        <v>91</v>
      </c>
      <c r="J10" s="7" t="s">
        <v>86</v>
      </c>
      <c r="K10" t="s">
        <v>99</v>
      </c>
      <c r="O10" s="24"/>
      <c r="R10" s="12"/>
      <c r="S10" s="12"/>
      <c r="T10" s="12"/>
      <c r="U10" s="7"/>
    </row>
    <row r="11" spans="1:24" x14ac:dyDescent="0.3">
      <c r="B11" t="s">
        <v>47</v>
      </c>
      <c r="D11" s="33" t="s">
        <v>34</v>
      </c>
      <c r="E11" t="s">
        <v>35</v>
      </c>
      <c r="F11" s="7"/>
      <c r="G11" s="7"/>
      <c r="H11" s="7"/>
      <c r="I11" s="7"/>
      <c r="J11" s="7"/>
      <c r="K11" s="7"/>
      <c r="L11" s="7"/>
      <c r="M11" s="7"/>
      <c r="N11" s="7"/>
      <c r="O11" s="11"/>
      <c r="P11" s="12"/>
      <c r="Q11" s="12"/>
      <c r="R11" s="12"/>
      <c r="S11" s="12"/>
      <c r="T11" s="12"/>
      <c r="U11" s="7"/>
    </row>
    <row r="12" spans="1:24" x14ac:dyDescent="0.3">
      <c r="B12" t="s">
        <v>46</v>
      </c>
      <c r="D12" s="33"/>
      <c r="E12" t="s">
        <v>36</v>
      </c>
      <c r="F12" s="7"/>
      <c r="G12" s="7"/>
      <c r="H12" s="7"/>
      <c r="I12" s="7"/>
      <c r="J12" s="7"/>
      <c r="K12" s="7"/>
      <c r="L12" s="7"/>
      <c r="M12" s="7"/>
      <c r="N12" s="7"/>
      <c r="O12" s="11"/>
      <c r="P12" s="12"/>
      <c r="Q12" s="12"/>
      <c r="R12" s="12"/>
      <c r="S12" s="12"/>
      <c r="T12" s="12"/>
      <c r="U12" s="7"/>
    </row>
    <row r="13" spans="1:24" x14ac:dyDescent="0.3">
      <c r="B13" t="s">
        <v>48</v>
      </c>
      <c r="D13" s="9"/>
      <c r="F13" s="7"/>
      <c r="G13" s="7"/>
      <c r="H13" s="7"/>
      <c r="I13" s="7"/>
      <c r="J13" s="7"/>
      <c r="K13" s="7"/>
      <c r="L13" s="7"/>
      <c r="M13" s="7"/>
      <c r="N13" s="7"/>
      <c r="O13" s="11"/>
      <c r="P13" s="12"/>
      <c r="Q13" s="12"/>
      <c r="R13" s="12"/>
      <c r="S13" s="12"/>
      <c r="T13" s="12"/>
      <c r="U13" s="7"/>
    </row>
    <row r="14" spans="1:24" x14ac:dyDescent="0.3">
      <c r="B14" t="s">
        <v>49</v>
      </c>
      <c r="D14" s="32" t="s">
        <v>32</v>
      </c>
      <c r="E14" t="s">
        <v>35</v>
      </c>
      <c r="F14" s="7" t="s">
        <v>51</v>
      </c>
      <c r="G14" s="7" t="s">
        <v>52</v>
      </c>
      <c r="H14" s="7" t="s">
        <v>60</v>
      </c>
      <c r="I14" s="7" t="s">
        <v>61</v>
      </c>
      <c r="J14" s="7"/>
      <c r="K14" s="7"/>
      <c r="L14" s="7"/>
      <c r="M14" s="7"/>
      <c r="N14" s="7"/>
      <c r="O14" s="11"/>
      <c r="P14" s="12"/>
      <c r="Q14" s="12"/>
      <c r="R14" s="12"/>
      <c r="S14" s="12"/>
      <c r="T14" s="12"/>
      <c r="U14" s="7"/>
    </row>
    <row r="15" spans="1:24" x14ac:dyDescent="0.3">
      <c r="B15" t="s">
        <v>50</v>
      </c>
      <c r="D15" s="32"/>
      <c r="E15" t="s">
        <v>36</v>
      </c>
      <c r="F15" s="7" t="s">
        <v>53</v>
      </c>
      <c r="G15" s="7">
        <v>-2.5910999999999998E-3</v>
      </c>
      <c r="H15" s="7" t="s">
        <v>62</v>
      </c>
      <c r="I15" s="7">
        <v>-2.4285999999999999E-3</v>
      </c>
      <c r="J15" s="7"/>
      <c r="K15" s="7"/>
      <c r="L15" s="7"/>
      <c r="M15" s="7"/>
      <c r="N15" s="7"/>
      <c r="O15" s="11"/>
      <c r="P15" s="12"/>
      <c r="Q15" s="12"/>
      <c r="R15" s="12"/>
      <c r="S15" s="12"/>
      <c r="T15" s="12"/>
      <c r="U15" s="7"/>
    </row>
    <row r="16" spans="1:24" x14ac:dyDescent="0.3">
      <c r="B16" s="8" t="s">
        <v>44</v>
      </c>
      <c r="D16" s="33" t="s">
        <v>33</v>
      </c>
      <c r="E16" t="s">
        <v>35</v>
      </c>
      <c r="F16" s="7" t="s">
        <v>54</v>
      </c>
      <c r="G16" s="7" t="s">
        <v>55</v>
      </c>
      <c r="H16" s="7" t="s">
        <v>63</v>
      </c>
      <c r="I16" s="7" t="s">
        <v>64</v>
      </c>
      <c r="J16" s="7"/>
      <c r="K16" s="7"/>
      <c r="L16" s="7"/>
      <c r="M16" s="7"/>
      <c r="N16" s="7"/>
      <c r="O16" s="11"/>
      <c r="P16" s="12"/>
      <c r="Q16" s="12"/>
      <c r="R16" s="12"/>
      <c r="S16" s="12"/>
      <c r="T16" s="12"/>
      <c r="U16" s="7"/>
    </row>
    <row r="17" spans="1:21" x14ac:dyDescent="0.3">
      <c r="D17" s="33"/>
      <c r="E17" t="s">
        <v>36</v>
      </c>
      <c r="F17" s="7" t="s">
        <v>56</v>
      </c>
      <c r="G17" s="7">
        <v>-2.2301999999999999E-2</v>
      </c>
      <c r="H17" s="7" t="s">
        <v>65</v>
      </c>
      <c r="I17" s="7">
        <v>-2.2072999999999999E-2</v>
      </c>
      <c r="J17" s="7"/>
      <c r="K17" s="7"/>
      <c r="L17" s="7"/>
      <c r="M17" s="7"/>
      <c r="N17" s="7"/>
      <c r="O17" s="11"/>
      <c r="P17" s="12"/>
      <c r="Q17" s="12"/>
      <c r="R17" s="12"/>
      <c r="S17" s="12"/>
      <c r="T17" s="12"/>
      <c r="U17" s="7"/>
    </row>
    <row r="18" spans="1:21" x14ac:dyDescent="0.3">
      <c r="D18" s="33" t="s">
        <v>34</v>
      </c>
      <c r="E18" t="s">
        <v>35</v>
      </c>
      <c r="F18" s="7" t="s">
        <v>57</v>
      </c>
      <c r="G18" s="7" t="s">
        <v>58</v>
      </c>
      <c r="H18" s="7" t="s">
        <v>66</v>
      </c>
      <c r="I18" s="7" t="s">
        <v>67</v>
      </c>
      <c r="J18" s="7"/>
      <c r="K18" s="7"/>
      <c r="L18" s="7"/>
      <c r="M18" s="7"/>
      <c r="N18" s="7"/>
      <c r="O18" s="11"/>
      <c r="P18" s="12"/>
      <c r="Q18" s="12"/>
      <c r="R18" s="12"/>
      <c r="S18" s="12"/>
      <c r="T18" s="12"/>
      <c r="U18" s="7"/>
    </row>
    <row r="19" spans="1:21" x14ac:dyDescent="0.3">
      <c r="D19" s="33"/>
      <c r="E19" t="s">
        <v>36</v>
      </c>
      <c r="F19" s="7" t="s">
        <v>59</v>
      </c>
      <c r="G19" s="7">
        <v>-5.5199999999999997E-3</v>
      </c>
      <c r="H19" s="7" t="s">
        <v>68</v>
      </c>
      <c r="I19" s="7">
        <v>-5.4238999999999997E-3</v>
      </c>
      <c r="J19" s="7"/>
      <c r="K19" s="7"/>
      <c r="L19" s="7"/>
      <c r="M19" s="7"/>
      <c r="N19" s="7"/>
      <c r="O19" s="11"/>
      <c r="P19" s="12"/>
      <c r="Q19" s="12"/>
      <c r="R19" s="12"/>
      <c r="S19" s="12"/>
      <c r="T19" s="12"/>
      <c r="U19" s="7"/>
    </row>
    <row r="22" spans="1:21" ht="57.6" x14ac:dyDescent="0.3">
      <c r="A22" s="19" t="s">
        <v>69</v>
      </c>
      <c r="B22" s="1" t="s">
        <v>70</v>
      </c>
      <c r="H22" t="s">
        <v>74</v>
      </c>
      <c r="I22" t="s">
        <v>75</v>
      </c>
      <c r="J22" t="s">
        <v>76</v>
      </c>
    </row>
    <row r="23" spans="1:21" ht="43.2" x14ac:dyDescent="0.3">
      <c r="B23" s="20" t="s">
        <v>71</v>
      </c>
      <c r="G23" t="s">
        <v>127</v>
      </c>
      <c r="H23" s="2">
        <v>0.26699746224049897</v>
      </c>
      <c r="I23">
        <f>0.93238167^'CN Parameters'!$B$9*1.43795959797891^'CN Parameters'!$B$10*H23</f>
        <v>0.30359615225276576</v>
      </c>
      <c r="J23">
        <f>0.84841024^'CN Parameters'!$B$9*1.11820469446547^'CN Parameters'!$B$10*I23</f>
        <v>0.32484723699374513</v>
      </c>
      <c r="K23" t="s">
        <v>77</v>
      </c>
    </row>
    <row r="24" spans="1:21" x14ac:dyDescent="0.3">
      <c r="G24" t="s">
        <v>125</v>
      </c>
      <c r="H24">
        <v>0.367981</v>
      </c>
      <c r="I24">
        <f>0.93238167^'CN Parameters'!$B$9*1.43795959797891^'CN Parameters'!$B$10*H24</f>
        <v>0.41842201332046719</v>
      </c>
      <c r="J24">
        <f>0.84841024^'CN Parameters'!$B$9*1.11820469446547^'CN Parameters'!$B$10*I24</f>
        <v>0.44771066403815241</v>
      </c>
    </row>
    <row r="25" spans="1:21" x14ac:dyDescent="0.3">
      <c r="B25" t="s">
        <v>78</v>
      </c>
      <c r="G25" t="s">
        <v>126</v>
      </c>
      <c r="H25">
        <v>0.16769400000000001</v>
      </c>
      <c r="I25">
        <f>0.93238167^'CN Parameters'!$B$9*1.43795959797891^'CN Parameters'!$B$10*H25</f>
        <v>0.19068066313685333</v>
      </c>
      <c r="J25">
        <f>0.84841024^'CN Parameters'!$B$9*1.11820469446547^'CN Parameters'!$B$10*I25</f>
        <v>0.20402790387333566</v>
      </c>
    </row>
    <row r="26" spans="1:21" x14ac:dyDescent="0.3">
      <c r="B26" t="s">
        <v>79</v>
      </c>
    </row>
    <row r="27" spans="1:21" x14ac:dyDescent="0.3">
      <c r="B27" t="s">
        <v>80</v>
      </c>
    </row>
    <row r="28" spans="1:21" x14ac:dyDescent="0.3">
      <c r="B28" t="s">
        <v>81</v>
      </c>
    </row>
  </sheetData>
  <mergeCells count="17">
    <mergeCell ref="U3:V3"/>
    <mergeCell ref="O3:O4"/>
    <mergeCell ref="D14:D15"/>
    <mergeCell ref="D16:D17"/>
    <mergeCell ref="D18:D19"/>
    <mergeCell ref="D5:D7"/>
    <mergeCell ref="D8:D10"/>
    <mergeCell ref="O5:O7"/>
    <mergeCell ref="D11:D12"/>
    <mergeCell ref="F2:M2"/>
    <mergeCell ref="O2:T2"/>
    <mergeCell ref="Q3:R3"/>
    <mergeCell ref="S3:T3"/>
    <mergeCell ref="D1:T1"/>
    <mergeCell ref="F3:G3"/>
    <mergeCell ref="H3:I3"/>
    <mergeCell ref="J3:K3"/>
  </mergeCells>
  <hyperlinks>
    <hyperlink ref="B23" r:id="rId1" display="http://localhost:8888/notebooks/Displacement/00 Simulation/01 Refinery module/Refinery exploration.ipynb" xr:uid="{EAEFA26D-87C4-4EC4-A150-25C1BAB514DD}"/>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 old</vt:lpstr>
      <vt:lpstr>Parameters</vt:lpstr>
      <vt:lpstr>CN Parameters</vt:lpstr>
      <vt:lpstr>RW Parameters</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2020-03-11T19:47:48Z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{295EDD13-B1BD-41DF-9C14-86641B102CF8}</vt:lpwstr>
  </property>
</Properties>
</file>