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\OneDrive\Bureau\INEXVIR_johan\ContID\"/>
    </mc:Choice>
  </mc:AlternateContent>
  <xr:revisionPtr revIDLastSave="0" documentId="13_ncr:1_{E85FFA24-0FF3-4EF8-A2B8-6975E3F59529}" xr6:coauthVersionLast="47" xr6:coauthVersionMax="47" xr10:uidLastSave="{00000000-0000-0000-0000-000000000000}"/>
  <bookViews>
    <workbookView xWindow="-120" yWindow="-120" windowWidth="20730" windowHeight="11160" tabRatio="710" activeTab="5" xr2:uid="{00000000-000D-0000-FFFF-FFFF00000000}"/>
  </bookViews>
  <sheets>
    <sheet name="log_file" sheetId="25" r:id="rId1"/>
    <sheet name="Summary" sheetId="1" r:id="rId2"/>
    <sheet name="pre-compute all" sheetId="15" r:id="rId3"/>
    <sheet name="pre-compute target" sheetId="16" r:id="rId4"/>
    <sheet name="pre compute batch alien" sheetId="11" r:id="rId5"/>
    <sheet name="Batch no BSV and &gt;5 reads " sheetId="24" r:id="rId6"/>
  </sheets>
  <definedNames>
    <definedName name="_xlnm._FilterDatabase" localSheetId="5" hidden="1">'Batch no BSV and &gt;5 reads '!$A$1:$I$337</definedName>
    <definedName name="_xlnm._FilterDatabase" localSheetId="4" hidden="1">'pre compute batch alien'!$A$1:$R$58</definedName>
    <definedName name="_xlnm._FilterDatabase" localSheetId="2" hidden="1">'pre-compute all'!$A$1:$Q$1</definedName>
    <definedName name="_xlnm._FilterDatabase" localSheetId="3" hidden="1">'pre-compute target'!$A$1:$K$337</definedName>
    <definedName name="_xlnm._FilterDatabase" localSheetId="1" hidden="1">Summary!$A$1:$Y$337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AD5" i="11"/>
  <c r="AD3" i="11"/>
  <c r="AC5" i="11"/>
  <c r="AC3" i="11"/>
  <c r="AB5" i="11"/>
  <c r="AB4" i="11"/>
  <c r="AA5" i="11"/>
  <c r="AA3" i="11"/>
  <c r="AI76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292" i="24"/>
  <c r="K293" i="24"/>
  <c r="K294" i="24"/>
  <c r="K295" i="24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310" i="24"/>
  <c r="K311" i="24"/>
  <c r="K312" i="24"/>
  <c r="K313" i="24"/>
  <c r="K314" i="24"/>
  <c r="K315" i="24"/>
  <c r="K316" i="24"/>
  <c r="K317" i="24"/>
  <c r="K318" i="24"/>
  <c r="K319" i="24"/>
  <c r="K320" i="24"/>
  <c r="K321" i="24"/>
  <c r="K322" i="24"/>
  <c r="K323" i="24"/>
  <c r="K324" i="24"/>
  <c r="K325" i="24"/>
  <c r="K326" i="24"/>
  <c r="K327" i="24"/>
  <c r="K328" i="24"/>
  <c r="K329" i="24"/>
  <c r="K330" i="24"/>
  <c r="K331" i="24"/>
  <c r="K332" i="24"/>
  <c r="K333" i="24"/>
  <c r="K334" i="24"/>
  <c r="K335" i="24"/>
  <c r="K336" i="24"/>
  <c r="K337" i="24"/>
  <c r="K219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127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70" i="24"/>
  <c r="K71" i="24"/>
  <c r="K72" i="24"/>
  <c r="K73" i="24"/>
  <c r="K74" i="24"/>
  <c r="K75" i="24"/>
  <c r="K76" i="24"/>
  <c r="K77" i="24"/>
  <c r="K78" i="24"/>
  <c r="K79" i="24"/>
  <c r="K69" i="24"/>
  <c r="AD4" i="11"/>
  <c r="AC4" i="11"/>
  <c r="AB3" i="11"/>
  <c r="AA4" i="11"/>
  <c r="AH182" i="24" l="1"/>
  <c r="AG182" i="24"/>
  <c r="AF182" i="24"/>
  <c r="AE182" i="24"/>
  <c r="AH181" i="24"/>
  <c r="AG181" i="24"/>
  <c r="AG183" i="24" s="1"/>
  <c r="AF181" i="24"/>
  <c r="AE181" i="24"/>
  <c r="AE183" i="24" s="1"/>
  <c r="AH183" i="24" l="1"/>
  <c r="AF183" i="24"/>
  <c r="AU150" i="24"/>
  <c r="AT150" i="24"/>
  <c r="AS150" i="24"/>
  <c r="AR150" i="24"/>
  <c r="AU149" i="24"/>
  <c r="AT149" i="24"/>
  <c r="AT151" i="24" s="1"/>
  <c r="AS149" i="24"/>
  <c r="AR149" i="24"/>
  <c r="AN150" i="24"/>
  <c r="AM150" i="24"/>
  <c r="AL150" i="24"/>
  <c r="AK150" i="24"/>
  <c r="AN149" i="24"/>
  <c r="AM149" i="24"/>
  <c r="AL149" i="24"/>
  <c r="AL151" i="24" s="1"/>
  <c r="AK149" i="24"/>
  <c r="AS151" i="24" l="1"/>
  <c r="AR151" i="24"/>
  <c r="AU151" i="24"/>
  <c r="AM151" i="24"/>
  <c r="AN151" i="24"/>
  <c r="AK151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249" i="24"/>
  <c r="L250" i="24"/>
  <c r="L251" i="24"/>
  <c r="L252" i="24"/>
  <c r="L253" i="24"/>
  <c r="L254" i="24"/>
  <c r="L255" i="24"/>
  <c r="L256" i="24"/>
  <c r="L257" i="24"/>
  <c r="L258" i="24"/>
  <c r="L259" i="24"/>
  <c r="L260" i="24"/>
  <c r="L261" i="24"/>
  <c r="L262" i="24"/>
  <c r="L263" i="24"/>
  <c r="L264" i="24"/>
  <c r="L265" i="24"/>
  <c r="L266" i="24"/>
  <c r="L267" i="24"/>
  <c r="L268" i="24"/>
  <c r="L269" i="24"/>
  <c r="L270" i="24"/>
  <c r="L271" i="24"/>
  <c r="L272" i="24"/>
  <c r="L273" i="24"/>
  <c r="L274" i="24"/>
  <c r="L275" i="24"/>
  <c r="L276" i="24"/>
  <c r="L277" i="24"/>
  <c r="L278" i="24"/>
  <c r="L279" i="24"/>
  <c r="L280" i="24"/>
  <c r="L281" i="24"/>
  <c r="L282" i="24"/>
  <c r="L283" i="24"/>
  <c r="L284" i="24"/>
  <c r="L285" i="24"/>
  <c r="L286" i="24"/>
  <c r="L287" i="24"/>
  <c r="L288" i="24"/>
  <c r="L289" i="24"/>
  <c r="L290" i="24"/>
  <c r="L291" i="24"/>
  <c r="L292" i="24"/>
  <c r="L293" i="24"/>
  <c r="L294" i="24"/>
  <c r="L295" i="24"/>
  <c r="L296" i="24"/>
  <c r="L297" i="24"/>
  <c r="L298" i="24"/>
  <c r="L299" i="24"/>
  <c r="L300" i="24"/>
  <c r="L301" i="24"/>
  <c r="L302" i="24"/>
  <c r="L303" i="24"/>
  <c r="L304" i="24"/>
  <c r="L305" i="24"/>
  <c r="L306" i="24"/>
  <c r="L307" i="24"/>
  <c r="L308" i="24"/>
  <c r="L309" i="24"/>
  <c r="L310" i="24"/>
  <c r="L311" i="24"/>
  <c r="L312" i="24"/>
  <c r="L313" i="24"/>
  <c r="L314" i="24"/>
  <c r="L315" i="24"/>
  <c r="L316" i="24"/>
  <c r="L317" i="24"/>
  <c r="L318" i="24"/>
  <c r="L319" i="24"/>
  <c r="L320" i="24"/>
  <c r="L321" i="24"/>
  <c r="L322" i="24"/>
  <c r="L323" i="24"/>
  <c r="L324" i="24"/>
  <c r="L325" i="24"/>
  <c r="L326" i="24"/>
  <c r="L327" i="24"/>
  <c r="L328" i="24"/>
  <c r="L329" i="24"/>
  <c r="L330" i="24"/>
  <c r="L331" i="24"/>
  <c r="L332" i="24"/>
  <c r="L333" i="24"/>
  <c r="L334" i="24"/>
  <c r="L335" i="24"/>
  <c r="L336" i="24"/>
  <c r="L337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2" i="24"/>
  <c r="AH150" i="24"/>
  <c r="AG150" i="24"/>
  <c r="AF150" i="24"/>
  <c r="AE150" i="24"/>
  <c r="AH149" i="24"/>
  <c r="AG149" i="24"/>
  <c r="AF149" i="24"/>
  <c r="AE149" i="24"/>
  <c r="AE151" i="24" s="1"/>
  <c r="AG151" i="24" l="1"/>
  <c r="AH151" i="24"/>
  <c r="AF151" i="24"/>
  <c r="AT114" i="24"/>
  <c r="AS114" i="24"/>
  <c r="AR114" i="24"/>
  <c r="AQ114" i="24"/>
  <c r="AT113" i="24"/>
  <c r="AS113" i="24"/>
  <c r="AR113" i="24"/>
  <c r="AQ113" i="24"/>
  <c r="AM114" i="24"/>
  <c r="AL114" i="24"/>
  <c r="AK114" i="24"/>
  <c r="AJ114" i="24"/>
  <c r="AM113" i="24"/>
  <c r="AL113" i="24"/>
  <c r="AK113" i="24"/>
  <c r="AJ113" i="24"/>
  <c r="K65" i="24"/>
  <c r="AF86" i="24"/>
  <c r="U84" i="24"/>
  <c r="U80" i="24"/>
  <c r="U75" i="24"/>
  <c r="AI86" i="24"/>
  <c r="AH86" i="24"/>
  <c r="AG86" i="24"/>
  <c r="AI85" i="24"/>
  <c r="AH85" i="24"/>
  <c r="AG85" i="24"/>
  <c r="AF85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6" i="24"/>
  <c r="K67" i="24"/>
  <c r="K68" i="24"/>
  <c r="K2" i="24"/>
  <c r="I20" i="24"/>
  <c r="I11" i="24"/>
  <c r="I22" i="24"/>
  <c r="J11" i="24"/>
  <c r="AQ107" i="24" l="1"/>
  <c r="M11" i="24"/>
  <c r="AQ106" i="24"/>
  <c r="AQ111" i="24"/>
  <c r="AQ110" i="24"/>
  <c r="AR115" i="24"/>
  <c r="AQ115" i="24"/>
  <c r="AS115" i="24"/>
  <c r="AT115" i="24"/>
  <c r="AJ115" i="24"/>
  <c r="AK115" i="24"/>
  <c r="AL115" i="24"/>
  <c r="AM115" i="24"/>
  <c r="AF87" i="24"/>
  <c r="AH87" i="24"/>
  <c r="AI87" i="24"/>
  <c r="AG87" i="24"/>
  <c r="U195" i="24"/>
  <c r="T195" i="24"/>
  <c r="S195" i="24"/>
  <c r="R195" i="24"/>
  <c r="U194" i="24"/>
  <c r="T194" i="24"/>
  <c r="S194" i="24"/>
  <c r="R194" i="24"/>
  <c r="U168" i="24"/>
  <c r="T168" i="24"/>
  <c r="S168" i="24"/>
  <c r="R168" i="24"/>
  <c r="U167" i="24"/>
  <c r="T167" i="24"/>
  <c r="S167" i="24"/>
  <c r="R167" i="24"/>
  <c r="T138" i="24"/>
  <c r="T75" i="24"/>
  <c r="J220" i="24"/>
  <c r="J221" i="24"/>
  <c r="J222" i="24"/>
  <c r="J223" i="24"/>
  <c r="J224" i="24"/>
  <c r="J225" i="24"/>
  <c r="J226" i="24"/>
  <c r="J227" i="24"/>
  <c r="J228" i="24"/>
  <c r="J229" i="24"/>
  <c r="J230" i="24"/>
  <c r="J231" i="24"/>
  <c r="J232" i="24"/>
  <c r="J233" i="24"/>
  <c r="J234" i="24"/>
  <c r="J235" i="24"/>
  <c r="J236" i="24"/>
  <c r="J237" i="24"/>
  <c r="J238" i="24"/>
  <c r="J239" i="24"/>
  <c r="J240" i="24"/>
  <c r="J241" i="24"/>
  <c r="J242" i="24"/>
  <c r="J243" i="24"/>
  <c r="J244" i="24"/>
  <c r="J245" i="24"/>
  <c r="J246" i="24"/>
  <c r="J247" i="24"/>
  <c r="J248" i="24"/>
  <c r="J249" i="24"/>
  <c r="J250" i="24"/>
  <c r="J251" i="24"/>
  <c r="J252" i="24"/>
  <c r="J253" i="24"/>
  <c r="J254" i="24"/>
  <c r="J255" i="24"/>
  <c r="J256" i="24"/>
  <c r="J257" i="24"/>
  <c r="J258" i="24"/>
  <c r="J259" i="24"/>
  <c r="J260" i="24"/>
  <c r="J261" i="24"/>
  <c r="J262" i="24"/>
  <c r="J263" i="24"/>
  <c r="J264" i="24"/>
  <c r="J265" i="24"/>
  <c r="J266" i="24"/>
  <c r="J267" i="24"/>
  <c r="J268" i="24"/>
  <c r="J269" i="24"/>
  <c r="J270" i="24"/>
  <c r="J271" i="24"/>
  <c r="J272" i="24"/>
  <c r="J273" i="24"/>
  <c r="J274" i="24"/>
  <c r="J275" i="24"/>
  <c r="J276" i="24"/>
  <c r="J277" i="24"/>
  <c r="J278" i="24"/>
  <c r="J279" i="24"/>
  <c r="J280" i="24"/>
  <c r="J281" i="24"/>
  <c r="J282" i="24"/>
  <c r="J283" i="24"/>
  <c r="J284" i="24"/>
  <c r="J285" i="24"/>
  <c r="J286" i="24"/>
  <c r="J287" i="24"/>
  <c r="J288" i="24"/>
  <c r="J289" i="24"/>
  <c r="J290" i="24"/>
  <c r="J291" i="24"/>
  <c r="J292" i="24"/>
  <c r="J293" i="24"/>
  <c r="J294" i="24"/>
  <c r="J295" i="24"/>
  <c r="J296" i="24"/>
  <c r="J297" i="24"/>
  <c r="J298" i="24"/>
  <c r="J299" i="24"/>
  <c r="J300" i="24"/>
  <c r="J301" i="24"/>
  <c r="J302" i="24"/>
  <c r="J303" i="24"/>
  <c r="J304" i="24"/>
  <c r="J305" i="24"/>
  <c r="J306" i="24"/>
  <c r="J307" i="24"/>
  <c r="J308" i="24"/>
  <c r="J309" i="24"/>
  <c r="J310" i="24"/>
  <c r="J311" i="24"/>
  <c r="J312" i="24"/>
  <c r="J313" i="24"/>
  <c r="J314" i="24"/>
  <c r="J315" i="24"/>
  <c r="J316" i="24"/>
  <c r="J317" i="24"/>
  <c r="J318" i="24"/>
  <c r="J319" i="24"/>
  <c r="J320" i="24"/>
  <c r="J321" i="24"/>
  <c r="J322" i="24"/>
  <c r="J323" i="24"/>
  <c r="J324" i="24"/>
  <c r="J325" i="24"/>
  <c r="J326" i="24"/>
  <c r="J327" i="24"/>
  <c r="J328" i="24"/>
  <c r="J329" i="24"/>
  <c r="J330" i="24"/>
  <c r="J331" i="24"/>
  <c r="J332" i="24"/>
  <c r="J333" i="24"/>
  <c r="J334" i="24"/>
  <c r="J335" i="24"/>
  <c r="J336" i="24"/>
  <c r="J337" i="24"/>
  <c r="J219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6" i="24"/>
  <c r="J177" i="24"/>
  <c r="J178" i="24"/>
  <c r="J179" i="24"/>
  <c r="J180" i="24"/>
  <c r="J181" i="24"/>
  <c r="J182" i="24"/>
  <c r="J183" i="24"/>
  <c r="J184" i="24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J127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69" i="24"/>
  <c r="J3" i="24"/>
  <c r="J4" i="24"/>
  <c r="J5" i="24"/>
  <c r="J6" i="24"/>
  <c r="J7" i="24"/>
  <c r="J8" i="24"/>
  <c r="J9" i="24"/>
  <c r="J10" i="24"/>
  <c r="J12" i="24"/>
  <c r="J13" i="24"/>
  <c r="J14" i="24"/>
  <c r="J15" i="24"/>
  <c r="J16" i="24"/>
  <c r="J17" i="24"/>
  <c r="J18" i="24"/>
  <c r="J19" i="24"/>
  <c r="J20" i="24"/>
  <c r="M20" i="24" s="1"/>
  <c r="J21" i="24"/>
  <c r="J22" i="24"/>
  <c r="M22" i="24" s="1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2" i="24"/>
  <c r="U139" i="24"/>
  <c r="T139" i="24"/>
  <c r="S139" i="24"/>
  <c r="R139" i="24"/>
  <c r="U138" i="24"/>
  <c r="S138" i="24"/>
  <c r="R138" i="24"/>
  <c r="AB114" i="24"/>
  <c r="AA114" i="24"/>
  <c r="Z114" i="24"/>
  <c r="Y114" i="24"/>
  <c r="AB113" i="24"/>
  <c r="AA113" i="24"/>
  <c r="Z113" i="24"/>
  <c r="Y113" i="24"/>
  <c r="U115" i="24"/>
  <c r="T115" i="24"/>
  <c r="S115" i="24"/>
  <c r="R115" i="24"/>
  <c r="U114" i="24"/>
  <c r="T114" i="24"/>
  <c r="S114" i="24"/>
  <c r="R114" i="24"/>
  <c r="U85" i="24"/>
  <c r="T85" i="24"/>
  <c r="T84" i="24"/>
  <c r="S85" i="24"/>
  <c r="S84" i="24"/>
  <c r="R85" i="24"/>
  <c r="R84" i="24"/>
  <c r="S75" i="24"/>
  <c r="R76" i="24"/>
  <c r="R75" i="24"/>
  <c r="U81" i="24"/>
  <c r="U76" i="24"/>
  <c r="T81" i="24"/>
  <c r="T80" i="24"/>
  <c r="T76" i="24"/>
  <c r="S81" i="24"/>
  <c r="S80" i="24"/>
  <c r="S76" i="24"/>
  <c r="R81" i="24"/>
  <c r="R80" i="24"/>
  <c r="O2" i="11"/>
  <c r="AQ119" i="24" l="1"/>
  <c r="AQ118" i="24"/>
  <c r="AQ117" i="24"/>
  <c r="R140" i="24"/>
  <c r="R169" i="24"/>
  <c r="R196" i="24"/>
  <c r="T196" i="24"/>
  <c r="S89" i="24"/>
  <c r="R89" i="24"/>
  <c r="U90" i="24"/>
  <c r="T189" i="24"/>
  <c r="S169" i="24"/>
  <c r="S196" i="24"/>
  <c r="U196" i="24"/>
  <c r="U88" i="24"/>
  <c r="T169" i="24"/>
  <c r="U189" i="24"/>
  <c r="S90" i="24"/>
  <c r="T90" i="24"/>
  <c r="U169" i="24"/>
  <c r="S189" i="24"/>
  <c r="Y115" i="24"/>
  <c r="R188" i="24"/>
  <c r="Z115" i="24"/>
  <c r="S188" i="24"/>
  <c r="R88" i="24"/>
  <c r="S88" i="24"/>
  <c r="T188" i="24"/>
  <c r="U89" i="24"/>
  <c r="U188" i="24"/>
  <c r="T88" i="24"/>
  <c r="R189" i="24"/>
  <c r="R90" i="24"/>
  <c r="T89" i="24"/>
  <c r="AA115" i="24"/>
  <c r="AB115" i="24"/>
  <c r="S140" i="24"/>
  <c r="T140" i="24"/>
  <c r="U140" i="24"/>
  <c r="R116" i="24"/>
  <c r="T116" i="24"/>
  <c r="U116" i="24"/>
  <c r="S116" i="24"/>
  <c r="T82" i="24"/>
  <c r="T77" i="24"/>
  <c r="S82" i="24"/>
  <c r="T86" i="24"/>
  <c r="R86" i="24"/>
  <c r="S61" i="24"/>
  <c r="T61" i="24"/>
  <c r="U61" i="24"/>
  <c r="R61" i="24"/>
  <c r="S60" i="24"/>
  <c r="T60" i="24"/>
  <c r="U60" i="24"/>
  <c r="R60" i="24"/>
  <c r="S77" i="24" l="1"/>
  <c r="U82" i="24"/>
  <c r="S86" i="24"/>
  <c r="U77" i="24"/>
  <c r="U86" i="24"/>
  <c r="R77" i="24"/>
  <c r="R82" i="24"/>
  <c r="P14" i="24"/>
  <c r="P26" i="24" l="1"/>
  <c r="U45" i="24" s="1"/>
  <c r="O26" i="24"/>
  <c r="P24" i="24"/>
  <c r="S42" i="24" s="1"/>
  <c r="O24" i="24"/>
  <c r="P21" i="24"/>
  <c r="W36" i="24" s="1"/>
  <c r="O21" i="24"/>
  <c r="P19" i="24"/>
  <c r="W33" i="24" s="1"/>
  <c r="O19" i="24"/>
  <c r="P16" i="24"/>
  <c r="X27" i="24" s="1"/>
  <c r="O16" i="24"/>
  <c r="W24" i="24"/>
  <c r="O14" i="24"/>
  <c r="Z24" i="24" s="1"/>
  <c r="P11" i="24"/>
  <c r="W18" i="24" s="1"/>
  <c r="O11" i="24"/>
  <c r="P9" i="24"/>
  <c r="W15" i="24" s="1"/>
  <c r="O9" i="24"/>
  <c r="O4" i="24"/>
  <c r="O6" i="24"/>
  <c r="I318" i="24"/>
  <c r="I322" i="24"/>
  <c r="I297" i="24"/>
  <c r="I284" i="24"/>
  <c r="I275" i="24"/>
  <c r="I234" i="24"/>
  <c r="I332" i="24"/>
  <c r="I300" i="24"/>
  <c r="I279" i="24"/>
  <c r="I271" i="24"/>
  <c r="I239" i="24"/>
  <c r="I331" i="24"/>
  <c r="I309" i="24"/>
  <c r="I270" i="24"/>
  <c r="I245" i="24"/>
  <c r="I326" i="24"/>
  <c r="I299" i="24"/>
  <c r="I288" i="24"/>
  <c r="I269" i="24"/>
  <c r="I235" i="24"/>
  <c r="I323" i="24"/>
  <c r="I301" i="24"/>
  <c r="I277" i="24"/>
  <c r="I268" i="24"/>
  <c r="I236" i="24"/>
  <c r="I324" i="24"/>
  <c r="I298" i="24"/>
  <c r="I281" i="24"/>
  <c r="I262" i="24"/>
  <c r="I237" i="24"/>
  <c r="I320" i="24"/>
  <c r="I303" i="24"/>
  <c r="I278" i="24"/>
  <c r="I258" i="24"/>
  <c r="I232" i="24"/>
  <c r="I233" i="24"/>
  <c r="I231" i="24"/>
  <c r="I319" i="24"/>
  <c r="I227" i="24"/>
  <c r="I226" i="24"/>
  <c r="I224" i="24"/>
  <c r="I276" i="24"/>
  <c r="I311" i="24"/>
  <c r="I257" i="24"/>
  <c r="I256" i="24"/>
  <c r="I222" i="24"/>
  <c r="I255" i="24"/>
  <c r="I296" i="24"/>
  <c r="I254" i="24"/>
  <c r="I295" i="24"/>
  <c r="I253" i="24"/>
  <c r="I230" i="24"/>
  <c r="I221" i="24"/>
  <c r="I304" i="24"/>
  <c r="I250" i="24"/>
  <c r="I225" i="24"/>
  <c r="I307" i="24"/>
  <c r="I229" i="24"/>
  <c r="I223" i="24"/>
  <c r="I219" i="24"/>
  <c r="I317" i="24"/>
  <c r="I212" i="24"/>
  <c r="I179" i="24"/>
  <c r="I168" i="24"/>
  <c r="I216" i="24"/>
  <c r="I198" i="24"/>
  <c r="I171" i="24"/>
  <c r="I192" i="24"/>
  <c r="I188" i="24"/>
  <c r="I215" i="24"/>
  <c r="I197" i="24"/>
  <c r="I187" i="24"/>
  <c r="I180" i="24"/>
  <c r="I177" i="24"/>
  <c r="I214" i="24"/>
  <c r="I194" i="24"/>
  <c r="I186" i="24"/>
  <c r="I181" i="24"/>
  <c r="I176" i="24"/>
  <c r="I200" i="24"/>
  <c r="I175" i="24"/>
  <c r="I193" i="24"/>
  <c r="I172" i="24"/>
  <c r="I174" i="24"/>
  <c r="I170" i="24"/>
  <c r="I191" i="24"/>
  <c r="I173" i="24"/>
  <c r="I195" i="24"/>
  <c r="I169" i="24"/>
  <c r="I196" i="24"/>
  <c r="I190" i="24"/>
  <c r="I185" i="24"/>
  <c r="I182" i="24"/>
  <c r="I184" i="24"/>
  <c r="I183" i="24"/>
  <c r="I137" i="24"/>
  <c r="I152" i="24"/>
  <c r="I199" i="24"/>
  <c r="I159" i="24"/>
  <c r="I127" i="24"/>
  <c r="I158" i="24"/>
  <c r="I205" i="24"/>
  <c r="I136" i="24"/>
  <c r="I157" i="24"/>
  <c r="I208" i="24"/>
  <c r="I132" i="24"/>
  <c r="I160" i="24"/>
  <c r="I155" i="24"/>
  <c r="I129" i="24"/>
  <c r="I167" i="24"/>
  <c r="I150" i="24"/>
  <c r="I131" i="24"/>
  <c r="I145" i="24"/>
  <c r="I149" i="24"/>
  <c r="I166" i="24"/>
  <c r="I142" i="24"/>
  <c r="I210" i="24"/>
  <c r="I163" i="24"/>
  <c r="I143" i="24"/>
  <c r="I135" i="24"/>
  <c r="I130" i="24"/>
  <c r="I189" i="24"/>
  <c r="I206" i="24"/>
  <c r="I213" i="24"/>
  <c r="I154" i="24"/>
  <c r="I133" i="24"/>
  <c r="I207" i="24"/>
  <c r="I218" i="24"/>
  <c r="I151" i="24"/>
  <c r="I201" i="24"/>
  <c r="I178" i="24"/>
  <c r="I217" i="24"/>
  <c r="I156" i="24"/>
  <c r="I203" i="24"/>
  <c r="I144" i="24"/>
  <c r="I202" i="24"/>
  <c r="I165" i="24"/>
  <c r="I147" i="24"/>
  <c r="I204" i="24"/>
  <c r="I162" i="24"/>
  <c r="I146" i="24"/>
  <c r="I134" i="24"/>
  <c r="I141" i="24"/>
  <c r="I211" i="24"/>
  <c r="I128" i="24"/>
  <c r="I164" i="24"/>
  <c r="I148" i="24"/>
  <c r="I138" i="24"/>
  <c r="I161" i="24"/>
  <c r="I140" i="24"/>
  <c r="I139" i="24"/>
  <c r="I153" i="24"/>
  <c r="I209" i="24"/>
  <c r="I119" i="24"/>
  <c r="I120" i="24"/>
  <c r="I121" i="24"/>
  <c r="I112" i="24"/>
  <c r="I95" i="24"/>
  <c r="I92" i="24"/>
  <c r="I93" i="24"/>
  <c r="I105" i="24"/>
  <c r="I124" i="24"/>
  <c r="I108" i="24"/>
  <c r="I94" i="24"/>
  <c r="I106" i="24"/>
  <c r="I125" i="24"/>
  <c r="I109" i="24"/>
  <c r="I104" i="24"/>
  <c r="I107" i="24"/>
  <c r="I126" i="24"/>
  <c r="I85" i="24"/>
  <c r="I111" i="24"/>
  <c r="I91" i="24"/>
  <c r="I72" i="24"/>
  <c r="I70" i="24"/>
  <c r="I81" i="24"/>
  <c r="I102" i="24"/>
  <c r="I69" i="24"/>
  <c r="I86" i="24"/>
  <c r="I76" i="24"/>
  <c r="I113" i="24"/>
  <c r="I74" i="24"/>
  <c r="I110" i="24"/>
  <c r="I75" i="24"/>
  <c r="I122" i="24"/>
  <c r="I115" i="24"/>
  <c r="I73" i="24"/>
  <c r="I98" i="24"/>
  <c r="I97" i="24"/>
  <c r="I80" i="24"/>
  <c r="I123" i="24"/>
  <c r="I117" i="24"/>
  <c r="I90" i="24"/>
  <c r="I82" i="24"/>
  <c r="I116" i="24"/>
  <c r="I101" i="24"/>
  <c r="I88" i="24"/>
  <c r="I96" i="24"/>
  <c r="I78" i="24"/>
  <c r="I118" i="24"/>
  <c r="I100" i="24"/>
  <c r="I83" i="24"/>
  <c r="I71" i="24"/>
  <c r="I99" i="24"/>
  <c r="I84" i="24"/>
  <c r="I103" i="24"/>
  <c r="I87" i="24"/>
  <c r="I77" i="24"/>
  <c r="I89" i="24"/>
  <c r="I79" i="24"/>
  <c r="I114" i="24"/>
  <c r="I53" i="24"/>
  <c r="M53" i="24" s="1"/>
  <c r="I55" i="24"/>
  <c r="M55" i="24" s="1"/>
  <c r="I56" i="24"/>
  <c r="M56" i="24" s="1"/>
  <c r="I54" i="24"/>
  <c r="M54" i="24" s="1"/>
  <c r="I64" i="24"/>
  <c r="M64" i="24" s="1"/>
  <c r="I32" i="24"/>
  <c r="M32" i="24" s="1"/>
  <c r="I28" i="24"/>
  <c r="M28" i="24" s="1"/>
  <c r="I15" i="24"/>
  <c r="M15" i="24" s="1"/>
  <c r="I61" i="24"/>
  <c r="M61" i="24" s="1"/>
  <c r="I34" i="24"/>
  <c r="M34" i="24" s="1"/>
  <c r="I27" i="24"/>
  <c r="M27" i="24" s="1"/>
  <c r="I23" i="24"/>
  <c r="M23" i="24" s="1"/>
  <c r="I17" i="24"/>
  <c r="M17" i="24" s="1"/>
  <c r="I63" i="24"/>
  <c r="M63" i="24" s="1"/>
  <c r="I47" i="24"/>
  <c r="M47" i="24" s="1"/>
  <c r="I25" i="24"/>
  <c r="M25" i="24" s="1"/>
  <c r="I62" i="24"/>
  <c r="M62" i="24" s="1"/>
  <c r="I33" i="24"/>
  <c r="M33" i="24" s="1"/>
  <c r="I26" i="24"/>
  <c r="M26" i="24" s="1"/>
  <c r="I24" i="24"/>
  <c r="M24" i="24" s="1"/>
  <c r="I13" i="24"/>
  <c r="M13" i="24" s="1"/>
  <c r="I48" i="24"/>
  <c r="M48" i="24" s="1"/>
  <c r="I12" i="24"/>
  <c r="I46" i="24"/>
  <c r="M46" i="24" s="1"/>
  <c r="I30" i="24"/>
  <c r="M30" i="24" s="1"/>
  <c r="I14" i="24"/>
  <c r="M14" i="24" s="1"/>
  <c r="I31" i="24"/>
  <c r="M31" i="24" s="1"/>
  <c r="I36" i="24"/>
  <c r="M36" i="24" s="1"/>
  <c r="I16" i="24"/>
  <c r="M16" i="24" s="1"/>
  <c r="I18" i="24"/>
  <c r="M18" i="24" s="1"/>
  <c r="I68" i="24"/>
  <c r="M68" i="24" s="1"/>
  <c r="I10" i="24"/>
  <c r="M10" i="24" s="1"/>
  <c r="I66" i="24"/>
  <c r="M66" i="24" s="1"/>
  <c r="I52" i="24"/>
  <c r="M52" i="24" s="1"/>
  <c r="I9" i="24"/>
  <c r="M9" i="24" s="1"/>
  <c r="I44" i="24"/>
  <c r="M44" i="24" s="1"/>
  <c r="I60" i="24"/>
  <c r="M60" i="24" s="1"/>
  <c r="I35" i="24"/>
  <c r="M35" i="24" s="1"/>
  <c r="I59" i="24"/>
  <c r="M59" i="24" s="1"/>
  <c r="I50" i="24"/>
  <c r="M50" i="24" s="1"/>
  <c r="I6" i="24"/>
  <c r="M6" i="24" s="1"/>
  <c r="I67" i="24"/>
  <c r="M67" i="24" s="1"/>
  <c r="I29" i="24"/>
  <c r="M29" i="24" s="1"/>
  <c r="I2" i="24"/>
  <c r="I65" i="24"/>
  <c r="M65" i="24" s="1"/>
  <c r="I58" i="24"/>
  <c r="M58" i="24" s="1"/>
  <c r="I42" i="24"/>
  <c r="M42" i="24" s="1"/>
  <c r="I45" i="24"/>
  <c r="M45" i="24" s="1"/>
  <c r="I5" i="24"/>
  <c r="M5" i="24" s="1"/>
  <c r="I4" i="24"/>
  <c r="M4" i="24" s="1"/>
  <c r="I49" i="24"/>
  <c r="M49" i="24" s="1"/>
  <c r="I51" i="24"/>
  <c r="M51" i="24" s="1"/>
  <c r="I8" i="24"/>
  <c r="M8" i="24" s="1"/>
  <c r="I3" i="24"/>
  <c r="M3" i="24" s="1"/>
  <c r="I57" i="24"/>
  <c r="M57" i="24" s="1"/>
  <c r="I37" i="24"/>
  <c r="M37" i="24" s="1"/>
  <c r="I21" i="24"/>
  <c r="M21" i="24" s="1"/>
  <c r="I38" i="24"/>
  <c r="M38" i="24" s="1"/>
  <c r="I41" i="24"/>
  <c r="M41" i="24" s="1"/>
  <c r="I39" i="24"/>
  <c r="M39" i="24" s="1"/>
  <c r="I40" i="24"/>
  <c r="M40" i="24" s="1"/>
  <c r="I7" i="24"/>
  <c r="M7" i="24" s="1"/>
  <c r="I43" i="24"/>
  <c r="M43" i="24" s="1"/>
  <c r="I19" i="24"/>
  <c r="M19" i="24" s="1"/>
  <c r="I333" i="24"/>
  <c r="I305" i="24"/>
  <c r="I283" i="24"/>
  <c r="I274" i="24"/>
  <c r="I241" i="24"/>
  <c r="I328" i="24"/>
  <c r="I310" i="24"/>
  <c r="I280" i="24"/>
  <c r="I267" i="24"/>
  <c r="I244" i="24"/>
  <c r="I327" i="24"/>
  <c r="I302" i="24"/>
  <c r="I285" i="24"/>
  <c r="I265" i="24"/>
  <c r="I240" i="24"/>
  <c r="I321" i="24"/>
  <c r="I306" i="24"/>
  <c r="I282" i="24"/>
  <c r="I261" i="24"/>
  <c r="I238" i="24"/>
  <c r="I228" i="24"/>
  <c r="I316" i="24"/>
  <c r="I292" i="24"/>
  <c r="I273" i="24"/>
  <c r="I248" i="24"/>
  <c r="I335" i="24"/>
  <c r="I220" i="24"/>
  <c r="I291" i="24"/>
  <c r="I252" i="24"/>
  <c r="I337" i="24"/>
  <c r="I315" i="24"/>
  <c r="I293" i="24"/>
  <c r="I264" i="24"/>
  <c r="I249" i="24"/>
  <c r="I329" i="24"/>
  <c r="I294" i="24"/>
  <c r="I260" i="24"/>
  <c r="I247" i="24"/>
  <c r="I336" i="24"/>
  <c r="I312" i="24"/>
  <c r="I286" i="24"/>
  <c r="I272" i="24"/>
  <c r="I243" i="24"/>
  <c r="I334" i="24"/>
  <c r="I314" i="24"/>
  <c r="I287" i="24"/>
  <c r="I266" i="24"/>
  <c r="I251" i="24"/>
  <c r="I330" i="24"/>
  <c r="I308" i="24"/>
  <c r="I290" i="24"/>
  <c r="I263" i="24"/>
  <c r="U7" i="24"/>
  <c r="T7" i="24"/>
  <c r="S7" i="24"/>
  <c r="R7" i="24"/>
  <c r="I246" i="24"/>
  <c r="I325" i="24"/>
  <c r="I313" i="24"/>
  <c r="I289" i="24"/>
  <c r="I259" i="24"/>
  <c r="I242" i="24"/>
  <c r="AG172" i="24" l="1"/>
  <c r="AG174" i="24"/>
  <c r="AG173" i="24"/>
  <c r="AG166" i="24"/>
  <c r="AG171" i="24"/>
  <c r="AG167" i="24"/>
  <c r="AH172" i="24"/>
  <c r="AH174" i="24"/>
  <c r="AH173" i="24"/>
  <c r="AH166" i="24"/>
  <c r="AH167" i="24"/>
  <c r="AH171" i="24"/>
  <c r="AE174" i="24"/>
  <c r="AE171" i="24"/>
  <c r="AE167" i="24"/>
  <c r="AE140" i="24"/>
  <c r="AE173" i="24"/>
  <c r="AE139" i="24"/>
  <c r="AE172" i="24"/>
  <c r="AE166" i="24"/>
  <c r="R107" i="24"/>
  <c r="AF172" i="24"/>
  <c r="AF166" i="24"/>
  <c r="AF171" i="24"/>
  <c r="AF167" i="24"/>
  <c r="AF173" i="24"/>
  <c r="AF174" i="24"/>
  <c r="T136" i="24"/>
  <c r="AA106" i="24"/>
  <c r="AG134" i="24"/>
  <c r="T132" i="24"/>
  <c r="AM134" i="24"/>
  <c r="AG135" i="24"/>
  <c r="T133" i="24"/>
  <c r="AM135" i="24"/>
  <c r="U136" i="24"/>
  <c r="AN134" i="24"/>
  <c r="U133" i="24"/>
  <c r="AH135" i="24"/>
  <c r="U132" i="24"/>
  <c r="AN135" i="24"/>
  <c r="AH134" i="24"/>
  <c r="M2" i="24"/>
  <c r="R136" i="24"/>
  <c r="Y106" i="24"/>
  <c r="AJ106" i="24"/>
  <c r="AE135" i="24"/>
  <c r="AK134" i="24"/>
  <c r="R161" i="24"/>
  <c r="AE134" i="24"/>
  <c r="AE142" i="24"/>
  <c r="AK135" i="24"/>
  <c r="AE141" i="24"/>
  <c r="R143" i="24"/>
  <c r="R142" i="24"/>
  <c r="AE168" i="24" s="1"/>
  <c r="AE178" i="24" s="1"/>
  <c r="AE187" i="24" s="1"/>
  <c r="R132" i="24"/>
  <c r="R133" i="24"/>
  <c r="M12" i="24"/>
  <c r="Y107" i="24"/>
  <c r="R164" i="24"/>
  <c r="R135" i="24"/>
  <c r="S136" i="24"/>
  <c r="Z106" i="24"/>
  <c r="AL135" i="24"/>
  <c r="S133" i="24"/>
  <c r="AF134" i="24"/>
  <c r="S132" i="24"/>
  <c r="AL134" i="24"/>
  <c r="AF135" i="24"/>
  <c r="U135" i="24"/>
  <c r="AJ110" i="24" s="1"/>
  <c r="T135" i="24"/>
  <c r="S135" i="24"/>
  <c r="U198" i="24"/>
  <c r="U171" i="24"/>
  <c r="T192" i="24"/>
  <c r="T143" i="24"/>
  <c r="T165" i="24"/>
  <c r="T161" i="24"/>
  <c r="T142" i="24"/>
  <c r="AG168" i="24" s="1"/>
  <c r="AG178" i="24" s="1"/>
  <c r="AG187" i="24" s="1"/>
  <c r="T162" i="24"/>
  <c r="U165" i="24"/>
  <c r="U192" i="24"/>
  <c r="U142" i="24"/>
  <c r="U143" i="24"/>
  <c r="U162" i="24"/>
  <c r="U161" i="24"/>
  <c r="S164" i="24"/>
  <c r="S191" i="24"/>
  <c r="S200" i="24" s="1"/>
  <c r="S198" i="24"/>
  <c r="S171" i="24"/>
  <c r="U164" i="24"/>
  <c r="U191" i="24"/>
  <c r="U200" i="24" s="1"/>
  <c r="AJ111" i="24" s="1"/>
  <c r="R191" i="24"/>
  <c r="R200" i="24" s="1"/>
  <c r="R171" i="24"/>
  <c r="R198" i="24"/>
  <c r="S192" i="24"/>
  <c r="S165" i="24"/>
  <c r="S161" i="24"/>
  <c r="AG76" i="24" s="1"/>
  <c r="S143" i="24"/>
  <c r="S142" i="24"/>
  <c r="AF168" i="24" s="1"/>
  <c r="AF178" i="24" s="1"/>
  <c r="AF187" i="24" s="1"/>
  <c r="S162" i="24"/>
  <c r="R192" i="24"/>
  <c r="R165" i="24"/>
  <c r="R162" i="24"/>
  <c r="T191" i="24"/>
  <c r="T200" i="24" s="1"/>
  <c r="T164" i="24"/>
  <c r="T171" i="24"/>
  <c r="T198" i="24"/>
  <c r="AA107" i="24"/>
  <c r="T111" i="24"/>
  <c r="T107" i="24"/>
  <c r="AA111" i="24"/>
  <c r="S107" i="24"/>
  <c r="Z111" i="24"/>
  <c r="Z107" i="24"/>
  <c r="S111" i="24"/>
  <c r="AA110" i="24"/>
  <c r="T110" i="24"/>
  <c r="T106" i="24"/>
  <c r="U110" i="24"/>
  <c r="U106" i="24"/>
  <c r="AB110" i="24"/>
  <c r="AB106" i="24"/>
  <c r="U107" i="24"/>
  <c r="AB111" i="24"/>
  <c r="AB107" i="24"/>
  <c r="U111" i="24"/>
  <c r="Y111" i="24"/>
  <c r="R111" i="24"/>
  <c r="S110" i="24"/>
  <c r="S106" i="24"/>
  <c r="Z110" i="24"/>
  <c r="Y110" i="24"/>
  <c r="S4" i="24"/>
  <c r="S5" i="24" s="1"/>
  <c r="R49" i="24"/>
  <c r="R106" i="24"/>
  <c r="R4" i="24"/>
  <c r="R5" i="24" s="1"/>
  <c r="R110" i="24"/>
  <c r="R51" i="24"/>
  <c r="X36" i="24"/>
  <c r="X33" i="24"/>
  <c r="X42" i="24"/>
  <c r="X45" i="24"/>
  <c r="Z27" i="24"/>
  <c r="Z28" i="24" s="1"/>
  <c r="S51" i="24"/>
  <c r="R52" i="24"/>
  <c r="U52" i="24"/>
  <c r="U51" i="24"/>
  <c r="T52" i="24"/>
  <c r="S8" i="24"/>
  <c r="S9" i="24" s="1"/>
  <c r="T51" i="24"/>
  <c r="S52" i="24"/>
  <c r="X18" i="24"/>
  <c r="U4" i="24"/>
  <c r="U5" i="24" s="1"/>
  <c r="T4" i="24"/>
  <c r="T5" i="24" s="1"/>
  <c r="U8" i="24"/>
  <c r="U9" i="24" s="1"/>
  <c r="T8" i="24"/>
  <c r="T9" i="24" s="1"/>
  <c r="R8" i="24"/>
  <c r="R9" i="24" s="1"/>
  <c r="X24" i="24"/>
  <c r="X28" i="24" s="1"/>
  <c r="Y27" i="24"/>
  <c r="Q36" i="24"/>
  <c r="T42" i="24"/>
  <c r="V45" i="24"/>
  <c r="X15" i="24"/>
  <c r="Y24" i="24"/>
  <c r="T27" i="24"/>
  <c r="S36" i="24"/>
  <c r="U42" i="24"/>
  <c r="W45" i="24"/>
  <c r="Q33" i="24"/>
  <c r="T36" i="24"/>
  <c r="V42" i="24"/>
  <c r="S15" i="24"/>
  <c r="S18" i="24"/>
  <c r="S24" i="24"/>
  <c r="S27" i="24"/>
  <c r="S33" i="24"/>
  <c r="U36" i="24"/>
  <c r="W42" i="24"/>
  <c r="T15" i="24"/>
  <c r="T18" i="24"/>
  <c r="T24" i="24"/>
  <c r="U27" i="24"/>
  <c r="T33" i="24"/>
  <c r="V36" i="24"/>
  <c r="Q45" i="24"/>
  <c r="U15" i="24"/>
  <c r="U18" i="24"/>
  <c r="U24" i="24"/>
  <c r="V27" i="24"/>
  <c r="U33" i="24"/>
  <c r="S45" i="24"/>
  <c r="S46" i="24" s="1"/>
  <c r="V15" i="24"/>
  <c r="V18" i="24"/>
  <c r="V24" i="24"/>
  <c r="W27" i="24"/>
  <c r="W28" i="24" s="1"/>
  <c r="V33" i="24"/>
  <c r="Q42" i="24"/>
  <c r="T45" i="24"/>
  <c r="N21" i="24"/>
  <c r="N26" i="24"/>
  <c r="N16" i="24"/>
  <c r="W19" i="24"/>
  <c r="N11" i="24"/>
  <c r="AE177" i="24" l="1"/>
  <c r="AE186" i="24" s="1"/>
  <c r="AH168" i="24"/>
  <c r="AH178" i="24" s="1"/>
  <c r="AH187" i="24" s="1"/>
  <c r="AF176" i="24"/>
  <c r="AF169" i="24"/>
  <c r="AG177" i="24"/>
  <c r="AG186" i="24" s="1"/>
  <c r="AE176" i="24"/>
  <c r="AE169" i="24"/>
  <c r="AG176" i="24"/>
  <c r="AG169" i="24"/>
  <c r="AE144" i="24"/>
  <c r="AE153" i="24" s="1"/>
  <c r="AH177" i="24"/>
  <c r="AH186" i="24" s="1"/>
  <c r="AH176" i="24"/>
  <c r="AH169" i="24"/>
  <c r="AF177" i="24"/>
  <c r="AF186" i="24" s="1"/>
  <c r="AR139" i="24"/>
  <c r="AR141" i="24"/>
  <c r="AR134" i="24"/>
  <c r="AR140" i="24"/>
  <c r="AR142" i="24"/>
  <c r="AK139" i="24"/>
  <c r="AK140" i="24"/>
  <c r="AK144" i="24"/>
  <c r="AK142" i="24"/>
  <c r="AK141" i="24"/>
  <c r="AJ117" i="24"/>
  <c r="AM136" i="24"/>
  <c r="T144" i="24"/>
  <c r="T145" i="24" s="1"/>
  <c r="AG136" i="24"/>
  <c r="AE136" i="24"/>
  <c r="AE146" i="24" s="1"/>
  <c r="AE155" i="24" s="1"/>
  <c r="AK136" i="24"/>
  <c r="AK137" i="24" s="1"/>
  <c r="AF136" i="24"/>
  <c r="AL136" i="24"/>
  <c r="AL137" i="24" s="1"/>
  <c r="AH136" i="24"/>
  <c r="AN136" i="24"/>
  <c r="AN137" i="24" s="1"/>
  <c r="AJ107" i="24"/>
  <c r="AJ118" i="24" s="1"/>
  <c r="AE145" i="24"/>
  <c r="AE154" i="24" s="1"/>
  <c r="AM137" i="24"/>
  <c r="Y119" i="24"/>
  <c r="S173" i="24"/>
  <c r="X37" i="24"/>
  <c r="R173" i="24"/>
  <c r="U173" i="24"/>
  <c r="Z119" i="24"/>
  <c r="AA119" i="24"/>
  <c r="S199" i="24"/>
  <c r="R172" i="24"/>
  <c r="R199" i="24"/>
  <c r="T173" i="24"/>
  <c r="S144" i="24"/>
  <c r="S145" i="24" s="1"/>
  <c r="T172" i="24"/>
  <c r="R144" i="24"/>
  <c r="R145" i="24" s="1"/>
  <c r="U144" i="24"/>
  <c r="U145" i="24" s="1"/>
  <c r="T199" i="24"/>
  <c r="S172" i="24"/>
  <c r="U199" i="24"/>
  <c r="U172" i="24"/>
  <c r="AB119" i="24"/>
  <c r="AB118" i="24"/>
  <c r="AB117" i="24"/>
  <c r="Y118" i="24"/>
  <c r="Y117" i="24"/>
  <c r="Z118" i="24"/>
  <c r="Z117" i="24"/>
  <c r="AA118" i="24"/>
  <c r="AA117" i="24"/>
  <c r="X19" i="24"/>
  <c r="X46" i="24"/>
  <c r="Y46" i="24"/>
  <c r="Q46" i="24"/>
  <c r="Y28" i="24"/>
  <c r="U37" i="24"/>
  <c r="Y37" i="24" s="1"/>
  <c r="U28" i="24"/>
  <c r="U19" i="24"/>
  <c r="W46" i="24"/>
  <c r="V37" i="24"/>
  <c r="V28" i="24"/>
  <c r="S19" i="24"/>
  <c r="T46" i="24"/>
  <c r="V46" i="24"/>
  <c r="T19" i="24"/>
  <c r="Y19" i="24" s="1"/>
  <c r="S28" i="24"/>
  <c r="V19" i="24"/>
  <c r="T28" i="24"/>
  <c r="W37" i="24"/>
  <c r="Q37" i="24"/>
  <c r="T37" i="24"/>
  <c r="S37" i="24"/>
  <c r="U46" i="24"/>
  <c r="Z42" i="11"/>
  <c r="Z41" i="11"/>
  <c r="Z33" i="11"/>
  <c r="Z32" i="11"/>
  <c r="V42" i="11"/>
  <c r="V41" i="11"/>
  <c r="T42" i="11"/>
  <c r="T41" i="11"/>
  <c r="J129" i="1"/>
  <c r="J19" i="1"/>
  <c r="J143" i="1"/>
  <c r="J162" i="1"/>
  <c r="J20" i="1"/>
  <c r="J31" i="1"/>
  <c r="AE137" i="24" l="1"/>
  <c r="AG185" i="24"/>
  <c r="AG179" i="24"/>
  <c r="AE185" i="24"/>
  <c r="AE179" i="24"/>
  <c r="AH185" i="24"/>
  <c r="AH179" i="24"/>
  <c r="AF185" i="24"/>
  <c r="AF179" i="24"/>
  <c r="AK146" i="24"/>
  <c r="AR146" i="24"/>
  <c r="AR155" i="24" s="1"/>
  <c r="AY154" i="24" s="1"/>
  <c r="AR145" i="24"/>
  <c r="AR154" i="24" s="1"/>
  <c r="AY153" i="24" s="1"/>
  <c r="AR144" i="24"/>
  <c r="AR153" i="24" s="1"/>
  <c r="AY152" i="24" s="1"/>
  <c r="AR137" i="24"/>
  <c r="AK145" i="24"/>
  <c r="AJ119" i="24"/>
  <c r="AE147" i="24"/>
  <c r="AF137" i="24"/>
  <c r="AG137" i="24"/>
  <c r="AH137" i="24"/>
  <c r="Z43" i="11"/>
  <c r="Z34" i="11"/>
  <c r="Z37" i="24"/>
  <c r="T45" i="11"/>
  <c r="Z45" i="11"/>
  <c r="Z46" i="11"/>
  <c r="Z37" i="11"/>
  <c r="Z44" i="11"/>
  <c r="Z36" i="11"/>
  <c r="Z35" i="11"/>
  <c r="T44" i="11"/>
  <c r="T46" i="11"/>
  <c r="V43" i="11"/>
  <c r="Z19" i="24"/>
  <c r="Z46" i="24"/>
  <c r="S48" i="24"/>
  <c r="W48" i="24"/>
  <c r="U48" i="24"/>
  <c r="V48" i="24"/>
  <c r="AA28" i="24"/>
  <c r="AB28" i="24" s="1"/>
  <c r="T48" i="24"/>
  <c r="V45" i="11"/>
  <c r="V46" i="11"/>
  <c r="V44" i="11"/>
  <c r="AK147" i="24" l="1"/>
  <c r="AR147" i="24"/>
  <c r="L2" i="15"/>
  <c r="T32" i="11"/>
  <c r="X42" i="11" l="1"/>
  <c r="X41" i="11"/>
  <c r="X33" i="11"/>
  <c r="X32" i="11"/>
  <c r="T33" i="11"/>
  <c r="T34" i="11" s="1"/>
  <c r="O7" i="11"/>
  <c r="O6" i="11"/>
  <c r="O8" i="11" l="1"/>
  <c r="T43" i="11"/>
  <c r="X34" i="11"/>
  <c r="T35" i="11"/>
  <c r="T36" i="11"/>
  <c r="X43" i="11"/>
  <c r="T37" i="11"/>
  <c r="X36" i="11"/>
  <c r="X46" i="11"/>
  <c r="X35" i="11"/>
  <c r="X37" i="11"/>
  <c r="X44" i="11"/>
  <c r="X45" i="11"/>
  <c r="F7" i="11"/>
  <c r="F8" i="11"/>
  <c r="F9" i="11"/>
  <c r="F10" i="11"/>
  <c r="F11" i="11"/>
  <c r="F17" i="11"/>
  <c r="F18" i="11"/>
  <c r="F19" i="11"/>
  <c r="F20" i="11"/>
  <c r="F21" i="11"/>
  <c r="F22" i="11"/>
  <c r="F23" i="11"/>
  <c r="F24" i="11"/>
  <c r="F25" i="11"/>
  <c r="F26" i="11"/>
  <c r="F27" i="11"/>
  <c r="F15" i="11"/>
  <c r="F16" i="11"/>
  <c r="F33" i="11"/>
  <c r="F35" i="11"/>
  <c r="F37" i="11"/>
  <c r="F40" i="11"/>
  <c r="F41" i="11"/>
  <c r="F42" i="11"/>
  <c r="F44" i="11"/>
  <c r="F45" i="11"/>
  <c r="F46" i="11"/>
  <c r="F47" i="11"/>
  <c r="F48" i="11"/>
  <c r="F49" i="11"/>
  <c r="F30" i="11"/>
  <c r="F31" i="11"/>
  <c r="F32" i="11"/>
  <c r="F34" i="11"/>
  <c r="F36" i="11"/>
  <c r="F38" i="11"/>
  <c r="F39" i="11"/>
  <c r="F43" i="11"/>
  <c r="F29" i="11"/>
  <c r="F51" i="11"/>
  <c r="F52" i="11"/>
  <c r="Q52" i="11" s="1"/>
  <c r="F53" i="11"/>
  <c r="Q53" i="11" s="1"/>
  <c r="F54" i="11"/>
  <c r="Q54" i="11" s="1"/>
  <c r="F55" i="11"/>
  <c r="Q55" i="11" s="1"/>
  <c r="F56" i="11"/>
  <c r="Q56" i="11" s="1"/>
  <c r="F57" i="11"/>
  <c r="Q57" i="11" s="1"/>
  <c r="F58" i="11"/>
  <c r="Q58" i="11" s="1"/>
  <c r="F2" i="11"/>
  <c r="F3" i="11"/>
  <c r="F4" i="11"/>
  <c r="F5" i="11"/>
  <c r="F12" i="11"/>
  <c r="F13" i="11"/>
  <c r="F14" i="11"/>
  <c r="F28" i="11"/>
  <c r="F50" i="11"/>
  <c r="Q50" i="11" s="1"/>
  <c r="F6" i="11"/>
  <c r="U32" i="11" l="1"/>
  <c r="O9" i="11"/>
  <c r="U33" i="11"/>
  <c r="O10" i="11"/>
  <c r="U42" i="11"/>
  <c r="U41" i="11"/>
  <c r="Y32" i="11"/>
  <c r="Y33" i="11"/>
  <c r="Q51" i="11"/>
  <c r="Y41" i="11"/>
  <c r="Y42" i="11"/>
  <c r="O15" i="11"/>
  <c r="O39" i="11"/>
  <c r="O27" i="11"/>
  <c r="O56" i="11"/>
  <c r="O57" i="11"/>
  <c r="O43" i="11"/>
  <c r="O52" i="11"/>
  <c r="O51" i="11"/>
  <c r="O35" i="11"/>
  <c r="O33" i="11"/>
  <c r="O18" i="11"/>
  <c r="O17" i="11"/>
  <c r="U7" i="11"/>
  <c r="Y44" i="11" l="1"/>
  <c r="Y43" i="11"/>
  <c r="Y45" i="11"/>
  <c r="Y46" i="11"/>
  <c r="U34" i="11"/>
  <c r="U37" i="11"/>
  <c r="U36" i="11"/>
  <c r="U35" i="11"/>
  <c r="Y37" i="11"/>
  <c r="Y34" i="11"/>
  <c r="Y36" i="11"/>
  <c r="Y35" i="11"/>
  <c r="U43" i="11"/>
  <c r="U46" i="11"/>
  <c r="U44" i="11"/>
  <c r="U45" i="11"/>
  <c r="O37" i="11"/>
  <c r="O53" i="11"/>
  <c r="O19" i="11"/>
  <c r="O58" i="11"/>
  <c r="X22" i="11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2" i="15"/>
  <c r="O16" i="11" l="1"/>
  <c r="X7" i="11"/>
  <c r="P55" i="11" s="1"/>
  <c r="W7" i="11"/>
  <c r="P36" i="11" s="1"/>
  <c r="O11" i="11"/>
  <c r="U18" i="11" s="1"/>
  <c r="P53" i="11"/>
  <c r="P51" i="11"/>
  <c r="P57" i="11"/>
  <c r="P56" i="11"/>
  <c r="P45" i="11" l="1"/>
  <c r="P37" i="11"/>
  <c r="P48" i="11"/>
  <c r="V18" i="11"/>
  <c r="Q24" i="11" s="1"/>
  <c r="O29" i="11"/>
  <c r="W18" i="11" s="1"/>
  <c r="P33" i="11"/>
  <c r="P52" i="11"/>
  <c r="P35" i="11"/>
  <c r="P54" i="11"/>
  <c r="P31" i="11"/>
  <c r="P42" i="11"/>
  <c r="P58" i="11"/>
  <c r="P32" i="11"/>
  <c r="P40" i="11"/>
  <c r="V22" i="11"/>
  <c r="Q20" i="11"/>
  <c r="P30" i="11"/>
  <c r="Q23" i="11"/>
  <c r="P38" i="11"/>
  <c r="Q17" i="11"/>
  <c r="Q27" i="11"/>
  <c r="P29" i="11"/>
  <c r="P49" i="11"/>
  <c r="V7" i="11"/>
  <c r="P50" i="11"/>
  <c r="P47" i="11"/>
  <c r="P39" i="11"/>
  <c r="P41" i="11"/>
  <c r="P46" i="11"/>
  <c r="P43" i="11"/>
  <c r="P28" i="11"/>
  <c r="P34" i="11"/>
  <c r="P44" i="11"/>
  <c r="Q7" i="11"/>
  <c r="Q2" i="11"/>
  <c r="Q10" i="11"/>
  <c r="Q9" i="11"/>
  <c r="Q3" i="11"/>
  <c r="Q8" i="11"/>
  <c r="Q5" i="11"/>
  <c r="Q11" i="11"/>
  <c r="Q4" i="11"/>
  <c r="Q6" i="11"/>
  <c r="U22" i="11"/>
  <c r="G111" i="16"/>
  <c r="G2" i="16"/>
  <c r="G8" i="16"/>
  <c r="X11" i="11"/>
  <c r="W11" i="11"/>
  <c r="T3" i="16"/>
  <c r="G4" i="16"/>
  <c r="G3" i="16"/>
  <c r="T11" i="11"/>
  <c r="L3" i="15"/>
  <c r="Q18" i="11" l="1"/>
  <c r="Q26" i="11"/>
  <c r="Q38" i="11"/>
  <c r="Q34" i="11"/>
  <c r="Q48" i="11"/>
  <c r="Q49" i="11"/>
  <c r="Q47" i="11"/>
  <c r="Q41" i="11"/>
  <c r="Q44" i="11"/>
  <c r="Q36" i="11"/>
  <c r="Q29" i="11"/>
  <c r="Q45" i="11"/>
  <c r="Q32" i="11"/>
  <c r="Q31" i="11"/>
  <c r="Q46" i="11"/>
  <c r="Q42" i="11"/>
  <c r="Q28" i="11"/>
  <c r="Q37" i="11"/>
  <c r="Q35" i="11"/>
  <c r="Q39" i="11"/>
  <c r="Q43" i="11"/>
  <c r="Q30" i="11"/>
  <c r="W22" i="11"/>
  <c r="Q33" i="11"/>
  <c r="Q40" i="11"/>
  <c r="Q21" i="11"/>
  <c r="Q25" i="11"/>
  <c r="Q13" i="11"/>
  <c r="Q22" i="11"/>
  <c r="Q16" i="11"/>
  <c r="Q15" i="11"/>
  <c r="Q12" i="11"/>
  <c r="Q14" i="11"/>
  <c r="Q19" i="11"/>
  <c r="U11" i="11"/>
  <c r="P6" i="11"/>
  <c r="P3" i="11"/>
  <c r="P8" i="11"/>
  <c r="P2" i="11"/>
  <c r="P9" i="11"/>
  <c r="P10" i="11"/>
  <c r="P4" i="11"/>
  <c r="P7" i="11"/>
  <c r="P5" i="11"/>
  <c r="P11" i="11"/>
  <c r="V11" i="11"/>
  <c r="P21" i="11"/>
  <c r="P16" i="11"/>
  <c r="P22" i="11"/>
  <c r="P17" i="11"/>
  <c r="P13" i="11"/>
  <c r="P23" i="11"/>
  <c r="P25" i="11"/>
  <c r="P27" i="11"/>
  <c r="P14" i="11"/>
  <c r="P24" i="11"/>
  <c r="P12" i="11"/>
  <c r="P18" i="11"/>
  <c r="P26" i="11"/>
  <c r="P19" i="11"/>
  <c r="P20" i="11"/>
  <c r="P15" i="11"/>
  <c r="T28" i="11"/>
  <c r="T23" i="11"/>
  <c r="T26" i="11"/>
  <c r="T21" i="11"/>
  <c r="T18" i="11"/>
  <c r="T16" i="11"/>
  <c r="T13" i="11"/>
  <c r="T8" i="11"/>
  <c r="T6" i="11"/>
  <c r="X19" i="11" l="1"/>
  <c r="V19" i="11"/>
  <c r="U19" i="11"/>
  <c r="U20" i="11" s="1"/>
  <c r="W23" i="11"/>
  <c r="W24" i="11" s="1"/>
  <c r="V23" i="11"/>
  <c r="V24" i="11" s="1"/>
  <c r="W19" i="11"/>
  <c r="W20" i="11" s="1"/>
  <c r="U23" i="11"/>
  <c r="U24" i="11" s="1"/>
  <c r="X23" i="11"/>
  <c r="X24" i="11" s="1"/>
  <c r="X20" i="11"/>
  <c r="V20" i="11"/>
  <c r="U8" i="11"/>
  <c r="U9" i="11" s="1"/>
  <c r="U12" i="11"/>
  <c r="U13" i="11" s="1"/>
  <c r="X12" i="11"/>
  <c r="X13" i="11" s="1"/>
  <c r="W12" i="11"/>
  <c r="W13" i="11" s="1"/>
  <c r="V12" i="11"/>
  <c r="V13" i="11" s="1"/>
  <c r="W8" i="11"/>
  <c r="W9" i="11" s="1"/>
  <c r="V8" i="11"/>
  <c r="V9" i="11" s="1"/>
  <c r="X8" i="11"/>
  <c r="X9" i="11" s="1"/>
  <c r="Q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219" i="15"/>
  <c r="Q220" i="15"/>
  <c r="Q221" i="15"/>
  <c r="Q222" i="15"/>
  <c r="Q223" i="15"/>
  <c r="Q224" i="15"/>
  <c r="Q225" i="15"/>
  <c r="Q226" i="15"/>
  <c r="Q227" i="15"/>
  <c r="Q228" i="15"/>
  <c r="Q229" i="15"/>
  <c r="Q230" i="15"/>
  <c r="Q231" i="15"/>
  <c r="Q232" i="15"/>
  <c r="Q233" i="15"/>
  <c r="Q234" i="15"/>
  <c r="Q235" i="15"/>
  <c r="Q236" i="15"/>
  <c r="Q237" i="15"/>
  <c r="Q238" i="15"/>
  <c r="Q239" i="15"/>
  <c r="Q240" i="15"/>
  <c r="Q241" i="15"/>
  <c r="Q242" i="15"/>
  <c r="Q37" i="15"/>
  <c r="Q110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07" i="15"/>
  <c r="Q208" i="15"/>
  <c r="Q209" i="15"/>
  <c r="Q210" i="15"/>
  <c r="Q211" i="15"/>
  <c r="Q212" i="15"/>
  <c r="Q213" i="15"/>
  <c r="Q214" i="15"/>
  <c r="Q215" i="15"/>
  <c r="Q216" i="15"/>
  <c r="Q217" i="15"/>
  <c r="Q218" i="15"/>
  <c r="Q243" i="15"/>
  <c r="Q244" i="15"/>
  <c r="Q245" i="15"/>
  <c r="Q246" i="15"/>
  <c r="Q247" i="15"/>
  <c r="Q248" i="15"/>
  <c r="Q249" i="15"/>
  <c r="Q250" i="15"/>
  <c r="Q251" i="15"/>
  <c r="Q252" i="15"/>
  <c r="Q253" i="15"/>
  <c r="Q254" i="15"/>
  <c r="Q255" i="15"/>
  <c r="Q256" i="15"/>
  <c r="Q257" i="15"/>
  <c r="Q258" i="15"/>
  <c r="Q259" i="15"/>
  <c r="Q260" i="15"/>
  <c r="Q261" i="15"/>
  <c r="Q262" i="15"/>
  <c r="Q263" i="15"/>
  <c r="Q264" i="15"/>
  <c r="Q265" i="15"/>
  <c r="Q266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8" i="15"/>
  <c r="Q299" i="15"/>
  <c r="Q300" i="15"/>
  <c r="Q301" i="15"/>
  <c r="Q302" i="15"/>
  <c r="Q303" i="15"/>
  <c r="Q304" i="15"/>
  <c r="Q305" i="15"/>
  <c r="Q306" i="15"/>
  <c r="Q307" i="15"/>
  <c r="Q308" i="15"/>
  <c r="Q309" i="15"/>
  <c r="Q310" i="15"/>
  <c r="Q311" i="15"/>
  <c r="Q312" i="15"/>
  <c r="Q313" i="15"/>
  <c r="Q314" i="15"/>
  <c r="Q315" i="15"/>
  <c r="Q316" i="15"/>
  <c r="Q317" i="15"/>
  <c r="Q318" i="15"/>
  <c r="Q319" i="15"/>
  <c r="Q320" i="15"/>
  <c r="Q321" i="15"/>
  <c r="Q322" i="15"/>
  <c r="Q323" i="15"/>
  <c r="Q324" i="15"/>
  <c r="Q325" i="15"/>
  <c r="Q326" i="15"/>
  <c r="Q327" i="15"/>
  <c r="Q328" i="15"/>
  <c r="Q329" i="15"/>
  <c r="Q330" i="15"/>
  <c r="Q331" i="15"/>
  <c r="Q332" i="15"/>
  <c r="Q333" i="15"/>
  <c r="Q334" i="15"/>
  <c r="Q335" i="15"/>
  <c r="Q336" i="15"/>
  <c r="Q337" i="15"/>
  <c r="R11" i="15"/>
  <c r="R9" i="15"/>
  <c r="G220" i="16"/>
  <c r="H220" i="16"/>
  <c r="I220" i="16"/>
  <c r="J220" i="16"/>
  <c r="K220" i="16"/>
  <c r="G221" i="16"/>
  <c r="H221" i="16"/>
  <c r="I221" i="16"/>
  <c r="J221" i="16"/>
  <c r="K221" i="16"/>
  <c r="G222" i="16"/>
  <c r="H222" i="16"/>
  <c r="I222" i="16"/>
  <c r="J222" i="16"/>
  <c r="K222" i="16"/>
  <c r="G223" i="16"/>
  <c r="H223" i="16"/>
  <c r="I223" i="16"/>
  <c r="J223" i="16"/>
  <c r="K223" i="16"/>
  <c r="G224" i="16"/>
  <c r="H224" i="16"/>
  <c r="I224" i="16"/>
  <c r="J224" i="16"/>
  <c r="K224" i="16"/>
  <c r="G225" i="16"/>
  <c r="H225" i="16"/>
  <c r="I225" i="16"/>
  <c r="J225" i="16"/>
  <c r="K225" i="16"/>
  <c r="G226" i="16"/>
  <c r="H226" i="16"/>
  <c r="I226" i="16"/>
  <c r="J226" i="16"/>
  <c r="K226" i="16"/>
  <c r="G227" i="16"/>
  <c r="H227" i="16"/>
  <c r="I227" i="16"/>
  <c r="J227" i="16"/>
  <c r="K227" i="16"/>
  <c r="G228" i="16"/>
  <c r="H228" i="16"/>
  <c r="I228" i="16"/>
  <c r="J228" i="16"/>
  <c r="K228" i="16"/>
  <c r="G230" i="16"/>
  <c r="H230" i="16"/>
  <c r="I230" i="16"/>
  <c r="J230" i="16"/>
  <c r="K230" i="16"/>
  <c r="G231" i="16"/>
  <c r="H231" i="16"/>
  <c r="I231" i="16"/>
  <c r="J231" i="16"/>
  <c r="K231" i="16"/>
  <c r="G233" i="16"/>
  <c r="H233" i="16"/>
  <c r="I233" i="16"/>
  <c r="J233" i="16"/>
  <c r="K233" i="16"/>
  <c r="G234" i="16"/>
  <c r="H234" i="16"/>
  <c r="I234" i="16"/>
  <c r="J234" i="16"/>
  <c r="K234" i="16"/>
  <c r="G235" i="16"/>
  <c r="H235" i="16"/>
  <c r="I235" i="16"/>
  <c r="J235" i="16"/>
  <c r="K235" i="16"/>
  <c r="G236" i="16"/>
  <c r="H236" i="16"/>
  <c r="I236" i="16"/>
  <c r="J236" i="16"/>
  <c r="K236" i="16"/>
  <c r="G237" i="16"/>
  <c r="H237" i="16"/>
  <c r="I237" i="16"/>
  <c r="J237" i="16"/>
  <c r="K237" i="16"/>
  <c r="G238" i="16"/>
  <c r="H238" i="16"/>
  <c r="I238" i="16"/>
  <c r="J238" i="16"/>
  <c r="K238" i="16"/>
  <c r="G239" i="16"/>
  <c r="H239" i="16"/>
  <c r="I239" i="16"/>
  <c r="J239" i="16"/>
  <c r="K239" i="16"/>
  <c r="G240" i="16"/>
  <c r="H240" i="16"/>
  <c r="I240" i="16"/>
  <c r="J240" i="16"/>
  <c r="K240" i="16"/>
  <c r="G241" i="16"/>
  <c r="H241" i="16"/>
  <c r="I241" i="16"/>
  <c r="J241" i="16"/>
  <c r="K241" i="16"/>
  <c r="G255" i="16"/>
  <c r="H255" i="16"/>
  <c r="I255" i="16"/>
  <c r="J255" i="16"/>
  <c r="K255" i="16"/>
  <c r="G300" i="16"/>
  <c r="H300" i="16"/>
  <c r="I300" i="16"/>
  <c r="J300" i="16"/>
  <c r="K300" i="16"/>
  <c r="G331" i="16"/>
  <c r="H331" i="16"/>
  <c r="I331" i="16"/>
  <c r="J331" i="16"/>
  <c r="K331" i="16"/>
  <c r="G229" i="16"/>
  <c r="H229" i="16"/>
  <c r="I229" i="16"/>
  <c r="J229" i="16"/>
  <c r="K229" i="16"/>
  <c r="G232" i="16"/>
  <c r="H232" i="16"/>
  <c r="I232" i="16"/>
  <c r="J232" i="16"/>
  <c r="K232" i="16"/>
  <c r="G242" i="16"/>
  <c r="H242" i="16"/>
  <c r="I242" i="16"/>
  <c r="J242" i="16"/>
  <c r="K242" i="16"/>
  <c r="G243" i="16"/>
  <c r="H243" i="16"/>
  <c r="I243" i="16"/>
  <c r="J243" i="16"/>
  <c r="K243" i="16"/>
  <c r="G244" i="16"/>
  <c r="H244" i="16"/>
  <c r="I244" i="16"/>
  <c r="J244" i="16"/>
  <c r="K244" i="16"/>
  <c r="G245" i="16"/>
  <c r="H245" i="16"/>
  <c r="I245" i="16"/>
  <c r="J245" i="16"/>
  <c r="K245" i="16"/>
  <c r="G246" i="16"/>
  <c r="H246" i="16"/>
  <c r="I246" i="16"/>
  <c r="J246" i="16"/>
  <c r="K246" i="16"/>
  <c r="G247" i="16"/>
  <c r="H247" i="16"/>
  <c r="I247" i="16"/>
  <c r="J247" i="16"/>
  <c r="K247" i="16"/>
  <c r="G248" i="16"/>
  <c r="H248" i="16"/>
  <c r="I248" i="16"/>
  <c r="J248" i="16"/>
  <c r="K248" i="16"/>
  <c r="G249" i="16"/>
  <c r="H249" i="16"/>
  <c r="I249" i="16"/>
  <c r="J249" i="16"/>
  <c r="K249" i="16"/>
  <c r="G250" i="16"/>
  <c r="H250" i="16"/>
  <c r="I250" i="16"/>
  <c r="J250" i="16"/>
  <c r="K250" i="16"/>
  <c r="G251" i="16"/>
  <c r="H251" i="16"/>
  <c r="I251" i="16"/>
  <c r="J251" i="16"/>
  <c r="K251" i="16"/>
  <c r="G252" i="16"/>
  <c r="H252" i="16"/>
  <c r="I252" i="16"/>
  <c r="J252" i="16"/>
  <c r="K252" i="16"/>
  <c r="G253" i="16"/>
  <c r="H253" i="16"/>
  <c r="I253" i="16"/>
  <c r="J253" i="16"/>
  <c r="K253" i="16"/>
  <c r="G254" i="16"/>
  <c r="H254" i="16"/>
  <c r="I254" i="16"/>
  <c r="J254" i="16"/>
  <c r="K254" i="16"/>
  <c r="G256" i="16"/>
  <c r="H256" i="16"/>
  <c r="I256" i="16"/>
  <c r="J256" i="16"/>
  <c r="K256" i="16"/>
  <c r="G257" i="16"/>
  <c r="H257" i="16"/>
  <c r="I257" i="16"/>
  <c r="J257" i="16"/>
  <c r="K257" i="16"/>
  <c r="G258" i="16"/>
  <c r="H258" i="16"/>
  <c r="I258" i="16"/>
  <c r="J258" i="16"/>
  <c r="K258" i="16"/>
  <c r="G259" i="16"/>
  <c r="H259" i="16"/>
  <c r="I259" i="16"/>
  <c r="J259" i="16"/>
  <c r="K259" i="16"/>
  <c r="G260" i="16"/>
  <c r="H260" i="16"/>
  <c r="I260" i="16"/>
  <c r="J260" i="16"/>
  <c r="K260" i="16"/>
  <c r="G261" i="16"/>
  <c r="H261" i="16"/>
  <c r="I261" i="16"/>
  <c r="J261" i="16"/>
  <c r="K261" i="16"/>
  <c r="G262" i="16"/>
  <c r="H262" i="16"/>
  <c r="I262" i="16"/>
  <c r="J262" i="16"/>
  <c r="K262" i="16"/>
  <c r="G263" i="16"/>
  <c r="H263" i="16"/>
  <c r="I263" i="16"/>
  <c r="J263" i="16"/>
  <c r="K263" i="16"/>
  <c r="G264" i="16"/>
  <c r="H264" i="16"/>
  <c r="I264" i="16"/>
  <c r="J264" i="16"/>
  <c r="K264" i="16"/>
  <c r="G265" i="16"/>
  <c r="H265" i="16"/>
  <c r="I265" i="16"/>
  <c r="J265" i="16"/>
  <c r="K265" i="16"/>
  <c r="G266" i="16"/>
  <c r="H266" i="16"/>
  <c r="I266" i="16"/>
  <c r="J266" i="16"/>
  <c r="K266" i="16"/>
  <c r="G267" i="16"/>
  <c r="H267" i="16"/>
  <c r="I267" i="16"/>
  <c r="J267" i="16"/>
  <c r="K267" i="16"/>
  <c r="G268" i="16"/>
  <c r="H268" i="16"/>
  <c r="I268" i="16"/>
  <c r="J268" i="16"/>
  <c r="K268" i="16"/>
  <c r="G269" i="16"/>
  <c r="H269" i="16"/>
  <c r="I269" i="16"/>
  <c r="J269" i="16"/>
  <c r="K269" i="16"/>
  <c r="G270" i="16"/>
  <c r="H270" i="16"/>
  <c r="I270" i="16"/>
  <c r="J270" i="16"/>
  <c r="K270" i="16"/>
  <c r="G271" i="16"/>
  <c r="H271" i="16"/>
  <c r="I271" i="16"/>
  <c r="J271" i="16"/>
  <c r="K271" i="16"/>
  <c r="G272" i="16"/>
  <c r="H272" i="16"/>
  <c r="I272" i="16"/>
  <c r="J272" i="16"/>
  <c r="K272" i="16"/>
  <c r="G273" i="16"/>
  <c r="H273" i="16"/>
  <c r="I273" i="16"/>
  <c r="J273" i="16"/>
  <c r="K273" i="16"/>
  <c r="G274" i="16"/>
  <c r="H274" i="16"/>
  <c r="I274" i="16"/>
  <c r="J274" i="16"/>
  <c r="K274" i="16"/>
  <c r="G275" i="16"/>
  <c r="H275" i="16"/>
  <c r="I275" i="16"/>
  <c r="J275" i="16"/>
  <c r="K275" i="16"/>
  <c r="G276" i="16"/>
  <c r="H276" i="16"/>
  <c r="I276" i="16"/>
  <c r="J276" i="16"/>
  <c r="K276" i="16"/>
  <c r="G277" i="16"/>
  <c r="H277" i="16"/>
  <c r="I277" i="16"/>
  <c r="J277" i="16"/>
  <c r="K277" i="16"/>
  <c r="G278" i="16"/>
  <c r="H278" i="16"/>
  <c r="I278" i="16"/>
  <c r="J278" i="16"/>
  <c r="K278" i="16"/>
  <c r="G279" i="16"/>
  <c r="H279" i="16"/>
  <c r="I279" i="16"/>
  <c r="J279" i="16"/>
  <c r="K279" i="16"/>
  <c r="G280" i="16"/>
  <c r="H280" i="16"/>
  <c r="I280" i="16"/>
  <c r="J280" i="16"/>
  <c r="K280" i="16"/>
  <c r="G281" i="16"/>
  <c r="H281" i="16"/>
  <c r="I281" i="16"/>
  <c r="J281" i="16"/>
  <c r="K281" i="16"/>
  <c r="G282" i="16"/>
  <c r="H282" i="16"/>
  <c r="I282" i="16"/>
  <c r="J282" i="16"/>
  <c r="K282" i="16"/>
  <c r="G283" i="16"/>
  <c r="H283" i="16"/>
  <c r="I283" i="16"/>
  <c r="J283" i="16"/>
  <c r="K283" i="16"/>
  <c r="G284" i="16"/>
  <c r="H284" i="16"/>
  <c r="I284" i="16"/>
  <c r="J284" i="16"/>
  <c r="K284" i="16"/>
  <c r="G285" i="16"/>
  <c r="H285" i="16"/>
  <c r="I285" i="16"/>
  <c r="J285" i="16"/>
  <c r="K285" i="16"/>
  <c r="G286" i="16"/>
  <c r="H286" i="16"/>
  <c r="I286" i="16"/>
  <c r="J286" i="16"/>
  <c r="K286" i="16"/>
  <c r="G287" i="16"/>
  <c r="H287" i="16"/>
  <c r="I287" i="16"/>
  <c r="J287" i="16"/>
  <c r="K287" i="16"/>
  <c r="G288" i="16"/>
  <c r="H288" i="16"/>
  <c r="I288" i="16"/>
  <c r="J288" i="16"/>
  <c r="K288" i="16"/>
  <c r="G289" i="16"/>
  <c r="H289" i="16"/>
  <c r="I289" i="16"/>
  <c r="J289" i="16"/>
  <c r="K289" i="16"/>
  <c r="G290" i="16"/>
  <c r="H290" i="16"/>
  <c r="I290" i="16"/>
  <c r="J290" i="16"/>
  <c r="K290" i="16"/>
  <c r="G291" i="16"/>
  <c r="H291" i="16"/>
  <c r="I291" i="16"/>
  <c r="J291" i="16"/>
  <c r="K291" i="16"/>
  <c r="G292" i="16"/>
  <c r="H292" i="16"/>
  <c r="I292" i="16"/>
  <c r="J292" i="16"/>
  <c r="K292" i="16"/>
  <c r="G293" i="16"/>
  <c r="H293" i="16"/>
  <c r="I293" i="16"/>
  <c r="J293" i="16"/>
  <c r="K293" i="16"/>
  <c r="G294" i="16"/>
  <c r="H294" i="16"/>
  <c r="I294" i="16"/>
  <c r="J294" i="16"/>
  <c r="K294" i="16"/>
  <c r="G295" i="16"/>
  <c r="H295" i="16"/>
  <c r="I295" i="16"/>
  <c r="J295" i="16"/>
  <c r="K295" i="16"/>
  <c r="G296" i="16"/>
  <c r="H296" i="16"/>
  <c r="I296" i="16"/>
  <c r="J296" i="16"/>
  <c r="K296" i="16"/>
  <c r="G297" i="16"/>
  <c r="H297" i="16"/>
  <c r="I297" i="16"/>
  <c r="J297" i="16"/>
  <c r="K297" i="16"/>
  <c r="G298" i="16"/>
  <c r="H298" i="16"/>
  <c r="I298" i="16"/>
  <c r="J298" i="16"/>
  <c r="K298" i="16"/>
  <c r="G299" i="16"/>
  <c r="H299" i="16"/>
  <c r="I299" i="16"/>
  <c r="J299" i="16"/>
  <c r="K299" i="16"/>
  <c r="G301" i="16"/>
  <c r="H301" i="16"/>
  <c r="I301" i="16"/>
  <c r="J301" i="16"/>
  <c r="K301" i="16"/>
  <c r="G302" i="16"/>
  <c r="H302" i="16"/>
  <c r="I302" i="16"/>
  <c r="J302" i="16"/>
  <c r="K302" i="16"/>
  <c r="G303" i="16"/>
  <c r="H303" i="16"/>
  <c r="I303" i="16"/>
  <c r="J303" i="16"/>
  <c r="K303" i="16"/>
  <c r="G304" i="16"/>
  <c r="H304" i="16"/>
  <c r="I304" i="16"/>
  <c r="J304" i="16"/>
  <c r="K304" i="16"/>
  <c r="G305" i="16"/>
  <c r="H305" i="16"/>
  <c r="I305" i="16"/>
  <c r="J305" i="16"/>
  <c r="K305" i="16"/>
  <c r="G306" i="16"/>
  <c r="H306" i="16"/>
  <c r="I306" i="16"/>
  <c r="J306" i="16"/>
  <c r="K306" i="16"/>
  <c r="G307" i="16"/>
  <c r="H307" i="16"/>
  <c r="I307" i="16"/>
  <c r="J307" i="16"/>
  <c r="K307" i="16"/>
  <c r="G308" i="16"/>
  <c r="H308" i="16"/>
  <c r="I308" i="16"/>
  <c r="J308" i="16"/>
  <c r="K308" i="16"/>
  <c r="G309" i="16"/>
  <c r="H309" i="16"/>
  <c r="I309" i="16"/>
  <c r="J309" i="16"/>
  <c r="K309" i="16"/>
  <c r="G310" i="16"/>
  <c r="H310" i="16"/>
  <c r="I310" i="16"/>
  <c r="J310" i="16"/>
  <c r="K310" i="16"/>
  <c r="G311" i="16"/>
  <c r="H311" i="16"/>
  <c r="I311" i="16"/>
  <c r="J311" i="16"/>
  <c r="K311" i="16"/>
  <c r="G312" i="16"/>
  <c r="H312" i="16"/>
  <c r="I312" i="16"/>
  <c r="J312" i="16"/>
  <c r="K312" i="16"/>
  <c r="G313" i="16"/>
  <c r="H313" i="16"/>
  <c r="I313" i="16"/>
  <c r="J313" i="16"/>
  <c r="K313" i="16"/>
  <c r="G314" i="16"/>
  <c r="H314" i="16"/>
  <c r="I314" i="16"/>
  <c r="J314" i="16"/>
  <c r="K314" i="16"/>
  <c r="G315" i="16"/>
  <c r="H315" i="16"/>
  <c r="I315" i="16"/>
  <c r="J315" i="16"/>
  <c r="K315" i="16"/>
  <c r="G316" i="16"/>
  <c r="H316" i="16"/>
  <c r="I316" i="16"/>
  <c r="J316" i="16"/>
  <c r="K316" i="16"/>
  <c r="G317" i="16"/>
  <c r="H317" i="16"/>
  <c r="I317" i="16"/>
  <c r="J317" i="16"/>
  <c r="K317" i="16"/>
  <c r="G318" i="16"/>
  <c r="H318" i="16"/>
  <c r="I318" i="16"/>
  <c r="J318" i="16"/>
  <c r="K318" i="16"/>
  <c r="G319" i="16"/>
  <c r="H319" i="16"/>
  <c r="I319" i="16"/>
  <c r="J319" i="16"/>
  <c r="K319" i="16"/>
  <c r="G320" i="16"/>
  <c r="H320" i="16"/>
  <c r="I320" i="16"/>
  <c r="J320" i="16"/>
  <c r="K320" i="16"/>
  <c r="G321" i="16"/>
  <c r="H321" i="16"/>
  <c r="I321" i="16"/>
  <c r="J321" i="16"/>
  <c r="K321" i="16"/>
  <c r="G322" i="16"/>
  <c r="H322" i="16"/>
  <c r="I322" i="16"/>
  <c r="J322" i="16"/>
  <c r="K322" i="16"/>
  <c r="G323" i="16"/>
  <c r="H323" i="16"/>
  <c r="I323" i="16"/>
  <c r="J323" i="16"/>
  <c r="K323" i="16"/>
  <c r="G324" i="16"/>
  <c r="H324" i="16"/>
  <c r="I324" i="16"/>
  <c r="J324" i="16"/>
  <c r="K324" i="16"/>
  <c r="G325" i="16"/>
  <c r="H325" i="16"/>
  <c r="I325" i="16"/>
  <c r="J325" i="16"/>
  <c r="K325" i="16"/>
  <c r="G326" i="16"/>
  <c r="H326" i="16"/>
  <c r="I326" i="16"/>
  <c r="J326" i="16"/>
  <c r="K326" i="16"/>
  <c r="G327" i="16"/>
  <c r="H327" i="16"/>
  <c r="I327" i="16"/>
  <c r="J327" i="16"/>
  <c r="K327" i="16"/>
  <c r="G328" i="16"/>
  <c r="H328" i="16"/>
  <c r="I328" i="16"/>
  <c r="J328" i="16"/>
  <c r="K328" i="16"/>
  <c r="G329" i="16"/>
  <c r="H329" i="16"/>
  <c r="I329" i="16"/>
  <c r="J329" i="16"/>
  <c r="K329" i="16"/>
  <c r="G330" i="16"/>
  <c r="H330" i="16"/>
  <c r="I330" i="16"/>
  <c r="J330" i="16"/>
  <c r="K330" i="16"/>
  <c r="G332" i="16"/>
  <c r="H332" i="16"/>
  <c r="I332" i="16"/>
  <c r="J332" i="16"/>
  <c r="K332" i="16"/>
  <c r="G333" i="16"/>
  <c r="H333" i="16"/>
  <c r="I333" i="16"/>
  <c r="J333" i="16"/>
  <c r="K333" i="16"/>
  <c r="G334" i="16"/>
  <c r="H334" i="16"/>
  <c r="I334" i="16"/>
  <c r="J334" i="16"/>
  <c r="K334" i="16"/>
  <c r="G335" i="16"/>
  <c r="H335" i="16"/>
  <c r="I335" i="16"/>
  <c r="J335" i="16"/>
  <c r="K335" i="16"/>
  <c r="G336" i="16"/>
  <c r="H336" i="16"/>
  <c r="I336" i="16"/>
  <c r="J336" i="16"/>
  <c r="K336" i="16"/>
  <c r="G337" i="16"/>
  <c r="H337" i="16"/>
  <c r="I337" i="16"/>
  <c r="J337" i="16"/>
  <c r="K337" i="16"/>
  <c r="K219" i="16"/>
  <c r="J219" i="16"/>
  <c r="I219" i="16"/>
  <c r="H219" i="16"/>
  <c r="G219" i="16"/>
  <c r="G129" i="16"/>
  <c r="H129" i="16"/>
  <c r="I129" i="16"/>
  <c r="J129" i="16"/>
  <c r="K129" i="16"/>
  <c r="G131" i="16"/>
  <c r="H131" i="16"/>
  <c r="I131" i="16"/>
  <c r="J131" i="16"/>
  <c r="K131" i="16"/>
  <c r="G132" i="16"/>
  <c r="H132" i="16"/>
  <c r="I132" i="16"/>
  <c r="J132" i="16"/>
  <c r="K132" i="16"/>
  <c r="G133" i="16"/>
  <c r="H133" i="16"/>
  <c r="I133" i="16"/>
  <c r="J133" i="16"/>
  <c r="K133" i="16"/>
  <c r="G135" i="16"/>
  <c r="H135" i="16"/>
  <c r="I135" i="16"/>
  <c r="J135" i="16"/>
  <c r="K135" i="16"/>
  <c r="G136" i="16"/>
  <c r="H136" i="16"/>
  <c r="I136" i="16"/>
  <c r="J136" i="16"/>
  <c r="K136" i="16"/>
  <c r="G137" i="16"/>
  <c r="H137" i="16"/>
  <c r="I137" i="16"/>
  <c r="J137" i="16"/>
  <c r="K137" i="16"/>
  <c r="G138" i="16"/>
  <c r="H138" i="16"/>
  <c r="I138" i="16"/>
  <c r="J138" i="16"/>
  <c r="K138" i="16"/>
  <c r="G140" i="16"/>
  <c r="H140" i="16"/>
  <c r="I140" i="16"/>
  <c r="J140" i="16"/>
  <c r="K140" i="16"/>
  <c r="G141" i="16"/>
  <c r="H141" i="16"/>
  <c r="I141" i="16"/>
  <c r="J141" i="16"/>
  <c r="K141" i="16"/>
  <c r="G142" i="16"/>
  <c r="H142" i="16"/>
  <c r="I142" i="16"/>
  <c r="J142" i="16"/>
  <c r="K142" i="16"/>
  <c r="G144" i="16"/>
  <c r="H144" i="16"/>
  <c r="I144" i="16"/>
  <c r="J144" i="16"/>
  <c r="K144" i="16"/>
  <c r="G145" i="16"/>
  <c r="H145" i="16"/>
  <c r="I145" i="16"/>
  <c r="J145" i="16"/>
  <c r="K145" i="16"/>
  <c r="G146" i="16"/>
  <c r="H146" i="16"/>
  <c r="I146" i="16"/>
  <c r="J146" i="16"/>
  <c r="K146" i="16"/>
  <c r="G147" i="16"/>
  <c r="H147" i="16"/>
  <c r="I147" i="16"/>
  <c r="J147" i="16"/>
  <c r="K147" i="16"/>
  <c r="G148" i="16"/>
  <c r="H148" i="16"/>
  <c r="I148" i="16"/>
  <c r="J148" i="16"/>
  <c r="K148" i="16"/>
  <c r="G149" i="16"/>
  <c r="H149" i="16"/>
  <c r="I149" i="16"/>
  <c r="J149" i="16"/>
  <c r="K149" i="16"/>
  <c r="G150" i="16"/>
  <c r="H150" i="16"/>
  <c r="I150" i="16"/>
  <c r="J150" i="16"/>
  <c r="K150" i="16"/>
  <c r="G151" i="16"/>
  <c r="H151" i="16"/>
  <c r="I151" i="16"/>
  <c r="J151" i="16"/>
  <c r="K151" i="16"/>
  <c r="G152" i="16"/>
  <c r="H152" i="16"/>
  <c r="I152" i="16"/>
  <c r="J152" i="16"/>
  <c r="K152" i="16"/>
  <c r="G153" i="16"/>
  <c r="H153" i="16"/>
  <c r="I153" i="16"/>
  <c r="J153" i="16"/>
  <c r="K153" i="16"/>
  <c r="G154" i="16"/>
  <c r="H154" i="16"/>
  <c r="I154" i="16"/>
  <c r="J154" i="16"/>
  <c r="K154" i="16"/>
  <c r="G155" i="16"/>
  <c r="H155" i="16"/>
  <c r="I155" i="16"/>
  <c r="J155" i="16"/>
  <c r="K155" i="16"/>
  <c r="G156" i="16"/>
  <c r="H156" i="16"/>
  <c r="I156" i="16"/>
  <c r="J156" i="16"/>
  <c r="K156" i="16"/>
  <c r="G157" i="16"/>
  <c r="H157" i="16"/>
  <c r="I157" i="16"/>
  <c r="J157" i="16"/>
  <c r="K157" i="16"/>
  <c r="G158" i="16"/>
  <c r="H158" i="16"/>
  <c r="I158" i="16"/>
  <c r="J158" i="16"/>
  <c r="K158" i="16"/>
  <c r="G161" i="16"/>
  <c r="H161" i="16"/>
  <c r="I161" i="16"/>
  <c r="J161" i="16"/>
  <c r="K161" i="16"/>
  <c r="G163" i="16"/>
  <c r="H163" i="16"/>
  <c r="I163" i="16"/>
  <c r="J163" i="16"/>
  <c r="K163" i="16"/>
  <c r="G166" i="16"/>
  <c r="H166" i="16"/>
  <c r="I166" i="16"/>
  <c r="J166" i="16"/>
  <c r="K166" i="16"/>
  <c r="G168" i="16"/>
  <c r="H168" i="16"/>
  <c r="I168" i="16"/>
  <c r="J168" i="16"/>
  <c r="K168" i="16"/>
  <c r="G170" i="16"/>
  <c r="H170" i="16"/>
  <c r="I170" i="16"/>
  <c r="J170" i="16"/>
  <c r="K170" i="16"/>
  <c r="G172" i="16"/>
  <c r="H172" i="16"/>
  <c r="I172" i="16"/>
  <c r="J172" i="16"/>
  <c r="K172" i="16"/>
  <c r="G175" i="16"/>
  <c r="H175" i="16"/>
  <c r="I175" i="16"/>
  <c r="J175" i="16"/>
  <c r="K175" i="16"/>
  <c r="G177" i="16"/>
  <c r="H177" i="16"/>
  <c r="I177" i="16"/>
  <c r="J177" i="16"/>
  <c r="K177" i="16"/>
  <c r="G178" i="16"/>
  <c r="H178" i="16"/>
  <c r="I178" i="16"/>
  <c r="J178" i="16"/>
  <c r="K178" i="16"/>
  <c r="G179" i="16"/>
  <c r="H179" i="16"/>
  <c r="I179" i="16"/>
  <c r="J179" i="16"/>
  <c r="K179" i="16"/>
  <c r="G180" i="16"/>
  <c r="H180" i="16"/>
  <c r="I180" i="16"/>
  <c r="J180" i="16"/>
  <c r="K180" i="16"/>
  <c r="G181" i="16"/>
  <c r="H181" i="16"/>
  <c r="I181" i="16"/>
  <c r="J181" i="16"/>
  <c r="K181" i="16"/>
  <c r="G186" i="16"/>
  <c r="H186" i="16"/>
  <c r="I186" i="16"/>
  <c r="J186" i="16"/>
  <c r="K186" i="16"/>
  <c r="G192" i="16"/>
  <c r="H192" i="16"/>
  <c r="I192" i="16"/>
  <c r="J192" i="16"/>
  <c r="K192" i="16"/>
  <c r="G194" i="16"/>
  <c r="H194" i="16"/>
  <c r="I194" i="16"/>
  <c r="J194" i="16"/>
  <c r="K194" i="16"/>
  <c r="G196" i="16"/>
  <c r="H196" i="16"/>
  <c r="I196" i="16"/>
  <c r="J196" i="16"/>
  <c r="K196" i="16"/>
  <c r="G197" i="16"/>
  <c r="H197" i="16"/>
  <c r="I197" i="16"/>
  <c r="J197" i="16"/>
  <c r="K197" i="16"/>
  <c r="G198" i="16"/>
  <c r="H198" i="16"/>
  <c r="I198" i="16"/>
  <c r="J198" i="16"/>
  <c r="K198" i="16"/>
  <c r="G200" i="16"/>
  <c r="H200" i="16"/>
  <c r="I200" i="16"/>
  <c r="J200" i="16"/>
  <c r="K200" i="16"/>
  <c r="G201" i="16"/>
  <c r="H201" i="16"/>
  <c r="I201" i="16"/>
  <c r="J201" i="16"/>
  <c r="K201" i="16"/>
  <c r="G202" i="16"/>
  <c r="H202" i="16"/>
  <c r="I202" i="16"/>
  <c r="J202" i="16"/>
  <c r="K202" i="16"/>
  <c r="G203" i="16"/>
  <c r="H203" i="16"/>
  <c r="I203" i="16"/>
  <c r="J203" i="16"/>
  <c r="K203" i="16"/>
  <c r="G204" i="16"/>
  <c r="H204" i="16"/>
  <c r="I204" i="16"/>
  <c r="J204" i="16"/>
  <c r="K204" i="16"/>
  <c r="G205" i="16"/>
  <c r="H205" i="16"/>
  <c r="I205" i="16"/>
  <c r="J205" i="16"/>
  <c r="K205" i="16"/>
  <c r="G206" i="16"/>
  <c r="H206" i="16"/>
  <c r="I206" i="16"/>
  <c r="J206" i="16"/>
  <c r="K206" i="16"/>
  <c r="G207" i="16"/>
  <c r="H207" i="16"/>
  <c r="I207" i="16"/>
  <c r="J207" i="16"/>
  <c r="K207" i="16"/>
  <c r="G209" i="16"/>
  <c r="H209" i="16"/>
  <c r="I209" i="16"/>
  <c r="J209" i="16"/>
  <c r="K209" i="16"/>
  <c r="G211" i="16"/>
  <c r="H211" i="16"/>
  <c r="I211" i="16"/>
  <c r="J211" i="16"/>
  <c r="K211" i="16"/>
  <c r="G215" i="16"/>
  <c r="H215" i="16"/>
  <c r="I215" i="16"/>
  <c r="J215" i="16"/>
  <c r="K215" i="16"/>
  <c r="G216" i="16"/>
  <c r="H216" i="16"/>
  <c r="I216" i="16"/>
  <c r="J216" i="16"/>
  <c r="K216" i="16"/>
  <c r="G217" i="16"/>
  <c r="H217" i="16"/>
  <c r="I217" i="16"/>
  <c r="J217" i="16"/>
  <c r="K217" i="16"/>
  <c r="G127" i="16"/>
  <c r="H127" i="16"/>
  <c r="I127" i="16"/>
  <c r="J127" i="16"/>
  <c r="K127" i="16"/>
  <c r="G130" i="16"/>
  <c r="H130" i="16"/>
  <c r="I130" i="16"/>
  <c r="J130" i="16"/>
  <c r="K130" i="16"/>
  <c r="G134" i="16"/>
  <c r="H134" i="16"/>
  <c r="I134" i="16"/>
  <c r="J134" i="16"/>
  <c r="K134" i="16"/>
  <c r="G139" i="16"/>
  <c r="H139" i="16"/>
  <c r="I139" i="16"/>
  <c r="J139" i="16"/>
  <c r="K139" i="16"/>
  <c r="G143" i="16"/>
  <c r="H143" i="16"/>
  <c r="I143" i="16"/>
  <c r="J143" i="16"/>
  <c r="K143" i="16"/>
  <c r="G159" i="16"/>
  <c r="H159" i="16"/>
  <c r="I159" i="16"/>
  <c r="J159" i="16"/>
  <c r="K159" i="16"/>
  <c r="G160" i="16"/>
  <c r="H160" i="16"/>
  <c r="I160" i="16"/>
  <c r="J160" i="16"/>
  <c r="K160" i="16"/>
  <c r="G162" i="16"/>
  <c r="H162" i="16"/>
  <c r="I162" i="16"/>
  <c r="J162" i="16"/>
  <c r="K162" i="16"/>
  <c r="G164" i="16"/>
  <c r="H164" i="16"/>
  <c r="I164" i="16"/>
  <c r="J164" i="16"/>
  <c r="K164" i="16"/>
  <c r="G165" i="16"/>
  <c r="H165" i="16"/>
  <c r="I165" i="16"/>
  <c r="J165" i="16"/>
  <c r="K165" i="16"/>
  <c r="G167" i="16"/>
  <c r="H167" i="16"/>
  <c r="I167" i="16"/>
  <c r="J167" i="16"/>
  <c r="K167" i="16"/>
  <c r="G169" i="16"/>
  <c r="H169" i="16"/>
  <c r="I169" i="16"/>
  <c r="J169" i="16"/>
  <c r="K169" i="16"/>
  <c r="G171" i="16"/>
  <c r="H171" i="16"/>
  <c r="I171" i="16"/>
  <c r="J171" i="16"/>
  <c r="K171" i="16"/>
  <c r="G173" i="16"/>
  <c r="H173" i="16"/>
  <c r="I173" i="16"/>
  <c r="J173" i="16"/>
  <c r="K173" i="16"/>
  <c r="G174" i="16"/>
  <c r="H174" i="16"/>
  <c r="I174" i="16"/>
  <c r="J174" i="16"/>
  <c r="K174" i="16"/>
  <c r="G176" i="16"/>
  <c r="H176" i="16"/>
  <c r="I176" i="16"/>
  <c r="J176" i="16"/>
  <c r="K176" i="16"/>
  <c r="G182" i="16"/>
  <c r="H182" i="16"/>
  <c r="I182" i="16"/>
  <c r="J182" i="16"/>
  <c r="K182" i="16"/>
  <c r="G183" i="16"/>
  <c r="H183" i="16"/>
  <c r="I183" i="16"/>
  <c r="J183" i="16"/>
  <c r="K183" i="16"/>
  <c r="G184" i="16"/>
  <c r="H184" i="16"/>
  <c r="I184" i="16"/>
  <c r="J184" i="16"/>
  <c r="K184" i="16"/>
  <c r="G185" i="16"/>
  <c r="H185" i="16"/>
  <c r="I185" i="16"/>
  <c r="J185" i="16"/>
  <c r="K185" i="16"/>
  <c r="G187" i="16"/>
  <c r="H187" i="16"/>
  <c r="I187" i="16"/>
  <c r="J187" i="16"/>
  <c r="K187" i="16"/>
  <c r="G188" i="16"/>
  <c r="H188" i="16"/>
  <c r="I188" i="16"/>
  <c r="J188" i="16"/>
  <c r="K188" i="16"/>
  <c r="G189" i="16"/>
  <c r="H189" i="16"/>
  <c r="I189" i="16"/>
  <c r="J189" i="16"/>
  <c r="K189" i="16"/>
  <c r="G190" i="16"/>
  <c r="H190" i="16"/>
  <c r="I190" i="16"/>
  <c r="J190" i="16"/>
  <c r="K190" i="16"/>
  <c r="G191" i="16"/>
  <c r="H191" i="16"/>
  <c r="I191" i="16"/>
  <c r="J191" i="16"/>
  <c r="K191" i="16"/>
  <c r="G193" i="16"/>
  <c r="H193" i="16"/>
  <c r="I193" i="16"/>
  <c r="J193" i="16"/>
  <c r="K193" i="16"/>
  <c r="G195" i="16"/>
  <c r="H195" i="16"/>
  <c r="I195" i="16"/>
  <c r="J195" i="16"/>
  <c r="K195" i="16"/>
  <c r="G199" i="16"/>
  <c r="H199" i="16"/>
  <c r="I199" i="16"/>
  <c r="J199" i="16"/>
  <c r="K199" i="16"/>
  <c r="G208" i="16"/>
  <c r="H208" i="16"/>
  <c r="I208" i="16"/>
  <c r="J208" i="16"/>
  <c r="K208" i="16"/>
  <c r="G210" i="16"/>
  <c r="H210" i="16"/>
  <c r="I210" i="16"/>
  <c r="J210" i="16"/>
  <c r="K210" i="16"/>
  <c r="G212" i="16"/>
  <c r="H212" i="16"/>
  <c r="I212" i="16"/>
  <c r="J212" i="16"/>
  <c r="K212" i="16"/>
  <c r="G213" i="16"/>
  <c r="H213" i="16"/>
  <c r="I213" i="16"/>
  <c r="J213" i="16"/>
  <c r="K213" i="16"/>
  <c r="G214" i="16"/>
  <c r="H214" i="16"/>
  <c r="I214" i="16"/>
  <c r="J214" i="16"/>
  <c r="K214" i="16"/>
  <c r="G218" i="16"/>
  <c r="H218" i="16"/>
  <c r="I218" i="16"/>
  <c r="J218" i="16"/>
  <c r="K218" i="16"/>
  <c r="K128" i="16"/>
  <c r="J128" i="16"/>
  <c r="I128" i="16"/>
  <c r="H128" i="16"/>
  <c r="G128" i="16"/>
  <c r="G70" i="16"/>
  <c r="H70" i="16"/>
  <c r="I70" i="16"/>
  <c r="J70" i="16"/>
  <c r="K70" i="16"/>
  <c r="G71" i="16"/>
  <c r="H71" i="16"/>
  <c r="I71" i="16"/>
  <c r="J71" i="16"/>
  <c r="K71" i="16"/>
  <c r="G73" i="16"/>
  <c r="H73" i="16"/>
  <c r="I73" i="16"/>
  <c r="J73" i="16"/>
  <c r="K73" i="16"/>
  <c r="G74" i="16"/>
  <c r="H74" i="16"/>
  <c r="I74" i="16"/>
  <c r="J74" i="16"/>
  <c r="K74" i="16"/>
  <c r="G75" i="16"/>
  <c r="H75" i="16"/>
  <c r="I75" i="16"/>
  <c r="J75" i="16"/>
  <c r="K75" i="16"/>
  <c r="G77" i="16"/>
  <c r="H77" i="16"/>
  <c r="I77" i="16"/>
  <c r="J77" i="16"/>
  <c r="K77" i="16"/>
  <c r="G78" i="16"/>
  <c r="H78" i="16"/>
  <c r="I78" i="16"/>
  <c r="J78" i="16"/>
  <c r="K78" i="16"/>
  <c r="G79" i="16"/>
  <c r="H79" i="16"/>
  <c r="I79" i="16"/>
  <c r="J79" i="16"/>
  <c r="K79" i="16"/>
  <c r="G81" i="16"/>
  <c r="H81" i="16"/>
  <c r="I81" i="16"/>
  <c r="J81" i="16"/>
  <c r="K81" i="16"/>
  <c r="G82" i="16"/>
  <c r="H82" i="16"/>
  <c r="I82" i="16"/>
  <c r="J82" i="16"/>
  <c r="K82" i="16"/>
  <c r="G83" i="16"/>
  <c r="H83" i="16"/>
  <c r="I83" i="16"/>
  <c r="J83" i="16"/>
  <c r="K83" i="16"/>
  <c r="G84" i="16"/>
  <c r="H84" i="16"/>
  <c r="I84" i="16"/>
  <c r="J84" i="16"/>
  <c r="K84" i="16"/>
  <c r="G86" i="16"/>
  <c r="H86" i="16"/>
  <c r="I86" i="16"/>
  <c r="J86" i="16"/>
  <c r="K86" i="16"/>
  <c r="G88" i="16"/>
  <c r="H88" i="16"/>
  <c r="I88" i="16"/>
  <c r="J88" i="16"/>
  <c r="K88" i="16"/>
  <c r="G89" i="16"/>
  <c r="H89" i="16"/>
  <c r="I89" i="16"/>
  <c r="J89" i="16"/>
  <c r="K89" i="16"/>
  <c r="G90" i="16"/>
  <c r="H90" i="16"/>
  <c r="I90" i="16"/>
  <c r="J90" i="16"/>
  <c r="K90" i="16"/>
  <c r="G91" i="16"/>
  <c r="H91" i="16"/>
  <c r="I91" i="16"/>
  <c r="J91" i="16"/>
  <c r="K91" i="16"/>
  <c r="G92" i="16"/>
  <c r="H92" i="16"/>
  <c r="I92" i="16"/>
  <c r="J92" i="16"/>
  <c r="K92" i="16"/>
  <c r="G93" i="16"/>
  <c r="H93" i="16"/>
  <c r="I93" i="16"/>
  <c r="J93" i="16"/>
  <c r="K93" i="16"/>
  <c r="G94" i="16"/>
  <c r="H94" i="16"/>
  <c r="I94" i="16"/>
  <c r="J94" i="16"/>
  <c r="K94" i="16"/>
  <c r="G95" i="16"/>
  <c r="H95" i="16"/>
  <c r="I95" i="16"/>
  <c r="J95" i="16"/>
  <c r="K95" i="16"/>
  <c r="G97" i="16"/>
  <c r="H97" i="16"/>
  <c r="I97" i="16"/>
  <c r="J97" i="16"/>
  <c r="K97" i="16"/>
  <c r="G100" i="16"/>
  <c r="H100" i="16"/>
  <c r="I100" i="16"/>
  <c r="J100" i="16"/>
  <c r="K100" i="16"/>
  <c r="G102" i="16"/>
  <c r="H102" i="16"/>
  <c r="I102" i="16"/>
  <c r="J102" i="16"/>
  <c r="K102" i="16"/>
  <c r="G104" i="16"/>
  <c r="H104" i="16"/>
  <c r="I104" i="16"/>
  <c r="J104" i="16"/>
  <c r="K104" i="16"/>
  <c r="G105" i="16"/>
  <c r="H105" i="16"/>
  <c r="I105" i="16"/>
  <c r="J105" i="16"/>
  <c r="K105" i="16"/>
  <c r="G110" i="16"/>
  <c r="H110" i="16"/>
  <c r="I110" i="16"/>
  <c r="J110" i="16"/>
  <c r="K110" i="16"/>
  <c r="H111" i="16"/>
  <c r="I111" i="16"/>
  <c r="J111" i="16"/>
  <c r="K111" i="16"/>
  <c r="G112" i="16"/>
  <c r="H112" i="16"/>
  <c r="I112" i="16"/>
  <c r="J112" i="16"/>
  <c r="K112" i="16"/>
  <c r="G113" i="16"/>
  <c r="H113" i="16"/>
  <c r="I113" i="16"/>
  <c r="J113" i="16"/>
  <c r="K113" i="16"/>
  <c r="G114" i="16"/>
  <c r="H114" i="16"/>
  <c r="I114" i="16"/>
  <c r="J114" i="16"/>
  <c r="K114" i="16"/>
  <c r="G115" i="16"/>
  <c r="H115" i="16"/>
  <c r="I115" i="16"/>
  <c r="J115" i="16"/>
  <c r="K115" i="16"/>
  <c r="G116" i="16"/>
  <c r="H116" i="16"/>
  <c r="I116" i="16"/>
  <c r="J116" i="16"/>
  <c r="K116" i="16"/>
  <c r="G117" i="16"/>
  <c r="H117" i="16"/>
  <c r="I117" i="16"/>
  <c r="J117" i="16"/>
  <c r="K117" i="16"/>
  <c r="G118" i="16"/>
  <c r="H118" i="16"/>
  <c r="I118" i="16"/>
  <c r="J118" i="16"/>
  <c r="K118" i="16"/>
  <c r="G120" i="16"/>
  <c r="H120" i="16"/>
  <c r="I120" i="16"/>
  <c r="J120" i="16"/>
  <c r="K120" i="16"/>
  <c r="G121" i="16"/>
  <c r="H121" i="16"/>
  <c r="I121" i="16"/>
  <c r="J121" i="16"/>
  <c r="K121" i="16"/>
  <c r="G123" i="16"/>
  <c r="H123" i="16"/>
  <c r="I123" i="16"/>
  <c r="J123" i="16"/>
  <c r="K123" i="16"/>
  <c r="G124" i="16"/>
  <c r="H124" i="16"/>
  <c r="I124" i="16"/>
  <c r="J124" i="16"/>
  <c r="K124" i="16"/>
  <c r="G126" i="16"/>
  <c r="H126" i="16"/>
  <c r="I126" i="16"/>
  <c r="J126" i="16"/>
  <c r="K126" i="16"/>
  <c r="G106" i="16"/>
  <c r="H106" i="16"/>
  <c r="I106" i="16"/>
  <c r="J106" i="16"/>
  <c r="K106" i="16"/>
  <c r="G72" i="16"/>
  <c r="H72" i="16"/>
  <c r="I72" i="16"/>
  <c r="J72" i="16"/>
  <c r="K72" i="16"/>
  <c r="G76" i="16"/>
  <c r="H76" i="16"/>
  <c r="I76" i="16"/>
  <c r="J76" i="16"/>
  <c r="K76" i="16"/>
  <c r="G80" i="16"/>
  <c r="H80" i="16"/>
  <c r="I80" i="16"/>
  <c r="J80" i="16"/>
  <c r="K80" i="16"/>
  <c r="G85" i="16"/>
  <c r="H85" i="16"/>
  <c r="I85" i="16"/>
  <c r="J85" i="16"/>
  <c r="K85" i="16"/>
  <c r="G87" i="16"/>
  <c r="H87" i="16"/>
  <c r="I87" i="16"/>
  <c r="J87" i="16"/>
  <c r="K87" i="16"/>
  <c r="G96" i="16"/>
  <c r="H96" i="16"/>
  <c r="I96" i="16"/>
  <c r="J96" i="16"/>
  <c r="K96" i="16"/>
  <c r="G98" i="16"/>
  <c r="H98" i="16"/>
  <c r="I98" i="16"/>
  <c r="J98" i="16"/>
  <c r="K98" i="16"/>
  <c r="G99" i="16"/>
  <c r="H99" i="16"/>
  <c r="I99" i="16"/>
  <c r="J99" i="16"/>
  <c r="K99" i="16"/>
  <c r="G101" i="16"/>
  <c r="H101" i="16"/>
  <c r="I101" i="16"/>
  <c r="J101" i="16"/>
  <c r="K101" i="16"/>
  <c r="G103" i="16"/>
  <c r="H103" i="16"/>
  <c r="I103" i="16"/>
  <c r="J103" i="16"/>
  <c r="K103" i="16"/>
  <c r="G107" i="16"/>
  <c r="H107" i="16"/>
  <c r="I107" i="16"/>
  <c r="J107" i="16"/>
  <c r="K107" i="16"/>
  <c r="G108" i="16"/>
  <c r="H108" i="16"/>
  <c r="I108" i="16"/>
  <c r="J108" i="16"/>
  <c r="K108" i="16"/>
  <c r="G109" i="16"/>
  <c r="H109" i="16"/>
  <c r="I109" i="16"/>
  <c r="J109" i="16"/>
  <c r="K109" i="16"/>
  <c r="G119" i="16"/>
  <c r="H119" i="16"/>
  <c r="I119" i="16"/>
  <c r="J119" i="16"/>
  <c r="K119" i="16"/>
  <c r="G122" i="16"/>
  <c r="H122" i="16"/>
  <c r="I122" i="16"/>
  <c r="J122" i="16"/>
  <c r="K122" i="16"/>
  <c r="G125" i="16"/>
  <c r="H125" i="16"/>
  <c r="I125" i="16"/>
  <c r="J125" i="16"/>
  <c r="K125" i="16"/>
  <c r="K69" i="16"/>
  <c r="J69" i="16"/>
  <c r="I69" i="16"/>
  <c r="H69" i="16"/>
  <c r="G69" i="16"/>
  <c r="I7" i="16"/>
  <c r="H2" i="16"/>
  <c r="I2" i="16"/>
  <c r="J2" i="16"/>
  <c r="K2" i="16"/>
  <c r="H3" i="16"/>
  <c r="I3" i="16"/>
  <c r="J3" i="16"/>
  <c r="K3" i="16"/>
  <c r="H4" i="16"/>
  <c r="I4" i="16"/>
  <c r="J4" i="16"/>
  <c r="K4" i="16"/>
  <c r="G5" i="16"/>
  <c r="H5" i="16"/>
  <c r="I5" i="16"/>
  <c r="J5" i="16"/>
  <c r="K5" i="16"/>
  <c r="G6" i="16"/>
  <c r="H6" i="16"/>
  <c r="I6" i="16"/>
  <c r="J6" i="16"/>
  <c r="K6" i="16"/>
  <c r="G7" i="16"/>
  <c r="H7" i="16"/>
  <c r="J7" i="16"/>
  <c r="K7" i="16"/>
  <c r="H8" i="16"/>
  <c r="I8" i="16"/>
  <c r="J8" i="16"/>
  <c r="K8" i="16"/>
  <c r="G9" i="16"/>
  <c r="H9" i="16"/>
  <c r="I9" i="16"/>
  <c r="J9" i="16"/>
  <c r="K9" i="16"/>
  <c r="G10" i="16"/>
  <c r="H10" i="16"/>
  <c r="I10" i="16"/>
  <c r="J10" i="16"/>
  <c r="K10" i="16"/>
  <c r="G11" i="16"/>
  <c r="H11" i="16"/>
  <c r="I11" i="16"/>
  <c r="J11" i="16"/>
  <c r="K11" i="16"/>
  <c r="G12" i="16"/>
  <c r="H12" i="16"/>
  <c r="I12" i="16"/>
  <c r="J12" i="16"/>
  <c r="K12" i="16"/>
  <c r="G15" i="16"/>
  <c r="H15" i="16"/>
  <c r="I15" i="16"/>
  <c r="J15" i="16"/>
  <c r="K15" i="16"/>
  <c r="G16" i="16"/>
  <c r="H16" i="16"/>
  <c r="I16" i="16"/>
  <c r="J16" i="16"/>
  <c r="K16" i="16"/>
  <c r="G17" i="16"/>
  <c r="H17" i="16"/>
  <c r="I17" i="16"/>
  <c r="J17" i="16"/>
  <c r="K17" i="16"/>
  <c r="G18" i="16"/>
  <c r="H18" i="16"/>
  <c r="I18" i="16"/>
  <c r="J18" i="16"/>
  <c r="K18" i="16"/>
  <c r="G19" i="16"/>
  <c r="H19" i="16"/>
  <c r="I19" i="16"/>
  <c r="J19" i="16"/>
  <c r="K19" i="16"/>
  <c r="G21" i="16"/>
  <c r="H21" i="16"/>
  <c r="I21" i="16"/>
  <c r="J21" i="16"/>
  <c r="K21" i="16"/>
  <c r="G23" i="16"/>
  <c r="H23" i="16"/>
  <c r="I23" i="16"/>
  <c r="J23" i="16"/>
  <c r="K23" i="16"/>
  <c r="G24" i="16"/>
  <c r="H24" i="16"/>
  <c r="I24" i="16"/>
  <c r="J24" i="16"/>
  <c r="K24" i="16"/>
  <c r="G25" i="16"/>
  <c r="H25" i="16"/>
  <c r="I25" i="16"/>
  <c r="J25" i="16"/>
  <c r="K25" i="16"/>
  <c r="G26" i="16"/>
  <c r="H26" i="16"/>
  <c r="I26" i="16"/>
  <c r="J26" i="16"/>
  <c r="K26" i="16"/>
  <c r="G27" i="16"/>
  <c r="H27" i="16"/>
  <c r="I27" i="16"/>
  <c r="J27" i="16"/>
  <c r="K27" i="16"/>
  <c r="G28" i="16"/>
  <c r="H28" i="16"/>
  <c r="I28" i="16"/>
  <c r="J28" i="16"/>
  <c r="K28" i="16"/>
  <c r="G30" i="16"/>
  <c r="H30" i="16"/>
  <c r="I30" i="16"/>
  <c r="J30" i="16"/>
  <c r="K30" i="16"/>
  <c r="G32" i="16"/>
  <c r="H32" i="16"/>
  <c r="I32" i="16"/>
  <c r="J32" i="16"/>
  <c r="K32" i="16"/>
  <c r="G33" i="16"/>
  <c r="H33" i="16"/>
  <c r="I33" i="16"/>
  <c r="J33" i="16"/>
  <c r="K33" i="16"/>
  <c r="G34" i="16"/>
  <c r="H34" i="16"/>
  <c r="I34" i="16"/>
  <c r="J34" i="16"/>
  <c r="K34" i="16"/>
  <c r="G35" i="16"/>
  <c r="H35" i="16"/>
  <c r="I35" i="16"/>
  <c r="J35" i="16"/>
  <c r="K35" i="16"/>
  <c r="G36" i="16"/>
  <c r="H36" i="16"/>
  <c r="I36" i="16"/>
  <c r="J36" i="16"/>
  <c r="K36" i="16"/>
  <c r="G38" i="16"/>
  <c r="H38" i="16"/>
  <c r="I38" i="16"/>
  <c r="J38" i="16"/>
  <c r="K38" i="16"/>
  <c r="G41" i="16"/>
  <c r="H41" i="16"/>
  <c r="I41" i="16"/>
  <c r="J41" i="16"/>
  <c r="K41" i="16"/>
  <c r="G61" i="16"/>
  <c r="H61" i="16"/>
  <c r="I61" i="16"/>
  <c r="J61" i="16"/>
  <c r="K61" i="16"/>
  <c r="G64" i="16"/>
  <c r="H64" i="16"/>
  <c r="I64" i="16"/>
  <c r="J64" i="16"/>
  <c r="K64" i="16"/>
  <c r="G66" i="16"/>
  <c r="H66" i="16"/>
  <c r="I66" i="16"/>
  <c r="J66" i="16"/>
  <c r="K66" i="16"/>
  <c r="G68" i="16"/>
  <c r="H68" i="16"/>
  <c r="I68" i="16"/>
  <c r="J68" i="16"/>
  <c r="K68" i="16"/>
  <c r="G47" i="16"/>
  <c r="H47" i="16"/>
  <c r="I47" i="16"/>
  <c r="J47" i="16"/>
  <c r="K47" i="16"/>
  <c r="G13" i="16"/>
  <c r="H13" i="16"/>
  <c r="I13" i="16"/>
  <c r="J13" i="16"/>
  <c r="K13" i="16"/>
  <c r="G14" i="16"/>
  <c r="H14" i="16"/>
  <c r="I14" i="16"/>
  <c r="J14" i="16"/>
  <c r="K14" i="16"/>
  <c r="G20" i="16"/>
  <c r="H20" i="16"/>
  <c r="I20" i="16"/>
  <c r="J20" i="16"/>
  <c r="K20" i="16"/>
  <c r="G22" i="16"/>
  <c r="H22" i="16"/>
  <c r="I22" i="16"/>
  <c r="J22" i="16"/>
  <c r="K22" i="16"/>
  <c r="G29" i="16"/>
  <c r="H29" i="16"/>
  <c r="I29" i="16"/>
  <c r="J29" i="16"/>
  <c r="K29" i="16"/>
  <c r="G31" i="16"/>
  <c r="H31" i="16"/>
  <c r="I31" i="16"/>
  <c r="J31" i="16"/>
  <c r="K31" i="16"/>
  <c r="G37" i="16"/>
  <c r="H37" i="16"/>
  <c r="I37" i="16"/>
  <c r="J37" i="16"/>
  <c r="K37" i="16"/>
  <c r="G39" i="16"/>
  <c r="H39" i="16"/>
  <c r="I39" i="16"/>
  <c r="J39" i="16"/>
  <c r="K39" i="16"/>
  <c r="G40" i="16"/>
  <c r="H40" i="16"/>
  <c r="I40" i="16"/>
  <c r="J40" i="16"/>
  <c r="K40" i="16"/>
  <c r="G42" i="16"/>
  <c r="H42" i="16"/>
  <c r="I42" i="16"/>
  <c r="J42" i="16"/>
  <c r="K42" i="16"/>
  <c r="G43" i="16"/>
  <c r="H43" i="16"/>
  <c r="I43" i="16"/>
  <c r="J43" i="16"/>
  <c r="K43" i="16"/>
  <c r="G44" i="16"/>
  <c r="H44" i="16"/>
  <c r="I44" i="16"/>
  <c r="J44" i="16"/>
  <c r="K44" i="16"/>
  <c r="G45" i="16"/>
  <c r="H45" i="16"/>
  <c r="I45" i="16"/>
  <c r="J45" i="16"/>
  <c r="K45" i="16"/>
  <c r="G46" i="16"/>
  <c r="H46" i="16"/>
  <c r="I46" i="16"/>
  <c r="J46" i="16"/>
  <c r="K46" i="16"/>
  <c r="G48" i="16"/>
  <c r="H48" i="16"/>
  <c r="I48" i="16"/>
  <c r="J48" i="16"/>
  <c r="K48" i="16"/>
  <c r="G49" i="16"/>
  <c r="H49" i="16"/>
  <c r="I49" i="16"/>
  <c r="J49" i="16"/>
  <c r="K49" i="16"/>
  <c r="G50" i="16"/>
  <c r="H50" i="16"/>
  <c r="I50" i="16"/>
  <c r="J50" i="16"/>
  <c r="K50" i="16"/>
  <c r="G51" i="16"/>
  <c r="H51" i="16"/>
  <c r="I51" i="16"/>
  <c r="J51" i="16"/>
  <c r="K51" i="16"/>
  <c r="G52" i="16"/>
  <c r="H52" i="16"/>
  <c r="I52" i="16"/>
  <c r="J52" i="16"/>
  <c r="K52" i="16"/>
  <c r="G53" i="16"/>
  <c r="H53" i="16"/>
  <c r="I53" i="16"/>
  <c r="J53" i="16"/>
  <c r="K53" i="16"/>
  <c r="G54" i="16"/>
  <c r="H54" i="16"/>
  <c r="I54" i="16"/>
  <c r="J54" i="16"/>
  <c r="K54" i="16"/>
  <c r="G55" i="16"/>
  <c r="H55" i="16"/>
  <c r="I55" i="16"/>
  <c r="J55" i="16"/>
  <c r="K55" i="16"/>
  <c r="G56" i="16"/>
  <c r="H56" i="16"/>
  <c r="I56" i="16"/>
  <c r="J56" i="16"/>
  <c r="K56" i="16"/>
  <c r="G57" i="16"/>
  <c r="H57" i="16"/>
  <c r="I57" i="16"/>
  <c r="J57" i="16"/>
  <c r="K57" i="16"/>
  <c r="G58" i="16"/>
  <c r="H58" i="16"/>
  <c r="I58" i="16"/>
  <c r="J58" i="16"/>
  <c r="K58" i="16"/>
  <c r="G59" i="16"/>
  <c r="H59" i="16"/>
  <c r="I59" i="16"/>
  <c r="J59" i="16"/>
  <c r="K59" i="16"/>
  <c r="G60" i="16"/>
  <c r="H60" i="16"/>
  <c r="I60" i="16"/>
  <c r="J60" i="16"/>
  <c r="K60" i="16"/>
  <c r="G62" i="16"/>
  <c r="H62" i="16"/>
  <c r="I62" i="16"/>
  <c r="J62" i="16"/>
  <c r="K62" i="16"/>
  <c r="G63" i="16"/>
  <c r="H63" i="16"/>
  <c r="I63" i="16"/>
  <c r="J63" i="16"/>
  <c r="K63" i="16"/>
  <c r="G65" i="16"/>
  <c r="H65" i="16"/>
  <c r="I65" i="16"/>
  <c r="J65" i="16"/>
  <c r="K65" i="16"/>
  <c r="G67" i="16"/>
  <c r="H67" i="16"/>
  <c r="I67" i="16"/>
  <c r="J67" i="16"/>
  <c r="K67" i="16"/>
  <c r="M26" i="16"/>
  <c r="M24" i="16"/>
  <c r="M21" i="16"/>
  <c r="M19" i="16"/>
  <c r="M16" i="16"/>
  <c r="M14" i="16"/>
  <c r="M11" i="16"/>
  <c r="M9" i="16"/>
  <c r="M6" i="16"/>
  <c r="M4" i="16"/>
  <c r="P7" i="15"/>
  <c r="O8" i="16" l="1"/>
  <c r="O9" i="16" s="1"/>
  <c r="L11" i="16"/>
  <c r="L21" i="16"/>
  <c r="L26" i="16"/>
  <c r="P4" i="16"/>
  <c r="P5" i="16" s="1"/>
  <c r="L16" i="16"/>
  <c r="O4" i="16"/>
  <c r="O5" i="16" s="1"/>
  <c r="X8" i="15"/>
  <c r="X9" i="15" s="1"/>
  <c r="X4" i="15"/>
  <c r="X5" i="15" s="1"/>
  <c r="P8" i="16"/>
  <c r="P9" i="16" s="1"/>
  <c r="R8" i="16"/>
  <c r="R9" i="16" s="1"/>
  <c r="Q8" i="16"/>
  <c r="Q9" i="16" s="1"/>
  <c r="Q4" i="16"/>
  <c r="Q5" i="16" s="1"/>
  <c r="R4" i="16"/>
  <c r="R5" i="16" s="1"/>
  <c r="P2" i="15"/>
  <c r="P3" i="15"/>
  <c r="P4" i="15"/>
  <c r="P5" i="15"/>
  <c r="P6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37" i="15"/>
  <c r="P110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O70" i="15"/>
  <c r="O71" i="15"/>
  <c r="O72" i="15"/>
  <c r="O73" i="15"/>
  <c r="O2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69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37" i="15"/>
  <c r="O110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N2" i="15"/>
  <c r="N38" i="15"/>
  <c r="N39" i="15"/>
  <c r="N40" i="15"/>
  <c r="N41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M24" i="15"/>
  <c r="M3" i="15"/>
  <c r="M19" i="15"/>
  <c r="M27" i="15"/>
  <c r="M16" i="15"/>
  <c r="M29" i="15"/>
  <c r="M20" i="15"/>
  <c r="M15" i="15"/>
  <c r="M33" i="15"/>
  <c r="M53" i="15"/>
  <c r="M9" i="15"/>
  <c r="M6" i="15"/>
  <c r="M5" i="15"/>
  <c r="M7" i="15"/>
  <c r="M31" i="15"/>
  <c r="M11" i="15"/>
  <c r="M42" i="15"/>
  <c r="M43" i="15"/>
  <c r="M40" i="15"/>
  <c r="M46" i="15"/>
  <c r="M63" i="15"/>
  <c r="M50" i="15"/>
  <c r="M58" i="15"/>
  <c r="M39" i="15"/>
  <c r="M22" i="15"/>
  <c r="M34" i="15"/>
  <c r="M25" i="15"/>
  <c r="M36" i="15"/>
  <c r="M18" i="15"/>
  <c r="M26" i="15"/>
  <c r="M4" i="15"/>
  <c r="M32" i="15"/>
  <c r="M14" i="15"/>
  <c r="M35" i="15"/>
  <c r="M59" i="15"/>
  <c r="M51" i="15"/>
  <c r="M54" i="15"/>
  <c r="M64" i="15"/>
  <c r="M21" i="15"/>
  <c r="M12" i="15"/>
  <c r="M28" i="15"/>
  <c r="M30" i="15"/>
  <c r="M13" i="15"/>
  <c r="M68" i="15"/>
  <c r="M17" i="15"/>
  <c r="M67" i="15"/>
  <c r="M65" i="15"/>
  <c r="M66" i="15"/>
  <c r="M48" i="15"/>
  <c r="M56" i="15"/>
  <c r="M61" i="15"/>
  <c r="M23" i="15"/>
  <c r="M52" i="15"/>
  <c r="M8" i="15"/>
  <c r="M2" i="15"/>
  <c r="M10" i="15"/>
  <c r="M37" i="15"/>
  <c r="M44" i="15"/>
  <c r="M47" i="15"/>
  <c r="M41" i="15"/>
  <c r="M60" i="15"/>
  <c r="M38" i="15"/>
  <c r="M55" i="15"/>
  <c r="M45" i="15"/>
  <c r="M49" i="15"/>
  <c r="M57" i="15"/>
  <c r="M62" i="15"/>
  <c r="M94" i="15"/>
  <c r="M85" i="15"/>
  <c r="M88" i="15"/>
  <c r="M80" i="15"/>
  <c r="M106" i="15"/>
  <c r="M93" i="15"/>
  <c r="M97" i="15"/>
  <c r="M108" i="15"/>
  <c r="M99" i="15"/>
  <c r="M69" i="15"/>
  <c r="M111" i="15"/>
  <c r="M117" i="15"/>
  <c r="M113" i="15"/>
  <c r="M123" i="15"/>
  <c r="M98" i="15"/>
  <c r="M96" i="15"/>
  <c r="M100" i="15"/>
  <c r="M72" i="15"/>
  <c r="M81" i="15"/>
  <c r="M70" i="15"/>
  <c r="M90" i="15"/>
  <c r="M104" i="15"/>
  <c r="M86" i="15"/>
  <c r="M78" i="15"/>
  <c r="M75" i="15"/>
  <c r="M95" i="15"/>
  <c r="M89" i="15"/>
  <c r="M126" i="15"/>
  <c r="M125" i="15"/>
  <c r="M124" i="15"/>
  <c r="M109" i="15"/>
  <c r="M101" i="15"/>
  <c r="M73" i="15"/>
  <c r="M83" i="15"/>
  <c r="M71" i="15"/>
  <c r="M107" i="15"/>
  <c r="M87" i="15"/>
  <c r="M114" i="15"/>
  <c r="M110" i="15"/>
  <c r="M118" i="15"/>
  <c r="M103" i="15"/>
  <c r="M84" i="15"/>
  <c r="M82" i="15"/>
  <c r="M91" i="15"/>
  <c r="M92" i="15"/>
  <c r="M76" i="15"/>
  <c r="M79" i="15"/>
  <c r="M74" i="15"/>
  <c r="M122" i="15"/>
  <c r="M105" i="15"/>
  <c r="M102" i="15"/>
  <c r="M116" i="15"/>
  <c r="M121" i="15"/>
  <c r="M120" i="15"/>
  <c r="M77" i="15"/>
  <c r="M112" i="15"/>
  <c r="M119" i="15"/>
  <c r="M115" i="15"/>
  <c r="M161" i="15"/>
  <c r="M145" i="15"/>
  <c r="M142" i="15"/>
  <c r="M169" i="15"/>
  <c r="M151" i="15"/>
  <c r="M183" i="15"/>
  <c r="M172" i="15"/>
  <c r="M155" i="15"/>
  <c r="M179" i="15"/>
  <c r="M176" i="15"/>
  <c r="M181" i="15"/>
  <c r="M147" i="15"/>
  <c r="M130" i="15"/>
  <c r="M137" i="15"/>
  <c r="M164" i="15"/>
  <c r="M167" i="15"/>
  <c r="M139" i="15"/>
  <c r="M166" i="15"/>
  <c r="M133" i="15"/>
  <c r="M128" i="15"/>
  <c r="M156" i="15"/>
  <c r="M218" i="15"/>
  <c r="M135" i="15"/>
  <c r="M180" i="15"/>
  <c r="M171" i="15"/>
  <c r="M174" i="15"/>
  <c r="M168" i="15"/>
  <c r="M159" i="15"/>
  <c r="M154" i="15"/>
  <c r="M138" i="15"/>
  <c r="M177" i="15"/>
  <c r="M160" i="15"/>
  <c r="M184" i="15"/>
  <c r="M187" i="15"/>
  <c r="M217" i="15"/>
  <c r="M185" i="15"/>
  <c r="M186" i="15"/>
  <c r="M207" i="15"/>
  <c r="M202" i="15"/>
  <c r="M173" i="15"/>
  <c r="M162" i="15"/>
  <c r="M143" i="15"/>
  <c r="M170" i="15"/>
  <c r="M140" i="15"/>
  <c r="M131" i="15"/>
  <c r="M134" i="15"/>
  <c r="M165" i="15"/>
  <c r="M148" i="15"/>
  <c r="M152" i="15"/>
  <c r="M205" i="15"/>
  <c r="M210" i="15"/>
  <c r="M215" i="15"/>
  <c r="M141" i="15"/>
  <c r="M178" i="15"/>
  <c r="M158" i="15"/>
  <c r="M153" i="15"/>
  <c r="M175" i="15"/>
  <c r="M127" i="15"/>
  <c r="M163" i="15"/>
  <c r="M136" i="15"/>
  <c r="M132" i="15"/>
  <c r="M129" i="15"/>
  <c r="M157" i="15"/>
  <c r="M182" i="15"/>
  <c r="M150" i="15"/>
  <c r="M144" i="15"/>
  <c r="M146" i="15"/>
  <c r="M211" i="15"/>
  <c r="M198" i="15"/>
  <c r="M190" i="15"/>
  <c r="M189" i="15"/>
  <c r="M192" i="15"/>
  <c r="M212" i="15"/>
  <c r="M200" i="15"/>
  <c r="M204" i="15"/>
  <c r="M194" i="15"/>
  <c r="M209" i="15"/>
  <c r="M214" i="15"/>
  <c r="M149" i="15"/>
  <c r="M216" i="15"/>
  <c r="M191" i="15"/>
  <c r="M195" i="15"/>
  <c r="M197" i="15"/>
  <c r="M193" i="15"/>
  <c r="M196" i="15"/>
  <c r="M199" i="15"/>
  <c r="M201" i="15"/>
  <c r="M206" i="15"/>
  <c r="M213" i="15"/>
  <c r="M203" i="15"/>
  <c r="M208" i="15"/>
  <c r="M188" i="15"/>
  <c r="M231" i="15"/>
  <c r="M233" i="15"/>
  <c r="M236" i="15"/>
  <c r="M235" i="15"/>
  <c r="M238" i="15"/>
  <c r="M220" i="15"/>
  <c r="M294" i="15"/>
  <c r="M270" i="15"/>
  <c r="M275" i="15"/>
  <c r="M256" i="15"/>
  <c r="M323" i="15"/>
  <c r="M285" i="15"/>
  <c r="M260" i="15"/>
  <c r="M251" i="15"/>
  <c r="M229" i="15"/>
  <c r="M333" i="15"/>
  <c r="M309" i="15"/>
  <c r="M265" i="15"/>
  <c r="M304" i="15"/>
  <c r="M246" i="15"/>
  <c r="M280" i="15"/>
  <c r="M299" i="15"/>
  <c r="M313" i="15"/>
  <c r="M328" i="15"/>
  <c r="M318" i="15"/>
  <c r="M232" i="15"/>
  <c r="M223" i="15"/>
  <c r="M219" i="15"/>
  <c r="M272" i="15"/>
  <c r="M310" i="15"/>
  <c r="M296" i="15"/>
  <c r="M320" i="15"/>
  <c r="M253" i="15"/>
  <c r="M287" i="15"/>
  <c r="M325" i="15"/>
  <c r="M277" i="15"/>
  <c r="M291" i="15"/>
  <c r="M237" i="15"/>
  <c r="M226" i="15"/>
  <c r="M230" i="15"/>
  <c r="M335" i="15"/>
  <c r="M267" i="15"/>
  <c r="M306" i="15"/>
  <c r="M315" i="15"/>
  <c r="M301" i="15"/>
  <c r="M282" i="15"/>
  <c r="M248" i="15"/>
  <c r="M330" i="15"/>
  <c r="M262" i="15"/>
  <c r="M242" i="15"/>
  <c r="M227" i="15"/>
  <c r="M234" i="15"/>
  <c r="M221" i="15"/>
  <c r="M239" i="15"/>
  <c r="M224" i="15"/>
  <c r="M241" i="15"/>
  <c r="M240" i="15"/>
  <c r="M337" i="15"/>
  <c r="M225" i="15"/>
  <c r="M250" i="15"/>
  <c r="M317" i="15"/>
  <c r="M293" i="15"/>
  <c r="M308" i="15"/>
  <c r="M269" i="15"/>
  <c r="M322" i="15"/>
  <c r="M255" i="15"/>
  <c r="M274" i="15"/>
  <c r="M284" i="15"/>
  <c r="M289" i="15"/>
  <c r="M243" i="15"/>
  <c r="M303" i="15"/>
  <c r="M298" i="15"/>
  <c r="M264" i="15"/>
  <c r="M259" i="15"/>
  <c r="M279" i="15"/>
  <c r="M327" i="15"/>
  <c r="M245" i="15"/>
  <c r="M244" i="15"/>
  <c r="M332" i="15"/>
  <c r="M312" i="15"/>
  <c r="M222" i="15"/>
  <c r="M228" i="15"/>
  <c r="M316" i="15"/>
  <c r="M331" i="15"/>
  <c r="M288" i="15"/>
  <c r="M292" i="15"/>
  <c r="M321" i="15"/>
  <c r="M278" i="15"/>
  <c r="M326" i="15"/>
  <c r="M249" i="15"/>
  <c r="M263" i="15"/>
  <c r="M336" i="15"/>
  <c r="M302" i="15"/>
  <c r="M268" i="15"/>
  <c r="M254" i="15"/>
  <c r="M307" i="15"/>
  <c r="M283" i="15"/>
  <c r="M297" i="15"/>
  <c r="M258" i="15"/>
  <c r="M273" i="15"/>
  <c r="M311" i="15"/>
  <c r="M334" i="15"/>
  <c r="M281" i="15"/>
  <c r="M319" i="15"/>
  <c r="M286" i="15"/>
  <c r="M305" i="15"/>
  <c r="M252" i="15"/>
  <c r="M271" i="15"/>
  <c r="M324" i="15"/>
  <c r="M290" i="15"/>
  <c r="M276" i="15"/>
  <c r="M257" i="15"/>
  <c r="M300" i="15"/>
  <c r="M247" i="15"/>
  <c r="M314" i="15"/>
  <c r="M295" i="15"/>
  <c r="M266" i="15"/>
  <c r="M261" i="15"/>
  <c r="M329" i="15"/>
  <c r="R5" i="15"/>
  <c r="R3" i="15"/>
  <c r="K231" i="1"/>
  <c r="K232" i="1"/>
  <c r="K249" i="1"/>
  <c r="K248" i="1"/>
  <c r="K196" i="1"/>
  <c r="K225" i="1"/>
  <c r="K188" i="1"/>
  <c r="K183" i="1"/>
  <c r="K181" i="1"/>
  <c r="K184" i="1"/>
  <c r="K178" i="1"/>
  <c r="K157" i="1"/>
  <c r="K224" i="1"/>
  <c r="K200" i="1"/>
  <c r="K192" i="1"/>
  <c r="K222" i="1"/>
  <c r="K186" i="1"/>
  <c r="K193" i="1"/>
  <c r="K202" i="1"/>
  <c r="K138" i="1"/>
  <c r="K290" i="1"/>
  <c r="K201" i="1"/>
  <c r="K198" i="1"/>
  <c r="K296" i="1"/>
  <c r="K185" i="1"/>
  <c r="K199" i="1"/>
  <c r="K175" i="1"/>
  <c r="K274" i="1"/>
  <c r="K141" i="1"/>
  <c r="K102" i="1"/>
  <c r="K168" i="1"/>
  <c r="K153" i="1"/>
  <c r="K128" i="1"/>
  <c r="K132" i="1"/>
  <c r="K125" i="1"/>
  <c r="K179" i="1"/>
  <c r="K52" i="1"/>
  <c r="K169" i="1"/>
  <c r="K194" i="1"/>
  <c r="K167" i="1"/>
  <c r="K107" i="1"/>
  <c r="K206" i="1"/>
  <c r="K243" i="1"/>
  <c r="K229" i="1"/>
  <c r="K221" i="1"/>
  <c r="K217" i="1"/>
  <c r="K218" i="1"/>
  <c r="K98" i="1"/>
  <c r="K72" i="1"/>
  <c r="K63" i="1"/>
  <c r="K83" i="1"/>
  <c r="K97" i="1"/>
  <c r="K308" i="1"/>
  <c r="K172" i="1"/>
  <c r="K118" i="1"/>
  <c r="K140" i="1"/>
  <c r="K64" i="1"/>
  <c r="K151" i="1"/>
  <c r="K114" i="1"/>
  <c r="K103" i="1"/>
  <c r="K152" i="1"/>
  <c r="K324" i="1"/>
  <c r="K312" i="1"/>
  <c r="K327" i="1"/>
  <c r="K313" i="1"/>
  <c r="K309" i="1"/>
  <c r="K314" i="1"/>
  <c r="K328" i="1"/>
  <c r="K237" i="1"/>
  <c r="K326" i="1"/>
  <c r="K300" i="1"/>
  <c r="K329" i="1"/>
  <c r="K223" i="1"/>
  <c r="K244" i="1"/>
  <c r="K234" i="1"/>
  <c r="K252" i="1"/>
  <c r="K287" i="1"/>
  <c r="K148" i="1"/>
  <c r="K166" i="1"/>
  <c r="K320" i="1"/>
  <c r="K321" i="1"/>
  <c r="K299" i="1"/>
  <c r="K270" i="1"/>
  <c r="K285" i="1"/>
  <c r="K307" i="1"/>
  <c r="K322" i="1"/>
  <c r="K323" i="1"/>
  <c r="K275" i="1"/>
  <c r="K291" i="1"/>
  <c r="K306" i="1"/>
  <c r="K336" i="1"/>
  <c r="K122" i="1"/>
  <c r="K311" i="1"/>
  <c r="K297" i="1"/>
  <c r="K337" i="1"/>
  <c r="K256" i="1"/>
  <c r="K269" i="1"/>
  <c r="K279" i="1"/>
  <c r="K134" i="1"/>
  <c r="K136" i="1"/>
  <c r="K259" i="1"/>
  <c r="K281" i="1"/>
  <c r="K251" i="1"/>
  <c r="K257" i="1"/>
  <c r="K278" i="1"/>
  <c r="K258" i="1"/>
  <c r="K280" i="1"/>
  <c r="K333" i="1"/>
  <c r="K334" i="1"/>
  <c r="K276" i="1"/>
  <c r="K292" i="1"/>
  <c r="K302" i="1"/>
  <c r="K315" i="1"/>
  <c r="K293" i="1"/>
  <c r="K294" i="1"/>
  <c r="K295" i="1"/>
  <c r="K335" i="1"/>
  <c r="K325" i="1"/>
  <c r="K263" i="1"/>
  <c r="K301" i="1"/>
  <c r="K220" i="1"/>
  <c r="K254" i="1"/>
  <c r="K233" i="1"/>
  <c r="K273" i="1"/>
  <c r="K267" i="1"/>
  <c r="K260" i="1"/>
  <c r="K250" i="1"/>
  <c r="K255" i="1"/>
  <c r="K286" i="1"/>
  <c r="K277" i="1"/>
  <c r="K265" i="1"/>
  <c r="K316" i="1"/>
  <c r="K288" i="1"/>
  <c r="K303" i="1"/>
  <c r="K203" i="1"/>
  <c r="K262" i="1"/>
  <c r="K282" i="1"/>
  <c r="K304" i="1"/>
  <c r="K317" i="1"/>
  <c r="K318" i="1"/>
  <c r="K289" i="1"/>
  <c r="K319" i="1"/>
  <c r="K305" i="1"/>
  <c r="K236" i="1"/>
  <c r="K283" i="1"/>
  <c r="K272" i="1"/>
  <c r="K238" i="1"/>
  <c r="K284" i="1"/>
  <c r="K266" i="1"/>
  <c r="K253" i="1"/>
  <c r="K330" i="1"/>
  <c r="K245" i="1"/>
  <c r="K268" i="1"/>
  <c r="K310" i="1"/>
  <c r="K271" i="1"/>
  <c r="K261" i="1"/>
  <c r="K332" i="1"/>
  <c r="K331" i="1"/>
  <c r="K65" i="1"/>
  <c r="K57" i="1"/>
  <c r="K30" i="1"/>
  <c r="K2" i="1"/>
  <c r="K197" i="1"/>
  <c r="K48" i="1"/>
  <c r="K85" i="1"/>
  <c r="K61" i="1"/>
  <c r="K111" i="1"/>
  <c r="K8" i="1"/>
  <c r="K205" i="1"/>
  <c r="K38" i="1"/>
  <c r="K53" i="1"/>
  <c r="K39" i="1"/>
  <c r="K70" i="1"/>
  <c r="K51" i="1"/>
  <c r="K93" i="1"/>
  <c r="K15" i="1"/>
  <c r="K46" i="1"/>
  <c r="K95" i="1"/>
  <c r="K100" i="1"/>
  <c r="K33" i="1"/>
  <c r="K20" i="1"/>
  <c r="K31" i="1"/>
  <c r="K36" i="1"/>
  <c r="K158" i="1"/>
  <c r="K28" i="1"/>
  <c r="K73" i="1"/>
  <c r="K56" i="1"/>
  <c r="K82" i="1"/>
  <c r="K149" i="1"/>
  <c r="K54" i="1"/>
  <c r="K5" i="1"/>
  <c r="K29" i="1"/>
  <c r="K66" i="1"/>
  <c r="K195" i="1"/>
  <c r="K86" i="1"/>
  <c r="K94" i="1"/>
  <c r="K79" i="1"/>
  <c r="K91" i="1"/>
  <c r="K165" i="1"/>
  <c r="K45" i="1"/>
  <c r="K11" i="1"/>
  <c r="K43" i="1"/>
  <c r="K50" i="1"/>
  <c r="K76" i="1"/>
  <c r="K40" i="1"/>
  <c r="K58" i="1"/>
  <c r="K16" i="1"/>
  <c r="K55" i="1"/>
  <c r="K105" i="1"/>
  <c r="K44" i="1"/>
  <c r="K67" i="1"/>
  <c r="K92" i="1"/>
  <c r="K69" i="1"/>
  <c r="K84" i="1"/>
  <c r="K173" i="1"/>
  <c r="K121" i="1"/>
  <c r="K78" i="1"/>
  <c r="K113" i="1"/>
  <c r="K99" i="1"/>
  <c r="K180" i="1"/>
  <c r="K41" i="1"/>
  <c r="K27" i="1"/>
  <c r="K3" i="1"/>
  <c r="K9" i="1"/>
  <c r="K19" i="1"/>
  <c r="K143" i="1"/>
  <c r="K162" i="1"/>
  <c r="K129" i="1"/>
  <c r="K127" i="1"/>
  <c r="K119" i="1"/>
  <c r="K21" i="1"/>
  <c r="K87" i="1"/>
  <c r="K25" i="1"/>
  <c r="K88" i="1"/>
  <c r="K60" i="1"/>
  <c r="K104" i="1"/>
  <c r="K106" i="1"/>
  <c r="K4" i="1"/>
  <c r="K42" i="1"/>
  <c r="K47" i="1"/>
  <c r="K10" i="1"/>
  <c r="K147" i="1"/>
  <c r="K110" i="1"/>
  <c r="K14" i="1"/>
  <c r="K68" i="1"/>
  <c r="K80" i="1"/>
  <c r="K144" i="1"/>
  <c r="K160" i="1"/>
  <c r="K71" i="1"/>
  <c r="K112" i="1"/>
  <c r="K22" i="1"/>
  <c r="K74" i="1"/>
  <c r="K96" i="1"/>
  <c r="K49" i="1"/>
  <c r="K7" i="1"/>
  <c r="K135" i="1"/>
  <c r="K90" i="1"/>
  <c r="K13" i="1"/>
  <c r="K89" i="1"/>
  <c r="K17" i="1"/>
  <c r="K34" i="1"/>
  <c r="K62" i="1"/>
  <c r="K137" i="1"/>
  <c r="K212" i="1"/>
  <c r="K24" i="1"/>
  <c r="K117" i="1"/>
  <c r="K75" i="1"/>
  <c r="K228" i="1"/>
  <c r="K35" i="1"/>
  <c r="K32" i="1"/>
  <c r="K81" i="1"/>
  <c r="K6" i="1"/>
  <c r="K37" i="1"/>
  <c r="K26" i="1"/>
  <c r="K12" i="1"/>
  <c r="K18" i="1"/>
  <c r="K23" i="1"/>
  <c r="K77" i="1"/>
  <c r="K124" i="1"/>
  <c r="K215" i="1"/>
  <c r="K109" i="1"/>
  <c r="K164" i="1"/>
  <c r="K226" i="1"/>
  <c r="K155" i="1"/>
  <c r="K241" i="1"/>
  <c r="K242" i="1"/>
  <c r="K120" i="1"/>
  <c r="K154" i="1"/>
  <c r="K216" i="1"/>
  <c r="K133" i="1"/>
  <c r="K189" i="1"/>
  <c r="K116" i="1"/>
  <c r="K163" i="1"/>
  <c r="K208" i="1"/>
  <c r="K176" i="1"/>
  <c r="K204" i="1"/>
  <c r="K264" i="1"/>
  <c r="K130" i="1"/>
  <c r="K182" i="1"/>
  <c r="K209" i="1"/>
  <c r="K131" i="1"/>
  <c r="K156" i="1"/>
  <c r="K207" i="1"/>
  <c r="K101" i="1"/>
  <c r="K171" i="1"/>
  <c r="K190" i="1"/>
  <c r="K170" i="1"/>
  <c r="K227" i="1"/>
  <c r="K139" i="1"/>
  <c r="K150" i="1"/>
  <c r="K214" i="1"/>
  <c r="K115" i="1"/>
  <c r="K174" i="1"/>
  <c r="K219" i="1"/>
  <c r="K145" i="1"/>
  <c r="K187" i="1"/>
  <c r="K213" i="1"/>
  <c r="K108" i="1"/>
  <c r="K159" i="1"/>
  <c r="K210" i="1"/>
  <c r="K123" i="1"/>
  <c r="K146" i="1"/>
  <c r="K211" i="1"/>
  <c r="K59" i="1"/>
  <c r="K126" i="1"/>
  <c r="K177" i="1"/>
  <c r="K142" i="1"/>
  <c r="K191" i="1"/>
  <c r="K247" i="1"/>
  <c r="K161" i="1"/>
  <c r="K239" i="1"/>
  <c r="K240" i="1"/>
  <c r="K235" i="1"/>
  <c r="K246" i="1"/>
  <c r="K298" i="1"/>
  <c r="K230" i="1"/>
  <c r="J111" i="1"/>
  <c r="J8" i="1"/>
  <c r="J205" i="1"/>
  <c r="J218" i="1"/>
  <c r="J98" i="1"/>
  <c r="J72" i="1"/>
  <c r="J63" i="1"/>
  <c r="J83" i="1"/>
  <c r="J97" i="1"/>
  <c r="J249" i="1"/>
  <c r="J248" i="1"/>
  <c r="J231" i="1"/>
  <c r="J232" i="1"/>
  <c r="J196" i="1"/>
  <c r="J225" i="1"/>
  <c r="J188" i="1"/>
  <c r="J183" i="1"/>
  <c r="J181" i="1"/>
  <c r="J184" i="1"/>
  <c r="J178" i="1"/>
  <c r="J157" i="1"/>
  <c r="J224" i="1"/>
  <c r="J200" i="1"/>
  <c r="J192" i="1"/>
  <c r="J222" i="1"/>
  <c r="J186" i="1"/>
  <c r="J193" i="1"/>
  <c r="J202" i="1"/>
  <c r="J138" i="1"/>
  <c r="J290" i="1"/>
  <c r="J201" i="1"/>
  <c r="J198" i="1"/>
  <c r="J296" i="1"/>
  <c r="J185" i="1"/>
  <c r="J199" i="1"/>
  <c r="J175" i="1"/>
  <c r="J274" i="1"/>
  <c r="J141" i="1"/>
  <c r="J102" i="1"/>
  <c r="J168" i="1"/>
  <c r="J153" i="1"/>
  <c r="J128" i="1"/>
  <c r="J132" i="1"/>
  <c r="J125" i="1"/>
  <c r="J179" i="1"/>
  <c r="J52" i="1"/>
  <c r="J169" i="1"/>
  <c r="J194" i="1"/>
  <c r="J167" i="1"/>
  <c r="J107" i="1"/>
  <c r="J206" i="1"/>
  <c r="J243" i="1"/>
  <c r="J229" i="1"/>
  <c r="J221" i="1"/>
  <c r="J217" i="1"/>
  <c r="J308" i="1"/>
  <c r="J172" i="1"/>
  <c r="J118" i="1"/>
  <c r="J140" i="1"/>
  <c r="J64" i="1"/>
  <c r="J151" i="1"/>
  <c r="J114" i="1"/>
  <c r="J103" i="1"/>
  <c r="J152" i="1"/>
  <c r="J324" i="1"/>
  <c r="J312" i="1"/>
  <c r="J327" i="1"/>
  <c r="J313" i="1"/>
  <c r="J309" i="1"/>
  <c r="J314" i="1"/>
  <c r="J328" i="1"/>
  <c r="J237" i="1"/>
  <c r="J326" i="1"/>
  <c r="J300" i="1"/>
  <c r="J329" i="1"/>
  <c r="J223" i="1"/>
  <c r="J244" i="1"/>
  <c r="J234" i="1"/>
  <c r="J252" i="1"/>
  <c r="J287" i="1"/>
  <c r="J148" i="1"/>
  <c r="J166" i="1"/>
  <c r="J320" i="1"/>
  <c r="J321" i="1"/>
  <c r="J299" i="1"/>
  <c r="J270" i="1"/>
  <c r="J285" i="1"/>
  <c r="J307" i="1"/>
  <c r="J322" i="1"/>
  <c r="J323" i="1"/>
  <c r="J275" i="1"/>
  <c r="J291" i="1"/>
  <c r="J306" i="1"/>
  <c r="J336" i="1"/>
  <c r="J122" i="1"/>
  <c r="J311" i="1"/>
  <c r="J297" i="1"/>
  <c r="J337" i="1"/>
  <c r="J256" i="1"/>
  <c r="J269" i="1"/>
  <c r="J279" i="1"/>
  <c r="J134" i="1"/>
  <c r="J136" i="1"/>
  <c r="J259" i="1"/>
  <c r="J281" i="1"/>
  <c r="J251" i="1"/>
  <c r="J257" i="1"/>
  <c r="J278" i="1"/>
  <c r="J258" i="1"/>
  <c r="J280" i="1"/>
  <c r="J333" i="1"/>
  <c r="J334" i="1"/>
  <c r="J276" i="1"/>
  <c r="J292" i="1"/>
  <c r="J302" i="1"/>
  <c r="J315" i="1"/>
  <c r="J293" i="1"/>
  <c r="J294" i="1"/>
  <c r="J295" i="1"/>
  <c r="J335" i="1"/>
  <c r="J325" i="1"/>
  <c r="J263" i="1"/>
  <c r="J301" i="1"/>
  <c r="J220" i="1"/>
  <c r="J254" i="1"/>
  <c r="J233" i="1"/>
  <c r="J273" i="1"/>
  <c r="J267" i="1"/>
  <c r="J260" i="1"/>
  <c r="J250" i="1"/>
  <c r="J255" i="1"/>
  <c r="J286" i="1"/>
  <c r="J277" i="1"/>
  <c r="J265" i="1"/>
  <c r="J316" i="1"/>
  <c r="J288" i="1"/>
  <c r="J303" i="1"/>
  <c r="J203" i="1"/>
  <c r="J262" i="1"/>
  <c r="J282" i="1"/>
  <c r="J304" i="1"/>
  <c r="J317" i="1"/>
  <c r="J318" i="1"/>
  <c r="J289" i="1"/>
  <c r="J319" i="1"/>
  <c r="J305" i="1"/>
  <c r="J236" i="1"/>
  <c r="J283" i="1"/>
  <c r="J272" i="1"/>
  <c r="J238" i="1"/>
  <c r="J284" i="1"/>
  <c r="J266" i="1"/>
  <c r="J253" i="1"/>
  <c r="J330" i="1"/>
  <c r="J245" i="1"/>
  <c r="J268" i="1"/>
  <c r="J310" i="1"/>
  <c r="J271" i="1"/>
  <c r="J261" i="1"/>
  <c r="J332" i="1"/>
  <c r="J331" i="1"/>
  <c r="J65" i="1"/>
  <c r="J57" i="1"/>
  <c r="J30" i="1"/>
  <c r="J2" i="1"/>
  <c r="J197" i="1"/>
  <c r="J48" i="1"/>
  <c r="J85" i="1"/>
  <c r="J61" i="1"/>
  <c r="J38" i="1"/>
  <c r="J53" i="1"/>
  <c r="J39" i="1"/>
  <c r="J70" i="1"/>
  <c r="J51" i="1"/>
  <c r="J93" i="1"/>
  <c r="J15" i="1"/>
  <c r="J46" i="1"/>
  <c r="J95" i="1"/>
  <c r="J100" i="1"/>
  <c r="J33" i="1"/>
  <c r="J36" i="1"/>
  <c r="J158" i="1"/>
  <c r="J28" i="1"/>
  <c r="J73" i="1"/>
  <c r="J56" i="1"/>
  <c r="J82" i="1"/>
  <c r="J149" i="1"/>
  <c r="J54" i="1"/>
  <c r="J5" i="1"/>
  <c r="J29" i="1"/>
  <c r="J66" i="1"/>
  <c r="J195" i="1"/>
  <c r="J86" i="1"/>
  <c r="J94" i="1"/>
  <c r="J79" i="1"/>
  <c r="J91" i="1"/>
  <c r="J165" i="1"/>
  <c r="J45" i="1"/>
  <c r="J11" i="1"/>
  <c r="J43" i="1"/>
  <c r="J50" i="1"/>
  <c r="J76" i="1"/>
  <c r="J40" i="1"/>
  <c r="J58" i="1"/>
  <c r="J16" i="1"/>
  <c r="J55" i="1"/>
  <c r="J105" i="1"/>
  <c r="J44" i="1"/>
  <c r="J67" i="1"/>
  <c r="J92" i="1"/>
  <c r="J69" i="1"/>
  <c r="J84" i="1"/>
  <c r="J173" i="1"/>
  <c r="J121" i="1"/>
  <c r="J78" i="1"/>
  <c r="J113" i="1"/>
  <c r="J99" i="1"/>
  <c r="J180" i="1"/>
  <c r="J41" i="1"/>
  <c r="J27" i="1"/>
  <c r="J3" i="1"/>
  <c r="J9" i="1"/>
  <c r="J127" i="1"/>
  <c r="J119" i="1"/>
  <c r="J21" i="1"/>
  <c r="J87" i="1"/>
  <c r="J25" i="1"/>
  <c r="J88" i="1"/>
  <c r="J60" i="1"/>
  <c r="J104" i="1"/>
  <c r="J106" i="1"/>
  <c r="J4" i="1"/>
  <c r="J42" i="1"/>
  <c r="J47" i="1"/>
  <c r="J10" i="1"/>
  <c r="J147" i="1"/>
  <c r="J110" i="1"/>
  <c r="J14" i="1"/>
  <c r="J68" i="1"/>
  <c r="J80" i="1"/>
  <c r="J144" i="1"/>
  <c r="J160" i="1"/>
  <c r="J71" i="1"/>
  <c r="J112" i="1"/>
  <c r="J22" i="1"/>
  <c r="J74" i="1"/>
  <c r="J96" i="1"/>
  <c r="J49" i="1"/>
  <c r="J7" i="1"/>
  <c r="J135" i="1"/>
  <c r="J90" i="1"/>
  <c r="J13" i="1"/>
  <c r="J89" i="1"/>
  <c r="J17" i="1"/>
  <c r="J34" i="1"/>
  <c r="J62" i="1"/>
  <c r="J137" i="1"/>
  <c r="J212" i="1"/>
  <c r="J24" i="1"/>
  <c r="J117" i="1"/>
  <c r="J75" i="1"/>
  <c r="J228" i="1"/>
  <c r="J35" i="1"/>
  <c r="J32" i="1"/>
  <c r="J81" i="1"/>
  <c r="J6" i="1"/>
  <c r="J37" i="1"/>
  <c r="J26" i="1"/>
  <c r="J12" i="1"/>
  <c r="J18" i="1"/>
  <c r="J23" i="1"/>
  <c r="J77" i="1"/>
  <c r="J124" i="1"/>
  <c r="J215" i="1"/>
  <c r="J109" i="1"/>
  <c r="J164" i="1"/>
  <c r="J226" i="1"/>
  <c r="J155" i="1"/>
  <c r="J241" i="1"/>
  <c r="J242" i="1"/>
  <c r="J120" i="1"/>
  <c r="J154" i="1"/>
  <c r="J216" i="1"/>
  <c r="J133" i="1"/>
  <c r="J189" i="1"/>
  <c r="J116" i="1"/>
  <c r="J163" i="1"/>
  <c r="J208" i="1"/>
  <c r="J176" i="1"/>
  <c r="J204" i="1"/>
  <c r="J264" i="1"/>
  <c r="J130" i="1"/>
  <c r="J182" i="1"/>
  <c r="J209" i="1"/>
  <c r="J131" i="1"/>
  <c r="J156" i="1"/>
  <c r="J207" i="1"/>
  <c r="J101" i="1"/>
  <c r="J171" i="1"/>
  <c r="J190" i="1"/>
  <c r="J170" i="1"/>
  <c r="J227" i="1"/>
  <c r="J139" i="1"/>
  <c r="J150" i="1"/>
  <c r="J214" i="1"/>
  <c r="J115" i="1"/>
  <c r="J174" i="1"/>
  <c r="J219" i="1"/>
  <c r="J145" i="1"/>
  <c r="J187" i="1"/>
  <c r="J213" i="1"/>
  <c r="J108" i="1"/>
  <c r="J159" i="1"/>
  <c r="J210" i="1"/>
  <c r="J123" i="1"/>
  <c r="J146" i="1"/>
  <c r="J211" i="1"/>
  <c r="J59" i="1"/>
  <c r="J126" i="1"/>
  <c r="J177" i="1"/>
  <c r="J142" i="1"/>
  <c r="J191" i="1"/>
  <c r="J247" i="1"/>
  <c r="J161" i="1"/>
  <c r="J239" i="1"/>
  <c r="J240" i="1"/>
  <c r="J235" i="1"/>
  <c r="J246" i="1"/>
  <c r="J298" i="1"/>
  <c r="J230" i="1"/>
  <c r="V126" i="1"/>
  <c r="U126" i="1"/>
  <c r="S126" i="1"/>
  <c r="R126" i="1"/>
  <c r="Q126" i="1"/>
  <c r="P126" i="1"/>
  <c r="V59" i="1"/>
  <c r="U59" i="1"/>
  <c r="S59" i="1"/>
  <c r="R59" i="1"/>
  <c r="Q59" i="1"/>
  <c r="P59" i="1"/>
  <c r="V174" i="1"/>
  <c r="U174" i="1"/>
  <c r="S174" i="1"/>
  <c r="R174" i="1"/>
  <c r="Q174" i="1"/>
  <c r="P174" i="1"/>
  <c r="V115" i="1"/>
  <c r="U115" i="1"/>
  <c r="S115" i="1"/>
  <c r="R115" i="1"/>
  <c r="Q115" i="1"/>
  <c r="P115" i="1"/>
  <c r="V156" i="1"/>
  <c r="U156" i="1"/>
  <c r="S156" i="1"/>
  <c r="R156" i="1"/>
  <c r="Q156" i="1"/>
  <c r="P156" i="1"/>
  <c r="V131" i="1"/>
  <c r="U131" i="1"/>
  <c r="S131" i="1"/>
  <c r="R131" i="1"/>
  <c r="Q131" i="1"/>
  <c r="P131" i="1"/>
  <c r="V189" i="1"/>
  <c r="U189" i="1"/>
  <c r="S189" i="1"/>
  <c r="R189" i="1"/>
  <c r="Q189" i="1"/>
  <c r="P189" i="1"/>
  <c r="V133" i="1"/>
  <c r="U133" i="1"/>
  <c r="S133" i="1"/>
  <c r="R133" i="1"/>
  <c r="Q133" i="1"/>
  <c r="P133" i="1"/>
  <c r="V124" i="1"/>
  <c r="U124" i="1"/>
  <c r="S124" i="1"/>
  <c r="R124" i="1"/>
  <c r="Q124" i="1"/>
  <c r="P124" i="1"/>
  <c r="V77" i="1"/>
  <c r="U77" i="1"/>
  <c r="S77" i="1"/>
  <c r="R77" i="1"/>
  <c r="Q77" i="1"/>
  <c r="P77" i="1"/>
  <c r="V26" i="1"/>
  <c r="U26" i="1"/>
  <c r="S26" i="1"/>
  <c r="R26" i="1"/>
  <c r="Q26" i="1"/>
  <c r="P26" i="1"/>
  <c r="V37" i="1"/>
  <c r="U37" i="1"/>
  <c r="S37" i="1"/>
  <c r="R37" i="1"/>
  <c r="Q37" i="1"/>
  <c r="P37" i="1"/>
  <c r="V32" i="1"/>
  <c r="U32" i="1"/>
  <c r="S32" i="1"/>
  <c r="R32" i="1"/>
  <c r="Q32" i="1"/>
  <c r="P32" i="1"/>
  <c r="V35" i="1"/>
  <c r="U35" i="1"/>
  <c r="S35" i="1"/>
  <c r="R35" i="1"/>
  <c r="Q35" i="1"/>
  <c r="P35" i="1"/>
  <c r="V137" i="1"/>
  <c r="U137" i="1"/>
  <c r="S137" i="1"/>
  <c r="R137" i="1"/>
  <c r="Q137" i="1"/>
  <c r="P137" i="1"/>
  <c r="V62" i="1"/>
  <c r="U62" i="1"/>
  <c r="S62" i="1"/>
  <c r="R62" i="1"/>
  <c r="Q62" i="1"/>
  <c r="P62" i="1"/>
  <c r="V17" i="1"/>
  <c r="U17" i="1"/>
  <c r="S17" i="1"/>
  <c r="R17" i="1"/>
  <c r="Q17" i="1"/>
  <c r="P17" i="1"/>
  <c r="V89" i="1"/>
  <c r="U89" i="1"/>
  <c r="S89" i="1"/>
  <c r="R89" i="1"/>
  <c r="Q89" i="1"/>
  <c r="P89" i="1"/>
  <c r="V90" i="1"/>
  <c r="U90" i="1"/>
  <c r="S90" i="1"/>
  <c r="R90" i="1"/>
  <c r="Q90" i="1"/>
  <c r="P90" i="1"/>
  <c r="V49" i="1"/>
  <c r="U49" i="1"/>
  <c r="S49" i="1"/>
  <c r="R49" i="1"/>
  <c r="Q49" i="1"/>
  <c r="P49" i="1"/>
  <c r="V96" i="1"/>
  <c r="U96" i="1"/>
  <c r="S96" i="1"/>
  <c r="R96" i="1"/>
  <c r="Q96" i="1"/>
  <c r="P96" i="1"/>
  <c r="V160" i="1"/>
  <c r="U160" i="1"/>
  <c r="S160" i="1"/>
  <c r="R160" i="1"/>
  <c r="Q160" i="1"/>
  <c r="P160" i="1"/>
  <c r="V144" i="1"/>
  <c r="U144" i="1"/>
  <c r="S144" i="1"/>
  <c r="R144" i="1"/>
  <c r="Q144" i="1"/>
  <c r="P144" i="1"/>
  <c r="V68" i="1"/>
  <c r="U68" i="1"/>
  <c r="S68" i="1"/>
  <c r="R68" i="1"/>
  <c r="Q68" i="1"/>
  <c r="P68" i="1"/>
  <c r="V14" i="1"/>
  <c r="U14" i="1"/>
  <c r="S14" i="1"/>
  <c r="R14" i="1"/>
  <c r="Q14" i="1"/>
  <c r="P14" i="1"/>
  <c r="V147" i="1"/>
  <c r="U147" i="1"/>
  <c r="S147" i="1"/>
  <c r="R147" i="1"/>
  <c r="Q147" i="1"/>
  <c r="P147" i="1"/>
  <c r="V10" i="1"/>
  <c r="U10" i="1"/>
  <c r="S10" i="1"/>
  <c r="R10" i="1"/>
  <c r="Q10" i="1"/>
  <c r="P10" i="1"/>
  <c r="V42" i="1"/>
  <c r="U42" i="1"/>
  <c r="S42" i="1"/>
  <c r="R42" i="1"/>
  <c r="Q42" i="1"/>
  <c r="P42" i="1"/>
  <c r="V4" i="1"/>
  <c r="U4" i="1"/>
  <c r="S4" i="1"/>
  <c r="R4" i="1"/>
  <c r="Q4" i="1"/>
  <c r="V87" i="1"/>
  <c r="U87" i="1"/>
  <c r="S87" i="1"/>
  <c r="R87" i="1"/>
  <c r="Q87" i="1"/>
  <c r="P87" i="1"/>
  <c r="V21" i="1"/>
  <c r="U21" i="1"/>
  <c r="S21" i="1"/>
  <c r="R21" i="1"/>
  <c r="Q21" i="1"/>
  <c r="P21" i="1"/>
  <c r="V143" i="1"/>
  <c r="U143" i="1"/>
  <c r="S143" i="1"/>
  <c r="R143" i="1"/>
  <c r="Q143" i="1"/>
  <c r="P143" i="1"/>
  <c r="V19" i="1"/>
  <c r="U19" i="1"/>
  <c r="S19" i="1"/>
  <c r="R19" i="1"/>
  <c r="Q19" i="1"/>
  <c r="P19" i="1"/>
  <c r="V41" i="1"/>
  <c r="U41" i="1"/>
  <c r="S41" i="1"/>
  <c r="R41" i="1"/>
  <c r="Q41" i="1"/>
  <c r="P41" i="1"/>
  <c r="V180" i="1"/>
  <c r="U180" i="1"/>
  <c r="S180" i="1"/>
  <c r="R180" i="1"/>
  <c r="Q180" i="1"/>
  <c r="P180" i="1"/>
  <c r="V84" i="1"/>
  <c r="U84" i="1"/>
  <c r="S84" i="1"/>
  <c r="R84" i="1"/>
  <c r="Q84" i="1"/>
  <c r="P84" i="1"/>
  <c r="V69" i="1"/>
  <c r="U69" i="1"/>
  <c r="S69" i="1"/>
  <c r="R69" i="1"/>
  <c r="Q69" i="1"/>
  <c r="P69" i="1"/>
  <c r="V50" i="1"/>
  <c r="U50" i="1"/>
  <c r="S50" i="1"/>
  <c r="R50" i="1"/>
  <c r="Q50" i="1"/>
  <c r="P50" i="1"/>
  <c r="V43" i="1"/>
  <c r="U43" i="1"/>
  <c r="S43" i="1"/>
  <c r="R43" i="1"/>
  <c r="Q43" i="1"/>
  <c r="P43" i="1"/>
  <c r="V165" i="1"/>
  <c r="U165" i="1"/>
  <c r="S165" i="1"/>
  <c r="R165" i="1"/>
  <c r="Q165" i="1"/>
  <c r="P165" i="1"/>
  <c r="V91" i="1"/>
  <c r="U91" i="1"/>
  <c r="S91" i="1"/>
  <c r="R91" i="1"/>
  <c r="Q91" i="1"/>
  <c r="P91" i="1"/>
  <c r="V54" i="1"/>
  <c r="U54" i="1"/>
  <c r="S54" i="1"/>
  <c r="R54" i="1"/>
  <c r="Q54" i="1"/>
  <c r="P54" i="1"/>
  <c r="V149" i="1"/>
  <c r="U149" i="1"/>
  <c r="S149" i="1"/>
  <c r="R149" i="1"/>
  <c r="Q149" i="1"/>
  <c r="P149" i="1"/>
  <c r="V20" i="1"/>
  <c r="U20" i="1"/>
  <c r="S20" i="1"/>
  <c r="R20" i="1"/>
  <c r="Q20" i="1"/>
  <c r="P20" i="1"/>
  <c r="V33" i="1"/>
  <c r="U33" i="1"/>
  <c r="S33" i="1"/>
  <c r="R33" i="1"/>
  <c r="Q33" i="1"/>
  <c r="P33" i="1"/>
  <c r="V53" i="1"/>
  <c r="U53" i="1"/>
  <c r="S53" i="1"/>
  <c r="R53" i="1"/>
  <c r="Q53" i="1"/>
  <c r="P53" i="1"/>
  <c r="V38" i="1"/>
  <c r="U38" i="1"/>
  <c r="S38" i="1"/>
  <c r="R38" i="1"/>
  <c r="Q38" i="1"/>
  <c r="P38" i="1"/>
  <c r="V8" i="1"/>
  <c r="U8" i="1"/>
  <c r="S8" i="1"/>
  <c r="R8" i="1"/>
  <c r="Q8" i="1"/>
  <c r="P8" i="1"/>
  <c r="V111" i="1"/>
  <c r="U111" i="1"/>
  <c r="S111" i="1"/>
  <c r="R111" i="1"/>
  <c r="Q111" i="1"/>
  <c r="P111" i="1"/>
  <c r="V57" i="1"/>
  <c r="U57" i="1"/>
  <c r="S57" i="1"/>
  <c r="R57" i="1"/>
  <c r="Q57" i="1"/>
  <c r="P57" i="1"/>
  <c r="V65" i="1"/>
  <c r="U65" i="1"/>
  <c r="S65" i="1"/>
  <c r="R65" i="1"/>
  <c r="Q65" i="1"/>
  <c r="P65" i="1"/>
  <c r="V245" i="1"/>
  <c r="U245" i="1"/>
  <c r="S245" i="1"/>
  <c r="R245" i="1"/>
  <c r="Q245" i="1"/>
  <c r="P245" i="1"/>
  <c r="V330" i="1"/>
  <c r="U330" i="1"/>
  <c r="S330" i="1"/>
  <c r="R330" i="1"/>
  <c r="Q330" i="1"/>
  <c r="P330" i="1"/>
  <c r="V265" i="1"/>
  <c r="U265" i="1"/>
  <c r="S265" i="1"/>
  <c r="R265" i="1"/>
  <c r="Q265" i="1"/>
  <c r="P265" i="1"/>
  <c r="V277" i="1"/>
  <c r="U277" i="1"/>
  <c r="S277" i="1"/>
  <c r="R277" i="1"/>
  <c r="Q277" i="1"/>
  <c r="P277" i="1"/>
  <c r="V325" i="1"/>
  <c r="U325" i="1"/>
  <c r="S325" i="1"/>
  <c r="R325" i="1"/>
  <c r="Q325" i="1"/>
  <c r="P325" i="1"/>
  <c r="V335" i="1"/>
  <c r="U335" i="1"/>
  <c r="S335" i="1"/>
  <c r="R335" i="1"/>
  <c r="Q335" i="1"/>
  <c r="P335" i="1"/>
  <c r="V302" i="1"/>
  <c r="U302" i="1"/>
  <c r="S302" i="1"/>
  <c r="R302" i="1"/>
  <c r="Q302" i="1"/>
  <c r="P302" i="1"/>
  <c r="V292" i="1"/>
  <c r="U292" i="1"/>
  <c r="S292" i="1"/>
  <c r="R292" i="1"/>
  <c r="Q292" i="1"/>
  <c r="P292" i="1"/>
  <c r="V333" i="1"/>
  <c r="U333" i="1"/>
  <c r="S333" i="1"/>
  <c r="R333" i="1"/>
  <c r="Q333" i="1"/>
  <c r="P333" i="1"/>
  <c r="V134" i="1"/>
  <c r="U134" i="1"/>
  <c r="S134" i="1"/>
  <c r="R134" i="1"/>
  <c r="Q134" i="1"/>
  <c r="P134" i="1"/>
  <c r="V279" i="1"/>
  <c r="U279" i="1"/>
  <c r="S279" i="1"/>
  <c r="R279" i="1"/>
  <c r="Q279" i="1"/>
  <c r="P279" i="1"/>
  <c r="V336" i="1"/>
  <c r="U336" i="1"/>
  <c r="S336" i="1"/>
  <c r="R336" i="1"/>
  <c r="Q336" i="1"/>
  <c r="P336" i="1"/>
  <c r="V306" i="1"/>
  <c r="U306" i="1"/>
  <c r="S306" i="1"/>
  <c r="R306" i="1"/>
  <c r="Q306" i="1"/>
  <c r="P306" i="1"/>
  <c r="V321" i="1"/>
  <c r="U321" i="1"/>
  <c r="S321" i="1"/>
  <c r="R321" i="1"/>
  <c r="Q321" i="1"/>
  <c r="P321" i="1"/>
  <c r="V320" i="1"/>
  <c r="U320" i="1"/>
  <c r="S320" i="1"/>
  <c r="R320" i="1"/>
  <c r="Q320" i="1"/>
  <c r="P320" i="1"/>
  <c r="V244" i="1"/>
  <c r="U244" i="1"/>
  <c r="S244" i="1"/>
  <c r="R244" i="1"/>
  <c r="Q244" i="1"/>
  <c r="P244" i="1"/>
  <c r="V223" i="1"/>
  <c r="U223" i="1"/>
  <c r="S223" i="1"/>
  <c r="R223" i="1"/>
  <c r="Q223" i="1"/>
  <c r="P223" i="1"/>
  <c r="V312" i="1"/>
  <c r="U312" i="1"/>
  <c r="S312" i="1"/>
  <c r="R312" i="1"/>
  <c r="Q312" i="1"/>
  <c r="P312" i="1"/>
  <c r="V324" i="1"/>
  <c r="U324" i="1"/>
  <c r="S324" i="1"/>
  <c r="R324" i="1"/>
  <c r="Q324" i="1"/>
  <c r="P324" i="1"/>
  <c r="V118" i="1"/>
  <c r="U118" i="1"/>
  <c r="S118" i="1"/>
  <c r="R118" i="1"/>
  <c r="Q118" i="1"/>
  <c r="P118" i="1"/>
  <c r="V172" i="1"/>
  <c r="U172" i="1"/>
  <c r="S172" i="1"/>
  <c r="R172" i="1"/>
  <c r="Q172" i="1"/>
  <c r="P172" i="1"/>
  <c r="V98" i="1"/>
  <c r="U98" i="1"/>
  <c r="S98" i="1"/>
  <c r="R98" i="1"/>
  <c r="Q98" i="1"/>
  <c r="P98" i="1"/>
  <c r="V218" i="1"/>
  <c r="U218" i="1"/>
  <c r="S218" i="1"/>
  <c r="R218" i="1"/>
  <c r="Q218" i="1"/>
  <c r="P218" i="1"/>
  <c r="V128" i="1"/>
  <c r="U128" i="1"/>
  <c r="S128" i="1"/>
  <c r="R128" i="1"/>
  <c r="Q128" i="1"/>
  <c r="P128" i="1"/>
  <c r="V153" i="1"/>
  <c r="U153" i="1"/>
  <c r="S153" i="1"/>
  <c r="R153" i="1"/>
  <c r="Q153" i="1"/>
  <c r="P153" i="1"/>
  <c r="V198" i="1"/>
  <c r="U198" i="1"/>
  <c r="S198" i="1"/>
  <c r="R198" i="1"/>
  <c r="Q198" i="1"/>
  <c r="P198" i="1"/>
  <c r="V201" i="1"/>
  <c r="U201" i="1"/>
  <c r="S201" i="1"/>
  <c r="R201" i="1"/>
  <c r="Q201" i="1"/>
  <c r="P201" i="1"/>
  <c r="V183" i="1"/>
  <c r="U183" i="1"/>
  <c r="S183" i="1"/>
  <c r="R183" i="1"/>
  <c r="Q183" i="1"/>
  <c r="P183" i="1"/>
  <c r="V188" i="1"/>
  <c r="U188" i="1"/>
  <c r="S188" i="1"/>
  <c r="R188" i="1"/>
  <c r="Q188" i="1"/>
  <c r="P188" i="1"/>
  <c r="V249" i="1"/>
  <c r="U249" i="1"/>
  <c r="S249" i="1"/>
  <c r="R249" i="1"/>
  <c r="Q249" i="1"/>
  <c r="P249" i="1"/>
  <c r="V231" i="1"/>
  <c r="U231" i="1"/>
  <c r="S231" i="1"/>
  <c r="R231" i="1"/>
  <c r="Q231" i="1"/>
  <c r="P231" i="1"/>
  <c r="V230" i="1"/>
  <c r="U230" i="1"/>
  <c r="S230" i="1"/>
  <c r="R230" i="1"/>
  <c r="Q230" i="1"/>
  <c r="P230" i="1"/>
  <c r="S8" i="15" l="1"/>
  <c r="S9" i="15" s="1"/>
  <c r="T335" i="1"/>
  <c r="T183" i="1"/>
  <c r="T35" i="1"/>
  <c r="T41" i="1"/>
  <c r="T42" i="1"/>
  <c r="T180" i="1"/>
  <c r="T165" i="1"/>
  <c r="T147" i="1"/>
  <c r="T10" i="1"/>
  <c r="T21" i="1"/>
  <c r="T19" i="1"/>
  <c r="T249" i="1"/>
  <c r="T137" i="1"/>
  <c r="T172" i="1"/>
  <c r="T32" i="1"/>
  <c r="T68" i="1"/>
  <c r="T111" i="1"/>
  <c r="T89" i="1"/>
  <c r="T321" i="1"/>
  <c r="T174" i="1"/>
  <c r="T156" i="1"/>
  <c r="T90" i="1"/>
  <c r="T143" i="1"/>
  <c r="T330" i="1"/>
  <c r="T65" i="1"/>
  <c r="U3" i="16"/>
  <c r="S4" i="15"/>
  <c r="S5" i="15" s="1"/>
  <c r="T277" i="1"/>
  <c r="T134" i="1"/>
  <c r="T189" i="1"/>
  <c r="T124" i="1"/>
  <c r="T8" i="1"/>
  <c r="T306" i="1"/>
  <c r="U4" i="15"/>
  <c r="U5" i="15" s="1"/>
  <c r="T69" i="1"/>
  <c r="T245" i="1"/>
  <c r="T265" i="1"/>
  <c r="T223" i="1"/>
  <c r="T131" i="1"/>
  <c r="T244" i="1"/>
  <c r="T98" i="1"/>
  <c r="T59" i="1"/>
  <c r="T115" i="1"/>
  <c r="T160" i="1"/>
  <c r="T91" i="1"/>
  <c r="T57" i="1"/>
  <c r="T292" i="1"/>
  <c r="T320" i="1"/>
  <c r="T231" i="1"/>
  <c r="T14" i="1"/>
  <c r="T149" i="1"/>
  <c r="T20" i="1"/>
  <c r="T53" i="1"/>
  <c r="T312" i="1"/>
  <c r="T218" i="1"/>
  <c r="T133" i="1"/>
  <c r="T77" i="1"/>
  <c r="T62" i="1"/>
  <c r="T96" i="1"/>
  <c r="T87" i="1"/>
  <c r="T302" i="1"/>
  <c r="T336" i="1"/>
  <c r="T324" i="1"/>
  <c r="T198" i="1"/>
  <c r="T188" i="1"/>
  <c r="T37" i="1"/>
  <c r="T17" i="1"/>
  <c r="T4" i="1"/>
  <c r="T84" i="1"/>
  <c r="T43" i="1"/>
  <c r="T325" i="1"/>
  <c r="T279" i="1"/>
  <c r="T118" i="1"/>
  <c r="T153" i="1"/>
  <c r="W8" i="15"/>
  <c r="W9" i="15" s="1"/>
  <c r="W4" i="15"/>
  <c r="W5" i="15" s="1"/>
  <c r="U8" i="15"/>
  <c r="U9" i="15" s="1"/>
  <c r="T8" i="15"/>
  <c r="T9" i="15" s="1"/>
  <c r="T4" i="15"/>
  <c r="T5" i="15" s="1"/>
  <c r="V4" i="15"/>
  <c r="V5" i="15" s="1"/>
  <c r="V8" i="15"/>
  <c r="V9" i="15" s="1"/>
  <c r="T230" i="1"/>
  <c r="T201" i="1"/>
  <c r="T54" i="1"/>
  <c r="T126" i="1"/>
  <c r="T128" i="1"/>
  <c r="T144" i="1"/>
  <c r="T33" i="1"/>
  <c r="T38" i="1"/>
  <c r="T50" i="1"/>
  <c r="T26" i="1"/>
  <c r="T49" i="1"/>
  <c r="M69" i="24" l="1"/>
  <c r="M72" i="24"/>
  <c r="M79" i="24"/>
  <c r="M77" i="24"/>
  <c r="M78" i="24"/>
  <c r="M76" i="24"/>
  <c r="M75" i="24"/>
  <c r="M70" i="24"/>
  <c r="M74" i="24"/>
  <c r="M71" i="24"/>
  <c r="M80" i="24"/>
  <c r="M73" i="24"/>
  <c r="M119" i="24"/>
  <c r="M102" i="24"/>
  <c r="M90" i="24"/>
  <c r="M104" i="24"/>
  <c r="M100" i="24"/>
  <c r="M114" i="24"/>
  <c r="M112" i="24"/>
  <c r="M96" i="24"/>
  <c r="AF139" i="24"/>
  <c r="M101" i="24"/>
  <c r="M88" i="24"/>
  <c r="M95" i="24"/>
  <c r="AF140" i="24"/>
  <c r="M86" i="24"/>
  <c r="M121" i="24"/>
  <c r="M126" i="24"/>
  <c r="M84" i="24"/>
  <c r="M120" i="24"/>
  <c r="M124" i="24"/>
  <c r="M83" i="24"/>
  <c r="M113" i="24"/>
  <c r="M103" i="24"/>
  <c r="M110" i="24"/>
  <c r="M106" i="24"/>
  <c r="M94" i="24"/>
  <c r="M105" i="24"/>
  <c r="M108" i="24"/>
  <c r="M115" i="24"/>
  <c r="AK106" i="24"/>
  <c r="M111" i="24"/>
  <c r="M116" i="24"/>
  <c r="M87" i="24"/>
  <c r="M97" i="24"/>
  <c r="M122" i="24"/>
  <c r="M85" i="24"/>
  <c r="AF142" i="24"/>
  <c r="M109" i="24"/>
  <c r="M98" i="24"/>
  <c r="M125" i="24"/>
  <c r="AF141" i="24"/>
  <c r="M91" i="24"/>
  <c r="M99" i="24"/>
  <c r="AR110" i="24"/>
  <c r="AK110" i="24"/>
  <c r="M118" i="24"/>
  <c r="M81" i="24"/>
  <c r="M82" i="24"/>
  <c r="M89" i="24"/>
  <c r="M107" i="24"/>
  <c r="AR106" i="24"/>
  <c r="M123" i="24"/>
  <c r="M117" i="24"/>
  <c r="AK111" i="24"/>
  <c r="AR111" i="24"/>
  <c r="AR107" i="24"/>
  <c r="M92" i="24"/>
  <c r="AK107" i="24"/>
  <c r="M93" i="24"/>
  <c r="AK119" i="24" l="1"/>
  <c r="AF144" i="24"/>
  <c r="AF153" i="24" s="1"/>
  <c r="AR119" i="24"/>
  <c r="AK118" i="24"/>
  <c r="AF146" i="24"/>
  <c r="AF155" i="24" s="1"/>
  <c r="AF145" i="24"/>
  <c r="AF154" i="24" s="1"/>
  <c r="AS134" i="24"/>
  <c r="AS140" i="24"/>
  <c r="AL141" i="24"/>
  <c r="AL139" i="24"/>
  <c r="AL142" i="24"/>
  <c r="AL140" i="24"/>
  <c r="AL144" i="24"/>
  <c r="AS139" i="24"/>
  <c r="AS142" i="24"/>
  <c r="AS141" i="24"/>
  <c r="AR117" i="24"/>
  <c r="AR118" i="24"/>
  <c r="AK117" i="24"/>
  <c r="AS146" i="24" l="1"/>
  <c r="AS155" i="24" s="1"/>
  <c r="AZ154" i="24" s="1"/>
  <c r="AL146" i="24"/>
  <c r="AF147" i="24"/>
  <c r="AS137" i="24"/>
  <c r="AS144" i="24"/>
  <c r="AS145" i="24"/>
  <c r="AS154" i="24" s="1"/>
  <c r="AZ153" i="24" s="1"/>
  <c r="AL145" i="24"/>
  <c r="AL147" i="24" l="1"/>
  <c r="AS147" i="24"/>
  <c r="AS153" i="24"/>
  <c r="AZ152" i="24" s="1"/>
  <c r="M127" i="24"/>
  <c r="M209" i="24"/>
  <c r="M139" i="24"/>
  <c r="M199" i="24"/>
  <c r="M130" i="24"/>
  <c r="M148" i="24"/>
  <c r="M200" i="24"/>
  <c r="M133" i="24"/>
  <c r="M141" i="24"/>
  <c r="M171" i="24"/>
  <c r="M146" i="24"/>
  <c r="M135" i="24"/>
  <c r="M157" i="24"/>
  <c r="M152" i="24"/>
  <c r="M162" i="24"/>
  <c r="M134" i="24"/>
  <c r="AS110" i="24"/>
  <c r="M164" i="24"/>
  <c r="M154" i="24"/>
  <c r="M204" i="24"/>
  <c r="M218" i="24"/>
  <c r="M155" i="24"/>
  <c r="M195" i="24"/>
  <c r="M173" i="24"/>
  <c r="M187" i="24"/>
  <c r="M147" i="24"/>
  <c r="M196" i="24"/>
  <c r="M177" i="24"/>
  <c r="M159" i="24"/>
  <c r="M208" i="24"/>
  <c r="M165" i="24"/>
  <c r="M194" i="24"/>
  <c r="AG141" i="24"/>
  <c r="M178" i="24"/>
  <c r="AG139" i="24"/>
  <c r="M129" i="24"/>
  <c r="M156" i="24"/>
  <c r="M149" i="24"/>
  <c r="M207" i="24"/>
  <c r="M132" i="24"/>
  <c r="M186" i="24"/>
  <c r="M206" i="24"/>
  <c r="AG142" i="24"/>
  <c r="AL106" i="24"/>
  <c r="M145" i="24"/>
  <c r="M170" i="24"/>
  <c r="M138" i="24"/>
  <c r="M197" i="24"/>
  <c r="M214" i="24"/>
  <c r="M198" i="24"/>
  <c r="M188" i="24"/>
  <c r="M203" i="24"/>
  <c r="M140" i="24"/>
  <c r="M169" i="24"/>
  <c r="M202" i="24"/>
  <c r="M136" i="24"/>
  <c r="M189" i="24"/>
  <c r="M210" i="24"/>
  <c r="M215" i="24"/>
  <c r="M153" i="24"/>
  <c r="M192" i="24"/>
  <c r="AG140" i="24"/>
  <c r="M185" i="24"/>
  <c r="AS106" i="24"/>
  <c r="M179" i="24"/>
  <c r="M143" i="24"/>
  <c r="M158" i="24"/>
  <c r="M181" i="24"/>
  <c r="M163" i="24"/>
  <c r="M217" i="24"/>
  <c r="M174" i="24"/>
  <c r="M151" i="24"/>
  <c r="M182" i="24"/>
  <c r="M190" i="24"/>
  <c r="AL110" i="24"/>
  <c r="AL117" i="24" s="1"/>
  <c r="M184" i="24"/>
  <c r="M161" i="24"/>
  <c r="M137" i="24"/>
  <c r="M128" i="24"/>
  <c r="M201" i="24"/>
  <c r="M172" i="24"/>
  <c r="M131" i="24"/>
  <c r="M213" i="24"/>
  <c r="M176" i="24"/>
  <c r="M216" i="24"/>
  <c r="M166" i="24"/>
  <c r="M175" i="24"/>
  <c r="M212" i="24"/>
  <c r="M144" i="24"/>
  <c r="M168" i="24"/>
  <c r="AL107" i="24"/>
  <c r="AS107" i="24"/>
  <c r="M167" i="24"/>
  <c r="M211" i="24"/>
  <c r="M150" i="24"/>
  <c r="M183" i="24"/>
  <c r="M193" i="24"/>
  <c r="M205" i="24"/>
  <c r="M142" i="24"/>
  <c r="M180" i="24"/>
  <c r="M160" i="24"/>
  <c r="M191" i="24"/>
  <c r="AL111" i="24"/>
  <c r="AS111" i="24"/>
  <c r="AG146" i="24" l="1"/>
  <c r="AG155" i="24" s="1"/>
  <c r="AT134" i="24"/>
  <c r="AT137" i="24" s="1"/>
  <c r="AT142" i="24"/>
  <c r="AS119" i="24"/>
  <c r="AG144" i="24"/>
  <c r="AL119" i="24"/>
  <c r="AG145" i="24"/>
  <c r="AG154" i="24" s="1"/>
  <c r="AS117" i="24"/>
  <c r="AL118" i="24"/>
  <c r="AS118" i="24"/>
  <c r="AT140" i="24"/>
  <c r="AM144" i="24"/>
  <c r="AM141" i="24"/>
  <c r="AT139" i="24"/>
  <c r="AM140" i="24"/>
  <c r="AM139" i="24"/>
  <c r="AM146" i="24" s="1"/>
  <c r="AT141" i="24"/>
  <c r="AM142" i="24"/>
  <c r="AT144" i="24" l="1"/>
  <c r="AT153" i="24" s="1"/>
  <c r="AG147" i="24"/>
  <c r="AG153" i="24"/>
  <c r="AT146" i="24"/>
  <c r="AT155" i="24" s="1"/>
  <c r="BA154" i="24" s="1"/>
  <c r="AT145" i="24"/>
  <c r="AT154" i="24" s="1"/>
  <c r="BA153" i="24" s="1"/>
  <c r="AM145" i="24"/>
  <c r="AM147" i="24" s="1"/>
  <c r="M219" i="24"/>
  <c r="M252" i="24"/>
  <c r="M277" i="24"/>
  <c r="M321" i="24"/>
  <c r="M273" i="24"/>
  <c r="M320" i="24"/>
  <c r="M256" i="24"/>
  <c r="M301" i="24"/>
  <c r="M335" i="24"/>
  <c r="M243" i="24"/>
  <c r="M313" i="24"/>
  <c r="M233" i="24"/>
  <c r="M293" i="24"/>
  <c r="M260" i="24"/>
  <c r="M267" i="24"/>
  <c r="M304" i="24"/>
  <c r="M247" i="24"/>
  <c r="M330" i="24"/>
  <c r="M254" i="24"/>
  <c r="M286" i="24"/>
  <c r="M337" i="24"/>
  <c r="M287" i="24"/>
  <c r="M230" i="24"/>
  <c r="M303" i="24"/>
  <c r="M332" i="24"/>
  <c r="M310" i="24"/>
  <c r="M276" i="24"/>
  <c r="M323" i="24"/>
  <c r="M264" i="24"/>
  <c r="M237" i="24"/>
  <c r="M319" i="24"/>
  <c r="M239" i="24"/>
  <c r="AT106" i="24"/>
  <c r="AF82" i="24"/>
  <c r="M253" i="24"/>
  <c r="M236" i="24"/>
  <c r="M225" i="24"/>
  <c r="M222" i="24"/>
  <c r="M306" i="24"/>
  <c r="M223" i="24"/>
  <c r="M282" i="24"/>
  <c r="M334" i="24"/>
  <c r="AI77" i="24"/>
  <c r="AI91" i="24" s="1"/>
  <c r="M291" i="24"/>
  <c r="M328" i="24"/>
  <c r="M275" i="24"/>
  <c r="AH141" i="24"/>
  <c r="M289" i="24"/>
  <c r="M299" i="24"/>
  <c r="M258" i="24"/>
  <c r="AF81" i="24"/>
  <c r="M300" i="24"/>
  <c r="M242" i="24"/>
  <c r="M259" i="24"/>
  <c r="M272" i="24"/>
  <c r="M285" i="24"/>
  <c r="M257" i="24"/>
  <c r="M251" i="24"/>
  <c r="M244" i="24"/>
  <c r="M302" i="24"/>
  <c r="M262" i="24"/>
  <c r="M316" i="24"/>
  <c r="M263" i="24"/>
  <c r="M336" i="24"/>
  <c r="M331" i="24"/>
  <c r="M307" i="24"/>
  <c r="M270" i="24"/>
  <c r="AH82" i="24"/>
  <c r="AG81" i="24"/>
  <c r="M305" i="24"/>
  <c r="M333" i="24"/>
  <c r="M281" i="24"/>
  <c r="M324" i="24"/>
  <c r="M315" i="24"/>
  <c r="M288" i="24"/>
  <c r="M245" i="24"/>
  <c r="M295" i="24"/>
  <c r="AI82" i="24"/>
  <c r="M308" i="24"/>
  <c r="M265" i="24"/>
  <c r="M294" i="24"/>
  <c r="AT110" i="24"/>
  <c r="M312" i="24"/>
  <c r="M269" i="24"/>
  <c r="M297" i="24"/>
  <c r="AH140" i="24"/>
  <c r="M274" i="24"/>
  <c r="AH81" i="24"/>
  <c r="M227" i="24"/>
  <c r="M325" i="24"/>
  <c r="M317" i="24"/>
  <c r="AM110" i="24"/>
  <c r="M278" i="24"/>
  <c r="M309" i="24"/>
  <c r="M261" i="24"/>
  <c r="M232" i="24"/>
  <c r="M241" i="24"/>
  <c r="M296" i="24"/>
  <c r="M326" i="24"/>
  <c r="M226" i="24"/>
  <c r="M224" i="24"/>
  <c r="M248" i="24"/>
  <c r="M280" i="24"/>
  <c r="M249" i="24"/>
  <c r="M229" i="24"/>
  <c r="AG82" i="24"/>
  <c r="M279" i="24"/>
  <c r="AH77" i="24"/>
  <c r="AG77" i="24"/>
  <c r="AF77" i="24"/>
  <c r="M220" i="24"/>
  <c r="AM107" i="24"/>
  <c r="M228" i="24"/>
  <c r="AT107" i="24"/>
  <c r="AM106" i="24"/>
  <c r="M235" i="24"/>
  <c r="M284" i="24"/>
  <c r="M231" i="24"/>
  <c r="M266" i="24"/>
  <c r="M246" i="24"/>
  <c r="M322" i="24"/>
  <c r="M268" i="24"/>
  <c r="M292" i="24"/>
  <c r="M314" i="24"/>
  <c r="AH76" i="24"/>
  <c r="AT111" i="24"/>
  <c r="AM111" i="24"/>
  <c r="M240" i="24"/>
  <c r="M255" i="24"/>
  <c r="M234" i="24"/>
  <c r="AI81" i="24"/>
  <c r="AI90" i="24" s="1"/>
  <c r="M298" i="24"/>
  <c r="M327" i="24"/>
  <c r="AH142" i="24"/>
  <c r="M318" i="24"/>
  <c r="M283" i="24"/>
  <c r="M329" i="24"/>
  <c r="M250" i="24"/>
  <c r="AH139" i="24"/>
  <c r="M221" i="24"/>
  <c r="M238" i="24"/>
  <c r="M290" i="24"/>
  <c r="M271" i="24"/>
  <c r="M311" i="24"/>
  <c r="AF76" i="24"/>
  <c r="AG83" i="24" l="1"/>
  <c r="AN140" i="24"/>
  <c r="AI83" i="24"/>
  <c r="AU139" i="24"/>
  <c r="AH91" i="24"/>
  <c r="AN144" i="24"/>
  <c r="AM117" i="24"/>
  <c r="AG90" i="24"/>
  <c r="BA152" i="24"/>
  <c r="AF89" i="24"/>
  <c r="AH145" i="24"/>
  <c r="AH154" i="24" s="1"/>
  <c r="AH146" i="24"/>
  <c r="AH155" i="24" s="1"/>
  <c r="AF91" i="24"/>
  <c r="AF83" i="24"/>
  <c r="AH90" i="24"/>
  <c r="AT119" i="24"/>
  <c r="AG89" i="24"/>
  <c r="AH144" i="24"/>
  <c r="AH153" i="24" s="1"/>
  <c r="AH83" i="24"/>
  <c r="AG78" i="24"/>
  <c r="AT147" i="24"/>
  <c r="AI89" i="24"/>
  <c r="AM119" i="24"/>
  <c r="AT117" i="24"/>
  <c r="AU134" i="24"/>
  <c r="AF78" i="24"/>
  <c r="AM118" i="24"/>
  <c r="AT118" i="24"/>
  <c r="AG91" i="24"/>
  <c r="AI78" i="24"/>
  <c r="AN142" i="24"/>
  <c r="AU140" i="24"/>
  <c r="AF90" i="24"/>
  <c r="AN139" i="24"/>
  <c r="AU142" i="24"/>
  <c r="AH78" i="24"/>
  <c r="AH89" i="24"/>
  <c r="AU141" i="24"/>
  <c r="AN141" i="24"/>
  <c r="AN146" i="24" l="1"/>
  <c r="AU146" i="24"/>
  <c r="AU155" i="24" s="1"/>
  <c r="BB154" i="24" s="1"/>
  <c r="AH147" i="24"/>
  <c r="AU145" i="24"/>
  <c r="AU154" i="24" s="1"/>
  <c r="BB153" i="24" s="1"/>
  <c r="AU144" i="24"/>
  <c r="AU137" i="24"/>
  <c r="AN145" i="24"/>
  <c r="AN147" i="24" l="1"/>
  <c r="AU147" i="24"/>
  <c r="AU153" i="24"/>
  <c r="BB152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rollin</author>
  </authors>
  <commentList>
    <comment ref="AD134" authorId="0" shapeId="0" xr:uid="{41B84417-F278-4070-B6E4-55C4BCABAFB1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J134" authorId="0" shapeId="0" xr:uid="{A74F5F53-A154-42CE-987E-B764E38D7113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Q134" authorId="0" shapeId="0" xr:uid="{19315291-7142-47C3-B1A5-C956926B6BBB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Q14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D144" authorId="0" shapeId="0" xr:uid="{3A7A35DA-4FCE-4AEA-941A-9E3841A98AA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J144" authorId="0" shapeId="0" xr:uid="{723BB1DF-FCC1-4586-8B19-92BCAF27F1DE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Q144" authorId="0" shapeId="0" xr:uid="{2CB87737-0475-4A14-80DA-DCCCA9950831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X152" authorId="0" shapeId="0" xr:uid="{671D6E4B-C90B-484A-B5E1-191EF1DA43A4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D153" authorId="0" shapeId="0" xr:uid="{76C63CC0-7A46-4B26-B9E4-B7DCF954202E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Q153" authorId="0" shapeId="0" xr:uid="{167517D1-B55B-4FF8-A809-21B2CC7E31E6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W16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do not miss infection
</t>
        </r>
      </text>
    </comment>
    <comment ref="AD166" authorId="0" shapeId="0" xr:uid="{C2CEB920-53A7-485C-A745-E6322D5C6182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Q17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non threshold</t>
        </r>
      </text>
    </comment>
    <comment ref="AD176" authorId="0" shapeId="0" xr:uid="{1E719008-CDE1-4FA1-9A75-DC15A48D78D7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AD185" authorId="0" shapeId="0" xr:uid="{94725C23-8652-47A7-A01B-B62F11A96FEC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both threshold or none</t>
        </r>
      </text>
    </comment>
    <comment ref="W187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do not miss contamination
</t>
        </r>
      </text>
    </comment>
    <comment ref="Q198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johan rollin:</t>
        </r>
        <r>
          <rPr>
            <sz val="9"/>
            <color indexed="81"/>
            <rFont val="Tahoma"/>
            <family val="2"/>
          </rPr>
          <t xml:space="preserve">
virus that are classify by non threshold</t>
        </r>
      </text>
    </comment>
  </commentList>
</comments>
</file>

<file path=xl/sharedStrings.xml><?xml version="1.0" encoding="utf-8"?>
<sst xmlns="http://schemas.openxmlformats.org/spreadsheetml/2006/main" count="4618" uniqueCount="501">
  <si>
    <t>Sample name</t>
    <phoneticPr fontId="3" type="noConversion"/>
  </si>
  <si>
    <t>Batch</t>
    <phoneticPr fontId="3" type="noConversion"/>
  </si>
  <si>
    <t>True detection</t>
    <phoneticPr fontId="3" type="noConversion"/>
  </si>
  <si>
    <t>RPKM</t>
    <phoneticPr fontId="3" type="noConversion"/>
  </si>
  <si>
    <t>Genome coverage percentage</t>
    <phoneticPr fontId="3" type="noConversion"/>
  </si>
  <si>
    <t>Genome coverage depth</t>
    <phoneticPr fontId="3" type="noConversion"/>
  </si>
  <si>
    <t>Mapped reads Nr.</t>
    <phoneticPr fontId="3" type="noConversion"/>
  </si>
  <si>
    <t>Relative reads Nr. Per sample</t>
    <phoneticPr fontId="3" type="noConversion"/>
  </si>
  <si>
    <t>Relative reads Nr. Per run</t>
    <phoneticPr fontId="3" type="noConversion"/>
  </si>
  <si>
    <t>BanMMV</t>
    <phoneticPr fontId="3" type="noConversion"/>
  </si>
  <si>
    <t>ITC1543.2</t>
    <phoneticPr fontId="3" type="noConversion"/>
  </si>
  <si>
    <t>Average</t>
    <phoneticPr fontId="3" type="noConversion"/>
  </si>
  <si>
    <t xml:space="preserve"> BanMMV-Batch 1</t>
    <phoneticPr fontId="3" type="noConversion"/>
  </si>
  <si>
    <t>Contamination</t>
    <phoneticPr fontId="3" type="noConversion"/>
  </si>
  <si>
    <t>BanMMV</t>
    <phoneticPr fontId="3" type="noConversion"/>
  </si>
  <si>
    <t>ITC1543-22B</t>
    <phoneticPr fontId="3" type="noConversion"/>
  </si>
  <si>
    <t>SD</t>
    <phoneticPr fontId="3" type="noConversion"/>
  </si>
  <si>
    <t>ITC1723</t>
    <phoneticPr fontId="3" type="noConversion"/>
  </si>
  <si>
    <t>WH+-2 (wheat control)</t>
    <phoneticPr fontId="3" type="noConversion"/>
  </si>
  <si>
    <t xml:space="preserve"> BanMMV-Batch 2</t>
    <phoneticPr fontId="3" type="noConversion"/>
  </si>
  <si>
    <t>Negative Control-3</t>
    <phoneticPr fontId="3" type="noConversion"/>
  </si>
  <si>
    <t>BanMMV</t>
    <phoneticPr fontId="3" type="noConversion"/>
  </si>
  <si>
    <t>ITC1565</t>
    <phoneticPr fontId="3" type="noConversion"/>
  </si>
  <si>
    <t xml:space="preserve"> BanMMV-Batch 3</t>
    <phoneticPr fontId="3" type="noConversion"/>
  </si>
  <si>
    <t>ITC1728</t>
    <phoneticPr fontId="3" type="noConversion"/>
  </si>
  <si>
    <t xml:space="preserve"> BanMMV-Batch 4</t>
  </si>
  <si>
    <t>BSV</t>
    <phoneticPr fontId="3" type="noConversion"/>
  </si>
  <si>
    <t>ITC1543.2</t>
    <phoneticPr fontId="3" type="noConversion"/>
  </si>
  <si>
    <t>BSV-Batch 1</t>
    <phoneticPr fontId="3" type="noConversion"/>
  </si>
  <si>
    <t>ITC1543-21A</t>
    <phoneticPr fontId="3" type="noConversion"/>
  </si>
  <si>
    <t>ITC1543-21B</t>
    <phoneticPr fontId="3" type="noConversion"/>
  </si>
  <si>
    <t>ITC1543-22A</t>
    <phoneticPr fontId="3" type="noConversion"/>
  </si>
  <si>
    <t>ITC1799</t>
    <phoneticPr fontId="3" type="noConversion"/>
  </si>
  <si>
    <t>ITC1817</t>
    <phoneticPr fontId="3" type="noConversion"/>
  </si>
  <si>
    <t>ITC1831</t>
    <phoneticPr fontId="3" type="noConversion"/>
  </si>
  <si>
    <t>ITC833</t>
    <phoneticPr fontId="3" type="noConversion"/>
  </si>
  <si>
    <t>ITC1840</t>
    <phoneticPr fontId="3" type="noConversion"/>
  </si>
  <si>
    <t>ITC1845</t>
    <phoneticPr fontId="3" type="noConversion"/>
  </si>
  <si>
    <t>ITC1845-BIS</t>
    <phoneticPr fontId="3" type="noConversion"/>
  </si>
  <si>
    <t>ITC1852</t>
    <phoneticPr fontId="3" type="noConversion"/>
  </si>
  <si>
    <t>WHPlus1-3 (wheat control)</t>
    <phoneticPr fontId="3" type="noConversion"/>
  </si>
  <si>
    <t>C (Ring Test)</t>
    <phoneticPr fontId="3" type="noConversion"/>
  </si>
  <si>
    <t>BSV-Batch 2</t>
    <phoneticPr fontId="3" type="noConversion"/>
  </si>
  <si>
    <t>E (Ring Test)</t>
    <phoneticPr fontId="3" type="noConversion"/>
  </si>
  <si>
    <t>F (Ring Test)</t>
    <phoneticPr fontId="3" type="noConversion"/>
  </si>
  <si>
    <t>G (Ring Test)</t>
    <phoneticPr fontId="3" type="noConversion"/>
  </si>
  <si>
    <t>EM1 (Ring Test)</t>
    <phoneticPr fontId="3" type="noConversion"/>
  </si>
  <si>
    <t>1 (Ring Test)</t>
    <phoneticPr fontId="3" type="noConversion"/>
  </si>
  <si>
    <t>WH+-3 (wheat control)</t>
  </si>
  <si>
    <t>Negative Control-1</t>
    <phoneticPr fontId="3" type="noConversion"/>
  </si>
  <si>
    <t>Negative Control-2</t>
    <phoneticPr fontId="3" type="noConversion"/>
  </si>
  <si>
    <t>BSV</t>
    <phoneticPr fontId="3" type="noConversion"/>
  </si>
  <si>
    <t>ITC0146</t>
    <phoneticPr fontId="3" type="noConversion"/>
  </si>
  <si>
    <t>BSV-Batch 3</t>
    <phoneticPr fontId="3" type="noConversion"/>
  </si>
  <si>
    <t>ITC0148</t>
    <phoneticPr fontId="3" type="noConversion"/>
  </si>
  <si>
    <t>ITC1498</t>
    <phoneticPr fontId="3" type="noConversion"/>
  </si>
  <si>
    <t>ITC1607</t>
    <phoneticPr fontId="3" type="noConversion"/>
  </si>
  <si>
    <t>ITC1861</t>
    <phoneticPr fontId="3" type="noConversion"/>
  </si>
  <si>
    <t>ITC1863</t>
    <phoneticPr fontId="3" type="noConversion"/>
  </si>
  <si>
    <t>Sample 4</t>
    <phoneticPr fontId="3" type="noConversion"/>
  </si>
  <si>
    <t>Sample 5</t>
    <phoneticPr fontId="3" type="noConversion"/>
  </si>
  <si>
    <t>Sample J</t>
    <phoneticPr fontId="3" type="noConversion"/>
  </si>
  <si>
    <t>BBrMV2 No.208</t>
    <phoneticPr fontId="3" type="noConversion"/>
  </si>
  <si>
    <t>BBrMV3 No.58</t>
    <phoneticPr fontId="3" type="noConversion"/>
  </si>
  <si>
    <t>BBrMV4 No.15</t>
    <phoneticPr fontId="3" type="noConversion"/>
  </si>
  <si>
    <t>BBTV No.9.58.2</t>
    <phoneticPr fontId="3" type="noConversion"/>
  </si>
  <si>
    <t xml:space="preserve">Negetive Control </t>
    <phoneticPr fontId="3" type="noConversion"/>
  </si>
  <si>
    <t>ITC1518</t>
    <phoneticPr fontId="3" type="noConversion"/>
  </si>
  <si>
    <t>BSV-Batch 4</t>
    <phoneticPr fontId="3" type="noConversion"/>
  </si>
  <si>
    <t>ITC1724</t>
    <phoneticPr fontId="3" type="noConversion"/>
  </si>
  <si>
    <t>ITC1875</t>
    <phoneticPr fontId="3" type="noConversion"/>
  </si>
  <si>
    <t>ITC1854</t>
    <phoneticPr fontId="3" type="noConversion"/>
  </si>
  <si>
    <t>ITC1858</t>
    <phoneticPr fontId="3" type="noConversion"/>
  </si>
  <si>
    <t>BBrMV</t>
    <phoneticPr fontId="3" type="noConversion"/>
  </si>
  <si>
    <t>BBrMV-Batch 1</t>
    <phoneticPr fontId="3" type="noConversion"/>
  </si>
  <si>
    <t>A (Ring Test)</t>
    <phoneticPr fontId="3" type="noConversion"/>
  </si>
  <si>
    <t>BBrMV-Batch 2</t>
    <phoneticPr fontId="3" type="noConversion"/>
  </si>
  <si>
    <t>B (Ring Test)</t>
    <phoneticPr fontId="3" type="noConversion"/>
  </si>
  <si>
    <t>D (Ring Test)</t>
    <phoneticPr fontId="3" type="noConversion"/>
  </si>
  <si>
    <t>EM4 (Ring Test)</t>
    <phoneticPr fontId="3" type="noConversion"/>
  </si>
  <si>
    <t>BBrMV</t>
    <phoneticPr fontId="3" type="noConversion"/>
  </si>
  <si>
    <t>ITC1859</t>
    <phoneticPr fontId="3" type="noConversion"/>
  </si>
  <si>
    <t>0.00002%</t>
  </si>
  <si>
    <t>BBrMV-Batch 3</t>
    <phoneticPr fontId="3" type="noConversion"/>
  </si>
  <si>
    <t>ITC1867</t>
    <phoneticPr fontId="3" type="noConversion"/>
  </si>
  <si>
    <t>0.00003%</t>
  </si>
  <si>
    <t>ITC1867 (Old kit)</t>
    <phoneticPr fontId="3" type="noConversion"/>
  </si>
  <si>
    <t>0.00001%</t>
  </si>
  <si>
    <t>Sample 2</t>
    <phoneticPr fontId="3" type="noConversion"/>
  </si>
  <si>
    <t>Sample 3</t>
    <phoneticPr fontId="3" type="noConversion"/>
  </si>
  <si>
    <t>0.00005%</t>
  </si>
  <si>
    <t>Sample EM4</t>
    <phoneticPr fontId="3" type="noConversion"/>
  </si>
  <si>
    <t>0.0008%</t>
  </si>
  <si>
    <t>BSOLV1 No.10</t>
    <phoneticPr fontId="3" type="noConversion"/>
  </si>
  <si>
    <t>Wheat Control</t>
    <phoneticPr fontId="3" type="noConversion"/>
  </si>
  <si>
    <t>ITC1872</t>
  </si>
  <si>
    <t>BBrMV-Batch 4</t>
    <phoneticPr fontId="3" type="noConversion"/>
  </si>
  <si>
    <t>ITC1874</t>
    <phoneticPr fontId="3" type="noConversion"/>
  </si>
  <si>
    <t>ITC1876</t>
    <phoneticPr fontId="3" type="noConversion"/>
  </si>
  <si>
    <t>CMV</t>
    <phoneticPr fontId="3" type="noConversion"/>
  </si>
  <si>
    <t>CMV-Batch 1</t>
    <phoneticPr fontId="3" type="noConversion"/>
  </si>
  <si>
    <t>ITC1783</t>
    <phoneticPr fontId="3" type="noConversion"/>
  </si>
  <si>
    <t>ITC1827</t>
    <phoneticPr fontId="3" type="noConversion"/>
  </si>
  <si>
    <t>ITC1833</t>
    <phoneticPr fontId="3" type="noConversion"/>
  </si>
  <si>
    <t>ITC1843-3</t>
    <phoneticPr fontId="3" type="noConversion"/>
  </si>
  <si>
    <t>ITC1843-4</t>
    <phoneticPr fontId="3" type="noConversion"/>
  </si>
  <si>
    <t>ITC1855</t>
    <phoneticPr fontId="3" type="noConversion"/>
  </si>
  <si>
    <t>WHPlus3B1(wheat control)</t>
    <phoneticPr fontId="3" type="noConversion"/>
  </si>
  <si>
    <t>WHPlus2-3(wheat control)</t>
    <phoneticPr fontId="3" type="noConversion"/>
  </si>
  <si>
    <t>WHPlus3-B3(wheat control)</t>
    <phoneticPr fontId="3" type="noConversion"/>
  </si>
  <si>
    <t>CMV-Batch 2</t>
    <phoneticPr fontId="3" type="noConversion"/>
  </si>
  <si>
    <t>6 (Ring Test)</t>
    <phoneticPr fontId="3" type="noConversion"/>
  </si>
  <si>
    <t>WH+-3 (wheat control)</t>
    <phoneticPr fontId="3" type="noConversion"/>
  </si>
  <si>
    <t>CMV</t>
    <phoneticPr fontId="3" type="noConversion"/>
  </si>
  <si>
    <t>CMV-Batch 3</t>
    <phoneticPr fontId="3" type="noConversion"/>
  </si>
  <si>
    <t>0.0058%</t>
  </si>
  <si>
    <t>0.0057%</t>
  </si>
  <si>
    <t>0.00004%</t>
  </si>
  <si>
    <t>ITC1590</t>
    <phoneticPr fontId="3" type="noConversion"/>
  </si>
  <si>
    <t>CMV-Batch 4</t>
    <phoneticPr fontId="3" type="noConversion"/>
  </si>
  <si>
    <t>BBTV</t>
    <phoneticPr fontId="3" type="noConversion"/>
  </si>
  <si>
    <t>BBTV-Batch 2</t>
    <phoneticPr fontId="3" type="noConversion"/>
  </si>
  <si>
    <t>BYDV</t>
    <phoneticPr fontId="3" type="noConversion"/>
  </si>
  <si>
    <t>BYDV-Batch 1</t>
    <phoneticPr fontId="3" type="noConversion"/>
  </si>
  <si>
    <t>BYDV-Batch 2</t>
    <phoneticPr fontId="3" type="noConversion"/>
  </si>
  <si>
    <t>J (Ring Test)</t>
    <phoneticPr fontId="3" type="noConversion"/>
  </si>
  <si>
    <t>EM2 (Ring Test)</t>
  </si>
  <si>
    <t>BYDV</t>
    <phoneticPr fontId="3" type="noConversion"/>
  </si>
  <si>
    <t>BYDV-Batch 3</t>
    <phoneticPr fontId="3" type="noConversion"/>
  </si>
  <si>
    <t>0.0001%</t>
  </si>
  <si>
    <t>0.00006%</t>
  </si>
  <si>
    <t>ITC1859 (Old kit)</t>
    <phoneticPr fontId="3" type="noConversion"/>
  </si>
  <si>
    <t>0.0014%</t>
  </si>
  <si>
    <t>0.00008%</t>
  </si>
  <si>
    <t xml:space="preserve">Positive Control </t>
    <phoneticPr fontId="3" type="noConversion"/>
  </si>
  <si>
    <r>
      <t xml:space="preserve">Positive Control </t>
    </r>
    <r>
      <rPr>
        <b/>
        <sz val="10"/>
        <rFont val="等线"/>
        <family val="2"/>
        <charset val="134"/>
      </rPr>
      <t>（</t>
    </r>
    <r>
      <rPr>
        <b/>
        <sz val="10"/>
        <rFont val="Arial"/>
        <family val="2"/>
      </rPr>
      <t>Old kit</t>
    </r>
    <r>
      <rPr>
        <b/>
        <sz val="10"/>
        <rFont val="等线"/>
        <family val="2"/>
        <charset val="134"/>
      </rPr>
      <t>）</t>
    </r>
    <phoneticPr fontId="3" type="noConversion"/>
  </si>
  <si>
    <t>BYDV-Batch 4</t>
    <phoneticPr fontId="3" type="noConversion"/>
  </si>
  <si>
    <r>
      <t xml:space="preserve">Negetive Control </t>
    </r>
    <r>
      <rPr>
        <b/>
        <sz val="12"/>
        <rFont val="等线"/>
        <family val="2"/>
        <charset val="134"/>
      </rPr>
      <t>（</t>
    </r>
    <r>
      <rPr>
        <b/>
        <sz val="12"/>
        <rFont val="Times New Roman"/>
        <family val="1"/>
      </rPr>
      <t>Healthy</t>
    </r>
    <r>
      <rPr>
        <b/>
        <sz val="12"/>
        <rFont val="等线"/>
        <family val="2"/>
        <charset val="134"/>
      </rPr>
      <t>）</t>
    </r>
    <phoneticPr fontId="3" type="noConversion"/>
  </si>
  <si>
    <t>Mixed positive control (Pool3 Australia)</t>
    <phoneticPr fontId="3" type="noConversion"/>
  </si>
  <si>
    <t>Mixed positive control (Pool1 Australia) 10,000X</t>
    <phoneticPr fontId="3" type="noConversion"/>
  </si>
  <si>
    <t>BanMMV-Batch 1</t>
    <phoneticPr fontId="3" type="noConversion"/>
  </si>
  <si>
    <t>Mix-3 (Positive control)</t>
    <phoneticPr fontId="3" type="noConversion"/>
  </si>
  <si>
    <t>Mix2-3 (Positive control)</t>
    <phoneticPr fontId="3" type="noConversion"/>
  </si>
  <si>
    <t>Mix-3B1 (Positive control)</t>
    <phoneticPr fontId="3" type="noConversion"/>
  </si>
  <si>
    <t>Mix-3B3 (Positive control)</t>
    <phoneticPr fontId="3" type="noConversion"/>
  </si>
  <si>
    <t>BanMMV-Batch 2</t>
    <phoneticPr fontId="3" type="noConversion"/>
  </si>
  <si>
    <t>BanMMV-Batch 3</t>
    <phoneticPr fontId="3" type="noConversion"/>
  </si>
  <si>
    <r>
      <t xml:space="preserve">Positive Control </t>
    </r>
    <r>
      <rPr>
        <b/>
        <sz val="12"/>
        <rFont val="等线"/>
        <family val="2"/>
        <charset val="134"/>
      </rPr>
      <t>（</t>
    </r>
    <r>
      <rPr>
        <b/>
        <sz val="12"/>
        <rFont val="Times New Roman"/>
        <family val="1"/>
      </rPr>
      <t>5 Banana virus</t>
    </r>
    <r>
      <rPr>
        <b/>
        <sz val="12"/>
        <rFont val="等线"/>
        <family val="2"/>
        <charset val="134"/>
      </rPr>
      <t>）</t>
    </r>
    <phoneticPr fontId="3" type="noConversion"/>
  </si>
  <si>
    <t>BanMMV-Batch 4</t>
    <phoneticPr fontId="3" type="noConversion"/>
  </si>
  <si>
    <t>Mixed positive control (Pool3 Greenhouse)</t>
    <phoneticPr fontId="3" type="noConversion"/>
  </si>
  <si>
    <t>Mixed positive control (Pool4 Greenhouse)</t>
    <phoneticPr fontId="3" type="noConversion"/>
  </si>
  <si>
    <t>Mixed positive control (Pool1 Australia)</t>
    <phoneticPr fontId="3" type="noConversion"/>
  </si>
  <si>
    <t>Mixed positive control (Pool2 Auatralia)</t>
    <phoneticPr fontId="3" type="noConversion"/>
  </si>
  <si>
    <t>Mixed positive control (Pool4 La Reunion)</t>
    <phoneticPr fontId="3" type="noConversion"/>
  </si>
  <si>
    <t>ITC1847</t>
    <phoneticPr fontId="3" type="noConversion"/>
  </si>
  <si>
    <t>5.5136%</t>
  </si>
  <si>
    <t>0.0426%</t>
  </si>
  <si>
    <t>0.0211%</t>
  </si>
  <si>
    <t>0.0850%</t>
  </si>
  <si>
    <t>BBTV-Batch 1</t>
    <phoneticPr fontId="3" type="noConversion"/>
  </si>
  <si>
    <t>BBTV-Batch 3</t>
    <phoneticPr fontId="3" type="noConversion"/>
  </si>
  <si>
    <t>BBTV</t>
    <phoneticPr fontId="3" type="noConversion"/>
  </si>
  <si>
    <t>BBTV-Batch 4</t>
    <phoneticPr fontId="3" type="noConversion"/>
  </si>
  <si>
    <t>WH+-1 (wheat control)</t>
    <phoneticPr fontId="3" type="noConversion"/>
  </si>
  <si>
    <t>WH+-2 (wheat control)</t>
  </si>
  <si>
    <t xml:space="preserve">Wheat Control </t>
    <phoneticPr fontId="3" type="noConversion"/>
  </si>
  <si>
    <t>BYDV-Batch 4</t>
  </si>
  <si>
    <t>Diluted Samples</t>
    <phoneticPr fontId="3" type="noConversion"/>
  </si>
  <si>
    <t>Mixed positive control (Pool1 Australia) 100X</t>
    <phoneticPr fontId="3" type="noConversion"/>
  </si>
  <si>
    <t>Mixed positive control (Pool1 Australia) 1,000X</t>
    <phoneticPr fontId="3" type="noConversion"/>
  </si>
  <si>
    <t>Mixed positive control (Pool2 Auatralia) 100X</t>
    <phoneticPr fontId="3" type="noConversion"/>
  </si>
  <si>
    <t>Mixed positive control (Pool2 Auatralia) 1,000X</t>
    <phoneticPr fontId="3" type="noConversion"/>
  </si>
  <si>
    <t>Mixed positive control (Pool2 Auatralia) 10,000X</t>
    <phoneticPr fontId="3" type="noConversion"/>
  </si>
  <si>
    <t>Mixed positive control (Pool3 Auatralia) 100X</t>
    <phoneticPr fontId="3" type="noConversion"/>
  </si>
  <si>
    <t>Mixed positive control (Pool3 Auatralia) 1,000X</t>
    <phoneticPr fontId="3" type="noConversion"/>
  </si>
  <si>
    <t>Mixed positive control (Pool3 Auatralia) 10,000X</t>
    <phoneticPr fontId="3" type="noConversion"/>
  </si>
  <si>
    <t>Mixed positive control (Pool4 La Reunion) 100X</t>
    <phoneticPr fontId="3" type="noConversion"/>
  </si>
  <si>
    <t>Mixed positive control (Pool4 La Reunion) 1,000X</t>
    <phoneticPr fontId="3" type="noConversion"/>
  </si>
  <si>
    <t>Mixed positive control (Pool4 La Reunion) 10,000X</t>
    <phoneticPr fontId="3" type="noConversion"/>
  </si>
  <si>
    <t>Mapped reads Nr.</t>
    <phoneticPr fontId="3" type="noConversion"/>
  </si>
  <si>
    <t>Hihgest Reads Nr. Per sample in the same run</t>
    <phoneticPr fontId="3" type="noConversion"/>
  </si>
  <si>
    <t>Mapped reads Nr./ Hihgest Reads Nr. Per sample in the same run</t>
  </si>
  <si>
    <t>Mapped reads Nr./ Hihgest Reads Nr. Per sample in the same run</t>
    <phoneticPr fontId="3" type="noConversion"/>
  </si>
  <si>
    <t>Total Reads Nr. From true positive sample in the same run</t>
    <phoneticPr fontId="3" type="noConversion"/>
  </si>
  <si>
    <t>Mapped reads Nr./ Total Reads Nr. From true positive sample in the same run</t>
    <phoneticPr fontId="3" type="noConversion"/>
  </si>
  <si>
    <t>true detection =0</t>
  </si>
  <si>
    <t>true detection = 1</t>
  </si>
  <si>
    <t>BSV</t>
  </si>
  <si>
    <t>ITC1840</t>
  </si>
  <si>
    <t>ITC1543.2</t>
  </si>
  <si>
    <t>ITC1831</t>
  </si>
  <si>
    <t>ITC1845</t>
  </si>
  <si>
    <t>ITC1817</t>
  </si>
  <si>
    <t>ITC1845-BIS</t>
  </si>
  <si>
    <t>ITC1799</t>
  </si>
  <si>
    <t>WHPlus1-3 (wheat control)</t>
  </si>
  <si>
    <t>Mix-3 (Positive control)</t>
  </si>
  <si>
    <t>ITC1543-22B</t>
  </si>
  <si>
    <t>ITC1543-21B</t>
  </si>
  <si>
    <t>ITC1543-21A</t>
  </si>
  <si>
    <t>ITC1543-22A</t>
  </si>
  <si>
    <t>ITC1852</t>
  </si>
  <si>
    <t>ITC1723</t>
  </si>
  <si>
    <t>ITC1843-3</t>
  </si>
  <si>
    <t>ITC1843-4</t>
  </si>
  <si>
    <t>ITC1827</t>
  </si>
  <si>
    <t>ITC1855</t>
  </si>
  <si>
    <t>Mix-3B3 (Positive control)</t>
  </si>
  <si>
    <t>Mix2-3 (Positive control)</t>
  </si>
  <si>
    <t>Mix-3B1 (Positive control)</t>
  </si>
  <si>
    <t>ITC1783</t>
  </si>
  <si>
    <t>CMV</t>
  </si>
  <si>
    <t>ITC1833</t>
  </si>
  <si>
    <t>WHPlus2-3(wheat control)</t>
  </si>
  <si>
    <t>WHPlus3-B3(wheat control)</t>
  </si>
  <si>
    <t>WHPlus3B1(wheat control)</t>
  </si>
  <si>
    <t>BYDV</t>
  </si>
  <si>
    <t>BBrMV</t>
  </si>
  <si>
    <t>BanMMV</t>
  </si>
  <si>
    <t>BBTV</t>
  </si>
  <si>
    <t>G (Ring Test)</t>
  </si>
  <si>
    <t>E (Ring Test)</t>
  </si>
  <si>
    <t>EM1 (Ring Test)</t>
  </si>
  <si>
    <t>C (Ring Test)</t>
  </si>
  <si>
    <t>F (Ring Test)</t>
  </si>
  <si>
    <t>Negative Control-1</t>
  </si>
  <si>
    <t>Negative Control-2</t>
  </si>
  <si>
    <t>1 (Ring Test)</t>
  </si>
  <si>
    <t>6 (Ring Test)</t>
  </si>
  <si>
    <t>EM4 (Ring Test)</t>
  </si>
  <si>
    <t>B (Ring Test)</t>
  </si>
  <si>
    <t>J (Ring Test)</t>
  </si>
  <si>
    <t>Negative Control-3</t>
  </si>
  <si>
    <t>A (Ring Test)</t>
  </si>
  <si>
    <t>WH+-1 (wheat control)</t>
  </si>
  <si>
    <t>D (Ring Test)</t>
  </si>
  <si>
    <t>ITC1867 (Old kit)</t>
  </si>
  <si>
    <t>ITC0148</t>
  </si>
  <si>
    <t>ITC0146</t>
  </si>
  <si>
    <t>Sample 2</t>
  </si>
  <si>
    <t>ITC1565</t>
  </si>
  <si>
    <t>Sample J</t>
  </si>
  <si>
    <t>Sample 3</t>
  </si>
  <si>
    <t>ITC1859</t>
  </si>
  <si>
    <t>Sample 5</t>
  </si>
  <si>
    <t>Sample 4</t>
  </si>
  <si>
    <t>Sample EM4</t>
  </si>
  <si>
    <t>ITC1498</t>
  </si>
  <si>
    <t>BBrMV3 No.58</t>
  </si>
  <si>
    <t>BBTV No.9.58.2</t>
  </si>
  <si>
    <t xml:space="preserve">Negetive Control </t>
  </si>
  <si>
    <t>Positive Control （Old kit）</t>
  </si>
  <si>
    <t>BSOLV1 No.10</t>
  </si>
  <si>
    <t xml:space="preserve">Positive Control </t>
  </si>
  <si>
    <t>BBrMV4 No.15</t>
  </si>
  <si>
    <t>BBrMV2 No.208</t>
  </si>
  <si>
    <t>ITC1859 (Old kit)</t>
  </si>
  <si>
    <t>Wheat Control</t>
  </si>
  <si>
    <t>ITC1867</t>
  </si>
  <si>
    <t>ITC1863</t>
  </si>
  <si>
    <t>ITC1607</t>
  </si>
  <si>
    <t>ITC1861</t>
  </si>
  <si>
    <t>ITC1847</t>
  </si>
  <si>
    <t>ITC1858</t>
  </si>
  <si>
    <t>ITC1875</t>
  </si>
  <si>
    <t>ITC1874</t>
  </si>
  <si>
    <t>ITC1876</t>
  </si>
  <si>
    <t>Mixed positive control (Pool3 Auatralia) 100X</t>
  </si>
  <si>
    <t>100X</t>
  </si>
  <si>
    <t>Mixed positive control (Pool2 Auatralia) 1,000X</t>
  </si>
  <si>
    <t>1,000X</t>
  </si>
  <si>
    <t>Mixed positive control (Pool2 Auatralia) 10,000X</t>
  </si>
  <si>
    <t>10,000X</t>
  </si>
  <si>
    <t>Mixed positive control (Pool1 Australia) 10,000X</t>
  </si>
  <si>
    <t>Mixed positive control (Pool4 La Reunion) 10,000X</t>
  </si>
  <si>
    <t>Mixed positive control (Pool3 Auatralia) 1,000X</t>
  </si>
  <si>
    <t>Mixed positive control (Pool1 Australia) 100X</t>
  </si>
  <si>
    <t>Mixed positive control (Pool1 Australia) 1,000X</t>
  </si>
  <si>
    <t>ITC1854</t>
  </si>
  <si>
    <t>Positive Control （5 Banana virus）</t>
  </si>
  <si>
    <t>Mixed positive control (Pool4 Greenhouse)</t>
  </si>
  <si>
    <t>Mixed positive control (Pool2 Auatralia)</t>
  </si>
  <si>
    <t>Mixed positive control (Pool3 Greenhouse)</t>
  </si>
  <si>
    <t>Mixed positive control (Pool1 Australia)</t>
  </si>
  <si>
    <t>Mixed positive control (Pool2 Auatralia) 100X</t>
  </si>
  <si>
    <t>Mixed positive control (Pool3 Australia)</t>
  </si>
  <si>
    <t>Mixed positive control (Pool4 La Reunion)</t>
  </si>
  <si>
    <t>Mixed positive control (Pool4 La Reunion) 100X</t>
  </si>
  <si>
    <t>Mixed positive control (Pool4 La Reunion) 1,000X</t>
  </si>
  <si>
    <t>ITC1724</t>
  </si>
  <si>
    <t>ITC1518</t>
  </si>
  <si>
    <t>Mixed positive control (Pool3 Auatralia) 10,000X</t>
  </si>
  <si>
    <t>ITC1728</t>
  </si>
  <si>
    <t>Negetive Control （Healthy）</t>
  </si>
  <si>
    <t xml:space="preserve">Wheat Control </t>
  </si>
  <si>
    <t>ITC1590</t>
  </si>
  <si>
    <t>E threshold</t>
  </si>
  <si>
    <t>F threshold</t>
  </si>
  <si>
    <t>G threshold</t>
  </si>
  <si>
    <t>H threshold</t>
  </si>
  <si>
    <t>I threshold</t>
  </si>
  <si>
    <t>All</t>
  </si>
  <si>
    <t>Batch</t>
  </si>
  <si>
    <t xml:space="preserve">E batch_1 </t>
  </si>
  <si>
    <t>E batch_2</t>
  </si>
  <si>
    <t>E batch_3</t>
  </si>
  <si>
    <t>E batch_4</t>
  </si>
  <si>
    <t>average</t>
  </si>
  <si>
    <t>Mapped reads Nr./ Hihgest Reads Nr. Per sample in the same run NO BYDV</t>
  </si>
  <si>
    <t>NO BYDV</t>
  </si>
  <si>
    <t>Genome coverage depth</t>
    <phoneticPr fontId="3" type="noConversion"/>
  </si>
  <si>
    <t>F batch_2</t>
  </si>
  <si>
    <t>Genome</t>
    <phoneticPr fontId="3" type="noConversion"/>
  </si>
  <si>
    <t>AAA</t>
  </si>
  <si>
    <t>AAA</t>
    <phoneticPr fontId="3" type="noConversion"/>
  </si>
  <si>
    <t>AAA</t>
    <phoneticPr fontId="3" type="noConversion"/>
  </si>
  <si>
    <t>-</t>
  </si>
  <si>
    <t>-</t>
    <phoneticPr fontId="3" type="noConversion"/>
  </si>
  <si>
    <t>AAB</t>
  </si>
  <si>
    <t>AAB</t>
    <phoneticPr fontId="3" type="noConversion"/>
  </si>
  <si>
    <t>ABB</t>
  </si>
  <si>
    <t>ABB</t>
    <phoneticPr fontId="3" type="noConversion"/>
  </si>
  <si>
    <t>Unknown</t>
    <phoneticPr fontId="3" type="noConversion"/>
  </si>
  <si>
    <t>-</t>
    <phoneticPr fontId="3" type="noConversion"/>
  </si>
  <si>
    <t xml:space="preserve">Mixed </t>
  </si>
  <si>
    <t xml:space="preserve">Mixed </t>
    <phoneticPr fontId="3" type="noConversion"/>
  </si>
  <si>
    <t>TMBx hybrid</t>
    <phoneticPr fontId="3" type="noConversion"/>
  </si>
  <si>
    <t>AAB</t>
    <phoneticPr fontId="3" type="noConversion"/>
  </si>
  <si>
    <t>AAA</t>
    <phoneticPr fontId="3" type="noConversion"/>
  </si>
  <si>
    <t>TMBx hybrid</t>
  </si>
  <si>
    <t>-</t>
    <phoneticPr fontId="3" type="noConversion"/>
  </si>
  <si>
    <t>TMBx hybrid</t>
    <phoneticPr fontId="3" type="noConversion"/>
  </si>
  <si>
    <t xml:space="preserve">Mixed </t>
    <phoneticPr fontId="3" type="noConversion"/>
  </si>
  <si>
    <t>AAB</t>
    <phoneticPr fontId="3" type="noConversion"/>
  </si>
  <si>
    <t>Unknown</t>
    <phoneticPr fontId="3" type="noConversion"/>
  </si>
  <si>
    <t>rubra</t>
    <phoneticPr fontId="3" type="noConversion"/>
  </si>
  <si>
    <t>ABB</t>
    <phoneticPr fontId="3" type="noConversion"/>
  </si>
  <si>
    <t>balbisiana</t>
    <phoneticPr fontId="3" type="noConversion"/>
  </si>
  <si>
    <t>balbisiana</t>
    <phoneticPr fontId="3" type="noConversion"/>
  </si>
  <si>
    <t>Unknown</t>
    <phoneticPr fontId="3" type="noConversion"/>
  </si>
  <si>
    <t>balbisiana</t>
    <phoneticPr fontId="3" type="noConversion"/>
  </si>
  <si>
    <t>balbisiana</t>
  </si>
  <si>
    <t>acuminata</t>
    <phoneticPr fontId="3" type="noConversion"/>
  </si>
  <si>
    <t xml:space="preserve">Mixed </t>
    <phoneticPr fontId="3" type="noConversion"/>
  </si>
  <si>
    <t>Mapped reads Nr./ Hihgest Reads Nr. Per sample in the same run</t>
    <phoneticPr fontId="3" type="noConversion"/>
  </si>
  <si>
    <t>Square of "Mapped reads Nr./ Hihgest Reads Nr. Per sample in the same run"</t>
    <phoneticPr fontId="3" type="noConversion"/>
  </si>
  <si>
    <t>NO BSV</t>
    <phoneticPr fontId="3" type="noConversion"/>
  </si>
  <si>
    <t xml:space="preserve">F batch_1 </t>
    <phoneticPr fontId="3" type="noConversion"/>
  </si>
  <si>
    <t>F batch_3</t>
  </si>
  <si>
    <t>F batch_4</t>
  </si>
  <si>
    <t>Mapped reads Nr./ Hihgest Reads Nr. Per sample in the same run-Square</t>
    <phoneticPr fontId="3" type="noConversion"/>
  </si>
  <si>
    <t>std dev</t>
  </si>
  <si>
    <t>Avg</t>
  </si>
  <si>
    <t>avg+3*std</t>
  </si>
  <si>
    <r>
      <t>Mapped reads Nr./ Hihgest Reads Nr. Per sample in the same run-</t>
    </r>
    <r>
      <rPr>
        <b/>
        <u/>
        <sz val="12"/>
        <rFont val="Times New Roman"/>
        <family val="1"/>
      </rPr>
      <t>Square</t>
    </r>
  </si>
  <si>
    <t>nb lost conta</t>
  </si>
  <si>
    <t>nb lost virus</t>
  </si>
  <si>
    <t>(avg+3*std)/2</t>
  </si>
  <si>
    <t>total grey area</t>
  </si>
  <si>
    <t>total</t>
  </si>
  <si>
    <r>
      <t xml:space="preserve">Mapped reads Nr./ Hihgest Reads Nr. Per sample in the same run </t>
    </r>
    <r>
      <rPr>
        <b/>
        <u/>
        <sz val="12"/>
        <rFont val="Times New Roman"/>
        <family val="1"/>
      </rPr>
      <t>with &gt;10 reads</t>
    </r>
    <r>
      <rPr>
        <b/>
        <sz val="12"/>
        <rFont val="Times New Roman"/>
        <family val="1"/>
      </rPr>
      <t xml:space="preserve"> </t>
    </r>
  </si>
  <si>
    <t>Mapped reads Nr.</t>
  </si>
  <si>
    <t>total &lt;10</t>
  </si>
  <si>
    <t>TOTAL good predict</t>
  </si>
  <si>
    <t>(avg+3*std)*10</t>
  </si>
  <si>
    <t>(avg+3*std)*100</t>
  </si>
  <si>
    <t>contamination detected</t>
  </si>
  <si>
    <t>infection detected</t>
  </si>
  <si>
    <t>Mapped reads Nr./ Total Reads Nr. From contamination detected sample in the same run</t>
  </si>
  <si>
    <t>infection detected col E</t>
  </si>
  <si>
    <t>infection detected col F</t>
  </si>
  <si>
    <t>infection detected col G</t>
  </si>
  <si>
    <t>infection detected col H</t>
  </si>
  <si>
    <t>infection detected col I</t>
  </si>
  <si>
    <t>contamination detected col E</t>
  </si>
  <si>
    <t>contamination detected col F</t>
  </si>
  <si>
    <t>contamination detected col G</t>
  </si>
  <si>
    <t>contamination detected col H</t>
  </si>
  <si>
    <t>contamination detected col I</t>
  </si>
  <si>
    <t>Conta nb</t>
  </si>
  <si>
    <t>Conta ratio</t>
  </si>
  <si>
    <t>infect nb</t>
  </si>
  <si>
    <t>infect ratio</t>
  </si>
  <si>
    <t>&gt;5 reads</t>
  </si>
  <si>
    <t>all total</t>
  </si>
  <si>
    <t>nb correct conta</t>
  </si>
  <si>
    <t>nb correct infect</t>
  </si>
  <si>
    <t>nb lost infect</t>
  </si>
  <si>
    <t>nb categorize conta</t>
  </si>
  <si>
    <t>nb categorize infect</t>
  </si>
  <si>
    <t>nb conta</t>
  </si>
  <si>
    <t>nb infect</t>
  </si>
  <si>
    <t>X=</t>
  </si>
  <si>
    <t>nb correct conta &lt; X</t>
  </si>
  <si>
    <t>nb correct infect &gt; X</t>
  </si>
  <si>
    <t>1/1000</t>
  </si>
  <si>
    <t>read number</t>
  </si>
  <si>
    <t>nb correct conta both</t>
  </si>
  <si>
    <t>nb correct infect both</t>
  </si>
  <si>
    <t>nb conta both</t>
  </si>
  <si>
    <t>nb infect both</t>
  </si>
  <si>
    <t>T1</t>
  </si>
  <si>
    <t>T2</t>
  </si>
  <si>
    <t>if T1 AND T2</t>
  </si>
  <si>
    <t>if T1 AND T2 smart (removing overlapping read nb condition)</t>
  </si>
  <si>
    <t>T3</t>
  </si>
  <si>
    <t>T3 v2</t>
  </si>
  <si>
    <t>nb conta real</t>
  </si>
  <si>
    <t>nb infect real</t>
  </si>
  <si>
    <t>nb conta categorize</t>
  </si>
  <si>
    <t>nb infect categorize</t>
  </si>
  <si>
    <t>nb conta categorize both</t>
  </si>
  <si>
    <t>nb infect categorize both</t>
  </si>
  <si>
    <t>[nb read &gt;5] + [(Mapped reads Nr./ Hihgest Reads Nr. Per sample in the same run) &gt; ((avg+3*std)/2)]</t>
  </si>
  <si>
    <t>[nb read &gt; (Hihgest Reads Nr. Per sample in the same run/1000)]</t>
  </si>
  <si>
    <t xml:space="preserve">T1 for infection T2 for contamination </t>
  </si>
  <si>
    <t>grey area</t>
  </si>
  <si>
    <t>wrongly categorize</t>
  </si>
  <si>
    <t>successful classification</t>
  </si>
  <si>
    <t>case 1</t>
  </si>
  <si>
    <t>case 2</t>
  </si>
  <si>
    <t xml:space="preserve">case 4 </t>
  </si>
  <si>
    <t>case 3</t>
  </si>
  <si>
    <t>Result</t>
  </si>
  <si>
    <t xml:space="preserve">none </t>
  </si>
  <si>
    <t>both</t>
  </si>
  <si>
    <t>grey</t>
  </si>
  <si>
    <t>balance case</t>
  </si>
  <si>
    <t>diagnostic case</t>
  </si>
  <si>
    <t>classify</t>
  </si>
  <si>
    <t>contamination</t>
  </si>
  <si>
    <t>infection</t>
  </si>
  <si>
    <t>T4 (balance)</t>
  </si>
  <si>
    <t>T4 (diagnostic)</t>
  </si>
  <si>
    <t>contamination case</t>
  </si>
  <si>
    <t>T4 (contamination)</t>
  </si>
  <si>
    <t>same result as T2</t>
  </si>
  <si>
    <t>Same result as T3 v2</t>
  </si>
  <si>
    <t>-</t>
    <phoneticPr fontId="3" type="noConversion"/>
  </si>
  <si>
    <t>-</t>
    <phoneticPr fontId="3" type="noConversion"/>
  </si>
  <si>
    <t>900000</t>
    <phoneticPr fontId="3" type="noConversion"/>
  </si>
  <si>
    <t>-</t>
    <phoneticPr fontId="3" type="noConversion"/>
  </si>
  <si>
    <t>-</t>
    <phoneticPr fontId="3" type="noConversion"/>
  </si>
  <si>
    <t>8176</t>
    <phoneticPr fontId="3" type="noConversion"/>
  </si>
  <si>
    <t>646</t>
    <phoneticPr fontId="3" type="noConversion"/>
  </si>
  <si>
    <t>2066</t>
    <phoneticPr fontId="3" type="noConversion"/>
  </si>
  <si>
    <t>BSV or &lt; 5 reads or -</t>
  </si>
  <si>
    <t>Mapped Reads deduplication with samples have highest mapped reads number (percentage of read removed)</t>
  </si>
  <si>
    <t>T5</t>
  </si>
  <si>
    <t>[de-duplication rate &gt; X]</t>
  </si>
  <si>
    <t>de-duplication rate</t>
  </si>
  <si>
    <t>pass</t>
  </si>
  <si>
    <t>T3 v3</t>
  </si>
  <si>
    <t>if T1 X T5</t>
  </si>
  <si>
    <t>if T2 X T5</t>
  </si>
  <si>
    <t>T3 v4</t>
  </si>
  <si>
    <t>initial</t>
  </si>
  <si>
    <t>only grey</t>
  </si>
  <si>
    <t>refine all</t>
  </si>
  <si>
    <t>Reference</t>
  </si>
  <si>
    <t>T5 usable</t>
  </si>
  <si>
    <t>T1 * T2 * T5 2 to 1 decision</t>
  </si>
  <si>
    <t>Note: Grey area is only the one where deduplication cannot be apply</t>
  </si>
  <si>
    <t xml:space="preserve">count of infection sum for t1*t2*t5 </t>
  </si>
  <si>
    <t>refine grey with obvious rule</t>
  </si>
  <si>
    <t>higher number of read in batch for one virus = infection</t>
  </si>
  <si>
    <t>&lt;=5 reads = conta</t>
  </si>
  <si>
    <t>T1*T2 add obvious rules</t>
  </si>
  <si>
    <t xml:space="preserve">nb correct conta </t>
  </si>
  <si>
    <t>!= grey area</t>
  </si>
  <si>
    <t>!= wrongly categorize</t>
  </si>
  <si>
    <t>!= successful classification</t>
  </si>
  <si>
    <t>T1*T2 add T5</t>
  </si>
  <si>
    <t>Deduplication ratio</t>
  </si>
  <si>
    <t>RF</t>
  </si>
  <si>
    <t>ND</t>
  </si>
  <si>
    <t>deduplication</t>
  </si>
  <si>
    <t>mean</t>
  </si>
  <si>
    <t>Median</t>
  </si>
  <si>
    <t xml:space="preserve">true positive </t>
  </si>
  <si>
    <t>true positive-diluted</t>
  </si>
  <si>
    <t xml:space="preserve"># standardisation number </t>
  </si>
  <si>
    <t xml:space="preserve"> highest mapping ratio </t>
  </si>
  <si>
    <t># mapping_highest_ratio (r4_2)</t>
  </si>
  <si>
    <t xml:space="preserve"> read_number </t>
  </si>
  <si>
    <t># nb_read_limit_conta (r4_1)</t>
  </si>
  <si>
    <t>25.93148148148148</t>
  </si>
  <si>
    <t xml:space="preserve"> ((avg(deduplication_ratio))/1.5</t>
  </si>
  <si>
    <t># deduplication threshold (r3)</t>
  </si>
  <si>
    <t xml:space="preserve"> Hihgest Reads Nr.              Per sample in the same run/500</t>
  </si>
  <si>
    <t># reads_nb_mapped threshold (r2)</t>
  </si>
  <si>
    <t>0.7629495788197911</t>
  </si>
  <si>
    <t xml:space="preserve"> ((avg+3*std)/0.002</t>
  </si>
  <si>
    <t># mapping ratio threshold (r1)</t>
  </si>
  <si>
    <t xml:space="preserve">Case 2 </t>
  </si>
  <si>
    <t xml:space="preserve"> Hihgest Reads Nr.              Per sample in the same run/1000</t>
  </si>
  <si>
    <t>0.0007629495788197911</t>
  </si>
  <si>
    <t xml:space="preserve"> ((avg+3*std)/2</t>
  </si>
  <si>
    <t xml:space="preserve">Case 1 </t>
  </si>
  <si>
    <t>log batch3 (nonBSV virus)</t>
  </si>
  <si>
    <t>Target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</si>
</sst>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%"/>
    <numFmt numFmtId="165" formatCode="0.0000%"/>
    <numFmt numFmtId="166" formatCode="0.00000000000_);[Red]\(0.00000000000\)"/>
    <numFmt numFmtId="167" formatCode="0.0000000_ "/>
    <numFmt numFmtId="168" formatCode="0.00000"/>
  </numFmts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0"/>
      <name val="等线"/>
      <family val="2"/>
      <charset val="134"/>
    </font>
    <font>
      <b/>
      <sz val="10"/>
      <name val="Arial"/>
      <family val="2"/>
    </font>
    <font>
      <b/>
      <sz val="12"/>
      <name val="等线"/>
      <family val="2"/>
      <charset val="13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444444"/>
      <name val="Georgia"/>
      <family val="1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0" fontId="4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" fillId="0" borderId="0" xfId="0" applyFont="1">
      <alignment vertical="center"/>
    </xf>
    <xf numFmtId="0" fontId="11" fillId="0" borderId="0" xfId="0" applyFont="1">
      <alignment vertical="center"/>
    </xf>
    <xf numFmtId="0" fontId="11" fillId="4" borderId="0" xfId="0" applyFont="1" applyFill="1">
      <alignment vertical="center"/>
    </xf>
    <xf numFmtId="2" fontId="4" fillId="2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6" fontId="4" fillId="6" borderId="0" xfId="0" applyNumberFormat="1" applyFont="1" applyFill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3" xfId="0" applyBorder="1">
      <alignment vertical="center"/>
    </xf>
    <xf numFmtId="0" fontId="10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0" fillId="7" borderId="1" xfId="0" applyFont="1" applyFill="1" applyBorder="1">
      <alignment vertical="center"/>
    </xf>
    <xf numFmtId="0" fontId="10" fillId="7" borderId="2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10" fillId="0" borderId="0" xfId="0" applyFont="1" applyAlignment="1">
      <alignment vertical="center" wrapText="1"/>
    </xf>
    <xf numFmtId="0" fontId="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67" fontId="4" fillId="11" borderId="0" xfId="0" applyNumberFormat="1" applyFont="1" applyFill="1" applyAlignment="1">
      <alignment horizontal="center" vertical="center"/>
    </xf>
    <xf numFmtId="49" fontId="4" fillId="11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167" fontId="0" fillId="0" borderId="0" xfId="0" applyNumberFormat="1">
      <alignment vertical="center"/>
    </xf>
    <xf numFmtId="0" fontId="0" fillId="0" borderId="7" xfId="0" applyBorder="1">
      <alignment vertical="center"/>
    </xf>
    <xf numFmtId="0" fontId="10" fillId="7" borderId="9" xfId="0" applyFont="1" applyFill="1" applyBorder="1">
      <alignment vertical="center"/>
    </xf>
    <xf numFmtId="0" fontId="10" fillId="7" borderId="10" xfId="0" applyFont="1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Alignment="1">
      <alignment horizontal="right" vertical="center"/>
    </xf>
    <xf numFmtId="11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6" fillId="0" borderId="8" xfId="0" applyFont="1" applyBorder="1" applyAlignment="1">
      <alignment horizontal="center" vertical="center" wrapText="1"/>
    </xf>
    <xf numFmtId="0" fontId="10" fillId="0" borderId="8" xfId="0" applyFont="1" applyBorder="1">
      <alignment vertical="center"/>
    </xf>
    <xf numFmtId="0" fontId="12" fillId="0" borderId="8" xfId="0" applyFont="1" applyBorder="1">
      <alignment vertical="center"/>
    </xf>
    <xf numFmtId="0" fontId="0" fillId="13" borderId="8" xfId="0" applyFill="1" applyBorder="1">
      <alignment vertical="center"/>
    </xf>
    <xf numFmtId="0" fontId="0" fillId="15" borderId="8" xfId="0" applyFill="1" applyBorder="1">
      <alignment vertical="center"/>
    </xf>
    <xf numFmtId="0" fontId="12" fillId="15" borderId="8" xfId="0" applyFont="1" applyFill="1" applyBorder="1">
      <alignment vertical="center"/>
    </xf>
    <xf numFmtId="11" fontId="0" fillId="0" borderId="0" xfId="0" applyNumberFormat="1">
      <alignment vertical="center"/>
    </xf>
    <xf numFmtId="0" fontId="0" fillId="7" borderId="9" xfId="0" applyFill="1" applyBorder="1">
      <alignment vertical="center"/>
    </xf>
    <xf numFmtId="0" fontId="0" fillId="0" borderId="14" xfId="0" applyBorder="1">
      <alignment vertical="center"/>
    </xf>
    <xf numFmtId="0" fontId="10" fillId="7" borderId="0" xfId="0" applyFont="1" applyFill="1">
      <alignment vertical="center"/>
    </xf>
    <xf numFmtId="0" fontId="0" fillId="7" borderId="10" xfId="0" applyFill="1" applyBorder="1">
      <alignment vertical="center"/>
    </xf>
    <xf numFmtId="0" fontId="10" fillId="0" borderId="12" xfId="0" applyFont="1" applyBorder="1">
      <alignment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>
      <alignment vertical="center"/>
    </xf>
    <xf numFmtId="0" fontId="10" fillId="0" borderId="16" xfId="0" applyFont="1" applyBorder="1">
      <alignment vertical="center"/>
    </xf>
    <xf numFmtId="0" fontId="10" fillId="14" borderId="16" xfId="0" applyFont="1" applyFill="1" applyBorder="1">
      <alignment vertical="center"/>
    </xf>
    <xf numFmtId="0" fontId="0" fillId="0" borderId="16" xfId="0" applyBorder="1">
      <alignment vertical="center"/>
    </xf>
    <xf numFmtId="0" fontId="10" fillId="16" borderId="8" xfId="0" applyFont="1" applyFill="1" applyBorder="1">
      <alignment vertical="center"/>
    </xf>
    <xf numFmtId="0" fontId="0" fillId="4" borderId="8" xfId="0" applyFill="1" applyBorder="1">
      <alignment vertical="center"/>
    </xf>
    <xf numFmtId="0" fontId="0" fillId="16" borderId="8" xfId="0" applyFill="1" applyBorder="1">
      <alignment vertical="center"/>
    </xf>
    <xf numFmtId="0" fontId="10" fillId="0" borderId="17" xfId="0" applyFont="1" applyBorder="1">
      <alignment vertical="center"/>
    </xf>
    <xf numFmtId="0" fontId="0" fillId="0" borderId="17" xfId="0" applyBorder="1">
      <alignment vertical="center"/>
    </xf>
    <xf numFmtId="0" fontId="0" fillId="16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14" borderId="17" xfId="0" applyFill="1" applyBorder="1">
      <alignment vertical="center"/>
    </xf>
    <xf numFmtId="0" fontId="0" fillId="0" borderId="18" xfId="0" applyBorder="1">
      <alignment vertical="center"/>
    </xf>
    <xf numFmtId="0" fontId="10" fillId="14" borderId="18" xfId="0" applyFont="1" applyFill="1" applyBorder="1">
      <alignment vertical="center"/>
    </xf>
    <xf numFmtId="0" fontId="10" fillId="0" borderId="18" xfId="0" applyFont="1" applyBorder="1">
      <alignment vertical="center"/>
    </xf>
    <xf numFmtId="0" fontId="10" fillId="16" borderId="18" xfId="0" applyFont="1" applyFill="1" applyBorder="1">
      <alignment vertical="center"/>
    </xf>
    <xf numFmtId="0" fontId="0" fillId="4" borderId="18" xfId="0" applyFill="1" applyBorder="1">
      <alignment vertical="center"/>
    </xf>
    <xf numFmtId="0" fontId="0" fillId="9" borderId="17" xfId="0" applyFill="1" applyBorder="1">
      <alignment vertical="center"/>
    </xf>
    <xf numFmtId="49" fontId="5" fillId="0" borderId="0" xfId="0" applyNumberFormat="1" applyFont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5" borderId="19" xfId="0" applyFill="1" applyBorder="1">
      <alignment vertical="center"/>
    </xf>
    <xf numFmtId="0" fontId="0" fillId="5" borderId="0" xfId="0" applyFill="1">
      <alignment vertical="center"/>
    </xf>
    <xf numFmtId="0" fontId="10" fillId="0" borderId="20" xfId="0" applyFont="1" applyBorder="1">
      <alignment vertical="center"/>
    </xf>
    <xf numFmtId="0" fontId="0" fillId="9" borderId="20" xfId="0" applyFill="1" applyBorder="1">
      <alignment vertical="center"/>
    </xf>
    <xf numFmtId="0" fontId="0" fillId="0" borderId="20" xfId="0" applyBorder="1">
      <alignment vertical="center"/>
    </xf>
    <xf numFmtId="0" fontId="0" fillId="16" borderId="20" xfId="0" applyFill="1" applyBorder="1">
      <alignment vertical="center"/>
    </xf>
    <xf numFmtId="0" fontId="0" fillId="4" borderId="20" xfId="0" applyFill="1" applyBorder="1">
      <alignment vertical="center"/>
    </xf>
    <xf numFmtId="0" fontId="10" fillId="14" borderId="0" xfId="0" applyFont="1" applyFill="1">
      <alignment vertical="center"/>
    </xf>
    <xf numFmtId="0" fontId="12" fillId="13" borderId="8" xfId="0" applyFont="1" applyFill="1" applyBorder="1">
      <alignment vertical="center"/>
    </xf>
    <xf numFmtId="0" fontId="4" fillId="14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168" fontId="4" fillId="10" borderId="0" xfId="0" applyNumberFormat="1" applyFont="1" applyFill="1" applyAlignment="1">
      <alignment horizontal="center" vertical="center"/>
    </xf>
    <xf numFmtId="0" fontId="12" fillId="0" borderId="16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12" fillId="14" borderId="0" xfId="0" applyFont="1" applyFill="1">
      <alignment vertical="center"/>
    </xf>
    <xf numFmtId="0" fontId="0" fillId="15" borderId="0" xfId="0" applyFill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49" fontId="5" fillId="0" borderId="0" xfId="0" applyNumberFormat="1" applyFont="1" applyAlignment="1">
      <alignment horizontal="center" vertical="center" wrapText="1"/>
    </xf>
    <xf numFmtId="0" fontId="16" fillId="0" borderId="0" xfId="0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0" fontId="0" fillId="0" borderId="13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all'!$S$12,'pre-compute all'!$S$21,'pre-compute all'!$S$30,'pre-compute all'!$S$39,'pre-compute all'!$S$48)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all'!$S$14,'pre-compute all'!$S$23,'pre-compute all'!$S$32,'pre-compute all'!$S$41,'pre-compute all'!$S$50)</c:f>
              <c:numCache>
                <c:formatCode>General</c:formatCode>
                <c:ptCount val="5"/>
                <c:pt idx="0">
                  <c:v>100</c:v>
                </c:pt>
                <c:pt idx="1">
                  <c:v>97.468354430379748</c:v>
                </c:pt>
                <c:pt idx="2">
                  <c:v>88.60759493670885</c:v>
                </c:pt>
                <c:pt idx="3">
                  <c:v>73.417721518987349</c:v>
                </c:pt>
                <c:pt idx="4">
                  <c:v>55.696202531645568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4-4B75-8EFA-1A0546DA94A0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all'!$S$18,'pre-compute all'!$S$27,'pre-compute all'!$S$36,'pre-compute all'!$S$45,'pre-compute all'!$S$54)</c:f>
              <c:numCache>
                <c:formatCode>General</c:formatCode>
                <c:ptCount val="5"/>
                <c:pt idx="0">
                  <c:v>19.886363636363637</c:v>
                </c:pt>
                <c:pt idx="1">
                  <c:v>42.045454545454547</c:v>
                </c:pt>
                <c:pt idx="2">
                  <c:v>67.61363636363636</c:v>
                </c:pt>
                <c:pt idx="3">
                  <c:v>85.227272727272734</c:v>
                </c:pt>
                <c:pt idx="4">
                  <c:v>98.295454545454547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4-4B75-8EFA-1A0546DA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6304"/>
        <c:axId val="209507840"/>
      </c:lineChart>
      <c:catAx>
        <c:axId val="2095063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7840"/>
        <c:crosses val="autoZero"/>
        <c:auto val="1"/>
        <c:lblAlgn val="ctr"/>
        <c:lblOffset val="100"/>
        <c:noMultiLvlLbl val="0"/>
      </c:catAx>
      <c:valAx>
        <c:axId val="2095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'!$Q$56</c:f>
              <c:strCache>
                <c:ptCount val="1"/>
                <c:pt idx="0">
                  <c:v>nb correct conta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'!$R$56:$U$56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1-46C6-AECB-6E335DFF5816}"/>
            </c:ext>
          </c:extLst>
        </c:ser>
        <c:ser>
          <c:idx val="2"/>
          <c:order val="1"/>
          <c:tx>
            <c:strRef>
              <c:f>'Batch no BSV and &gt;5 reads '!$Q$58</c:f>
              <c:strCache>
                <c:ptCount val="1"/>
                <c:pt idx="0">
                  <c:v>nb categorize conta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'!$R$58:$U$58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1-46C6-AECB-6E335DFF5816}"/>
            </c:ext>
          </c:extLst>
        </c:ser>
        <c:ser>
          <c:idx val="4"/>
          <c:order val="4"/>
          <c:tx>
            <c:v>nb conta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'!$R$60:$U$60</c:f>
              <c:numCache>
                <c:formatCode>General</c:formatCode>
                <c:ptCount val="4"/>
                <c:pt idx="0">
                  <c:v>6</c:v>
                </c:pt>
                <c:pt idx="1">
                  <c:v>21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C1-46C6-AECB-6E335DFF58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571712"/>
        <c:axId val="22157760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3C1-46C6-AECB-6E335DFF581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C1-46C6-AECB-6E335DFF5816}"/>
                  </c:ext>
                </c:extLst>
              </c15:ser>
            </c15:filteredBarSeries>
          </c:ext>
        </c:extLst>
      </c:barChart>
      <c:catAx>
        <c:axId val="2215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7600"/>
        <c:crosses val="autoZero"/>
        <c:auto val="1"/>
        <c:lblAlgn val="ctr"/>
        <c:lblOffset val="100"/>
        <c:noMultiLvlLbl val="0"/>
      </c:catAx>
      <c:valAx>
        <c:axId val="221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'!$Q$57</c:f>
              <c:strCache>
                <c:ptCount val="1"/>
                <c:pt idx="0">
                  <c:v>nb correct infect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'!$R$57:$U$57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23</c:v>
                </c:pt>
                <c:pt idx="3">
                  <c:v>67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D2D3-4605-AF31-C41937D5BA88}"/>
            </c:ext>
          </c:extLst>
        </c:ser>
        <c:ser>
          <c:idx val="3"/>
          <c:order val="3"/>
          <c:tx>
            <c:strRef>
              <c:f>'Batch no BSV and &gt;5 reads '!$Q$59</c:f>
              <c:strCache>
                <c:ptCount val="1"/>
                <c:pt idx="0">
                  <c:v>nb categorize infect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'!$R$59:$U$59</c:f>
              <c:numCache>
                <c:formatCode>General</c:formatCode>
                <c:ptCount val="4"/>
                <c:pt idx="0">
                  <c:v>28</c:v>
                </c:pt>
                <c:pt idx="1">
                  <c:v>19</c:v>
                </c:pt>
                <c:pt idx="2">
                  <c:v>26</c:v>
                </c:pt>
                <c:pt idx="3">
                  <c:v>73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D2D3-4605-AF31-C41937D5BA88}"/>
            </c:ext>
          </c:extLst>
        </c:ser>
        <c:ser>
          <c:idx val="5"/>
          <c:order val="5"/>
          <c:tx>
            <c:strRef>
              <c:f>'Batch no BSV and &gt;5 reads '!$Q$61</c:f>
              <c:strCache>
                <c:ptCount val="1"/>
                <c:pt idx="0">
                  <c:v>nb infect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'!$R$61:$U$61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23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605-AF31-C41937D5BA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643520"/>
        <c:axId val="221645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D3-4605-AF31-C41937D5BA8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D3-4605-AF31-C41937D5BA8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D3-4605-AF31-C41937D5BA88}"/>
                  </c:ext>
                </c:extLst>
              </c15:ser>
            </c15:filteredBarSeries>
          </c:ext>
        </c:extLst>
      </c:barChart>
      <c:catAx>
        <c:axId val="22164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5056"/>
        <c:crosses val="autoZero"/>
        <c:auto val="1"/>
        <c:lblAlgn val="ctr"/>
        <c:lblOffset val="100"/>
        <c:noMultiLvlLbl val="0"/>
      </c:catAx>
      <c:valAx>
        <c:axId val="2216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'!$Q$75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'!$R$75:$U$75</c:f>
              <c:numCache>
                <c:formatCode>General</c:formatCode>
                <c:ptCount val="4"/>
                <c:pt idx="0">
                  <c:v>20</c:v>
                </c:pt>
                <c:pt idx="1">
                  <c:v>31</c:v>
                </c:pt>
                <c:pt idx="2">
                  <c:v>41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6-4ECC-AFDA-DD021158B87F}"/>
            </c:ext>
          </c:extLst>
        </c:ser>
        <c:ser>
          <c:idx val="2"/>
          <c:order val="1"/>
          <c:tx>
            <c:strRef>
              <c:f>'Batch no BSV and &gt;5 reads '!$Q$80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'!$R$80:$U$80</c:f>
              <c:numCache>
                <c:formatCode>General</c:formatCode>
                <c:ptCount val="4"/>
                <c:pt idx="0">
                  <c:v>24</c:v>
                </c:pt>
                <c:pt idx="1">
                  <c:v>35</c:v>
                </c:pt>
                <c:pt idx="2">
                  <c:v>45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6-4ECC-AFDA-DD021158B87F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6-4ECC-AFDA-DD021158B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690496"/>
        <c:axId val="22183974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B46-4ECC-AFDA-DD021158B87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46-4ECC-AFDA-DD021158B87F}"/>
                  </c:ext>
                </c:extLst>
              </c15:ser>
            </c15:filteredBarSeries>
          </c:ext>
        </c:extLst>
      </c:barChart>
      <c:catAx>
        <c:axId val="22169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9744"/>
        <c:crosses val="autoZero"/>
        <c:auto val="1"/>
        <c:lblAlgn val="ctr"/>
        <c:lblOffset val="100"/>
        <c:noMultiLvlLbl val="0"/>
      </c:catAx>
      <c:valAx>
        <c:axId val="2218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7859387763581"/>
          <c:y val="6.9880483195494794E-2"/>
          <c:w val="0.28572140612236419"/>
          <c:h val="0.3098857657061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'!$Q$76</c:f>
              <c:strCache>
                <c:ptCount val="1"/>
                <c:pt idx="0">
                  <c:v>nb correct infect &gt;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'!$R$76:$U$76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B-4323-9DD1-786E8BB139F8}"/>
            </c:ext>
          </c:extLst>
        </c:ser>
        <c:ser>
          <c:idx val="3"/>
          <c:order val="3"/>
          <c:tx>
            <c:strRef>
              <c:f>'Batch no BSV and &gt;5 reads '!$Q$81</c:f>
              <c:strCache>
                <c:ptCount val="1"/>
                <c:pt idx="0">
                  <c:v>nb infect categorize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'!$R$81:$U$81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B-4323-9DD1-786E8BB139F8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B-4323-9DD1-786E8BB13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901568"/>
        <c:axId val="22190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CB-4323-9DD1-786E8BB139F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CB-4323-9DD1-786E8BB139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CB-4323-9DD1-786E8BB139F8}"/>
                  </c:ext>
                </c:extLst>
              </c15:ser>
            </c15:filteredBarSeries>
          </c:ext>
        </c:extLst>
      </c:barChart>
      <c:catAx>
        <c:axId val="2219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3104"/>
        <c:crosses val="autoZero"/>
        <c:auto val="1"/>
        <c:lblAlgn val="ctr"/>
        <c:lblOffset val="100"/>
        <c:noMultiLvlLbl val="0"/>
      </c:catAx>
      <c:valAx>
        <c:axId val="2219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12186842736457"/>
          <c:y val="0.19354159330091278"/>
          <c:w val="0.26707318733134977"/>
          <c:h val="0.31490352944172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'!$Q$106</c:f>
              <c:strCache>
                <c:ptCount val="1"/>
                <c:pt idx="0">
                  <c:v>nb correct conta 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'!$R$106:$U$106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A-4D2D-B5D1-0D2A8555C7EA}"/>
            </c:ext>
          </c:extLst>
        </c:ser>
        <c:ser>
          <c:idx val="2"/>
          <c:order val="1"/>
          <c:tx>
            <c:strRef>
              <c:f>'Batch no BSV and &gt;5 reads '!$Q$110</c:f>
              <c:strCache>
                <c:ptCount val="1"/>
                <c:pt idx="0">
                  <c:v>nb conta categorize 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'!$R$110:$U$110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A-4D2D-B5D1-0D2A8555C7EA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A-4D2D-B5D1-0D2A8555C7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014080"/>
        <c:axId val="22203635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D5A-4D2D-B5D1-0D2A8555C7E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D5A-4D2D-B5D1-0D2A8555C7EA}"/>
                  </c:ext>
                </c:extLst>
              </c15:ser>
            </c15:filteredBarSeries>
          </c:ext>
        </c:extLst>
      </c:barChart>
      <c:catAx>
        <c:axId val="22201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36352"/>
        <c:crosses val="autoZero"/>
        <c:auto val="1"/>
        <c:lblAlgn val="ctr"/>
        <c:lblOffset val="100"/>
        <c:noMultiLvlLbl val="0"/>
      </c:catAx>
      <c:valAx>
        <c:axId val="222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98502005023167"/>
          <c:y val="0.17345610724279303"/>
          <c:w val="0.22838302303773966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'!$Q$107</c:f>
              <c:strCache>
                <c:ptCount val="1"/>
                <c:pt idx="0">
                  <c:v>nb correct infect 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'!$R$107:$U$107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2-42E3-97AE-E14061F22E9E}"/>
            </c:ext>
          </c:extLst>
        </c:ser>
        <c:ser>
          <c:idx val="3"/>
          <c:order val="3"/>
          <c:tx>
            <c:strRef>
              <c:f>'Batch no BSV and &gt;5 reads '!$Q$111</c:f>
              <c:strCache>
                <c:ptCount val="1"/>
                <c:pt idx="0">
                  <c:v>nb infect categorize 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'!$R$111:$U$111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2-42E3-97AE-E14061F22E9E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2-42E3-97AE-E14061F22E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069504"/>
        <c:axId val="222071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12-42E3-97AE-E14061F22E9E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12-42E3-97AE-E14061F22E9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12-42E3-97AE-E14061F22E9E}"/>
                  </c:ext>
                </c:extLst>
              </c15:ser>
            </c15:filteredBarSeries>
          </c:ext>
        </c:extLst>
      </c:barChart>
      <c:catAx>
        <c:axId val="22206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71040"/>
        <c:crosses val="autoZero"/>
        <c:auto val="1"/>
        <c:lblAlgn val="ctr"/>
        <c:lblOffset val="100"/>
        <c:noMultiLvlLbl val="0"/>
      </c:catAx>
      <c:valAx>
        <c:axId val="22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0901268815553"/>
          <c:y val="0.10288500522800506"/>
          <c:w val="0.31524868026347558"/>
          <c:h val="0.2743921643940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'!$Q$106</c:f>
              <c:strCache>
                <c:ptCount val="1"/>
                <c:pt idx="0">
                  <c:v>nb correct conta both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'!$Y$106:$AB$106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2-4A14-941D-973D26FC104D}"/>
            </c:ext>
          </c:extLst>
        </c:ser>
        <c:ser>
          <c:idx val="2"/>
          <c:order val="1"/>
          <c:tx>
            <c:strRef>
              <c:f>'Batch no BSV and &gt;5 reads '!$Q$110</c:f>
              <c:strCache>
                <c:ptCount val="1"/>
                <c:pt idx="0">
                  <c:v>nb conta categorize 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'!$Y$110:$AB$110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2-4A14-941D-973D26FC104D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2-4A14-941D-973D26FC10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128768"/>
        <c:axId val="22215104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22-4A14-941D-973D26FC10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22-4A14-941D-973D26FC104D}"/>
                  </c:ext>
                </c:extLst>
              </c15:ser>
            </c15:filteredBarSeries>
          </c:ext>
        </c:extLst>
      </c:barChart>
      <c:catAx>
        <c:axId val="22212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1040"/>
        <c:crosses val="autoZero"/>
        <c:auto val="1"/>
        <c:lblAlgn val="ctr"/>
        <c:lblOffset val="100"/>
        <c:noMultiLvlLbl val="0"/>
      </c:catAx>
      <c:valAx>
        <c:axId val="222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90560768944973"/>
          <c:y val="0.12386933038328889"/>
          <c:w val="0.29043229185392921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'!$Q$107</c:f>
              <c:strCache>
                <c:ptCount val="1"/>
                <c:pt idx="0">
                  <c:v>nb correct infect both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'!$Y$107:$AB$107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3-4D61-9833-6AEFDD7BBEFA}"/>
            </c:ext>
          </c:extLst>
        </c:ser>
        <c:ser>
          <c:idx val="3"/>
          <c:order val="3"/>
          <c:tx>
            <c:strRef>
              <c:f>'Batch no BSV and &gt;5 reads '!$Q$111</c:f>
              <c:strCache>
                <c:ptCount val="1"/>
                <c:pt idx="0">
                  <c:v>nb infect categorize both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'!$Y$111:$AB$111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3-4D61-9833-6AEFDD7BBEFA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3-4D61-9833-6AEFDD7BB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188288"/>
        <c:axId val="222189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A23-4D61-9833-6AEFDD7BBEFA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23-4D61-9833-6AEFDD7BBE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23-4D61-9833-6AEFDD7BBEFA}"/>
                  </c:ext>
                </c:extLst>
              </c15:ser>
            </c15:filteredBarSeries>
          </c:ext>
        </c:extLst>
      </c:barChart>
      <c:catAx>
        <c:axId val="22218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89824"/>
        <c:crosses val="autoZero"/>
        <c:auto val="1"/>
        <c:lblAlgn val="ctr"/>
        <c:lblOffset val="100"/>
        <c:noMultiLvlLbl val="0"/>
      </c:catAx>
      <c:valAx>
        <c:axId val="222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'!$Q$132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'!$R$132:$U$132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2-46F3-8605-D4A0F0A78915}"/>
            </c:ext>
          </c:extLst>
        </c:ser>
        <c:ser>
          <c:idx val="2"/>
          <c:order val="1"/>
          <c:tx>
            <c:strRef>
              <c:f>'Batch no BSV and &gt;5 reads '!$Q$133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'!$R$133:$U$133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2-46F3-8605-D4A0F0A78915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2-46F3-8605-D4A0F0A78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325376"/>
        <c:axId val="22233126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032-46F3-8605-D4A0F0A789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32-46F3-8605-D4A0F0A78915}"/>
                  </c:ext>
                </c:extLst>
              </c15:ser>
            </c15:filteredBarSeries>
          </c:ext>
        </c:extLst>
      </c:barChart>
      <c:catAx>
        <c:axId val="2223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31264"/>
        <c:crosses val="autoZero"/>
        <c:auto val="1"/>
        <c:lblAlgn val="ctr"/>
        <c:lblOffset val="100"/>
        <c:noMultiLvlLbl val="0"/>
      </c:catAx>
      <c:valAx>
        <c:axId val="222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6456549552704"/>
          <c:y val="1.8467318871402238E-2"/>
          <c:w val="0.29301491562310716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'!$Q$135</c:f>
              <c:strCache>
                <c:ptCount val="1"/>
                <c:pt idx="0">
                  <c:v>nb correct infect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'!$R$135:$U$135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8-4277-8510-9254F29A2A18}"/>
            </c:ext>
          </c:extLst>
        </c:ser>
        <c:ser>
          <c:idx val="3"/>
          <c:order val="3"/>
          <c:tx>
            <c:strRef>
              <c:f>'Batch no BSV and &gt;5 reads '!$Q$136</c:f>
              <c:strCache>
                <c:ptCount val="1"/>
                <c:pt idx="0">
                  <c:v>nb categorize infect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'!$R$136:$U$136</c:f>
              <c:numCache>
                <c:formatCode>General</c:formatCode>
                <c:ptCount val="4"/>
                <c:pt idx="0">
                  <c:v>19</c:v>
                </c:pt>
                <c:pt idx="1">
                  <c:v>9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8-4277-8510-9254F29A2A18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8-4277-8510-9254F29A2A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642944"/>
        <c:axId val="222644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ED8-4277-8510-9254F29A2A1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D8-4277-8510-9254F29A2A1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D8-4277-8510-9254F29A2A18}"/>
                  </c:ext>
                </c:extLst>
              </c15:ser>
            </c15:filteredBarSeries>
          </c:ext>
        </c:extLst>
      </c:barChart>
      <c:catAx>
        <c:axId val="22264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44480"/>
        <c:crosses val="autoZero"/>
        <c:auto val="1"/>
        <c:lblAlgn val="ctr"/>
        <c:lblOffset val="100"/>
        <c:noMultiLvlLbl val="0"/>
      </c:catAx>
      <c:valAx>
        <c:axId val="2226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0901268815553"/>
          <c:y val="0.10288500522800506"/>
          <c:w val="0.31524868026347558"/>
          <c:h val="0.2743921643940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all'!$T$12,'pre-compute all'!$T$21,'pre-compute all'!$T$30,'pre-compute all'!$T$39,'pre-compute all'!$T$48)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all'!$T$14,'pre-compute all'!$T$23,'pre-compute all'!$T$32,'pre-compute all'!$T$41,'pre-compute all'!$T$50)</c:f>
              <c:numCache>
                <c:formatCode>General</c:formatCode>
                <c:ptCount val="5"/>
                <c:pt idx="0">
                  <c:v>100</c:v>
                </c:pt>
                <c:pt idx="1">
                  <c:v>99.367088607594937</c:v>
                </c:pt>
                <c:pt idx="2">
                  <c:v>92.405063291139243</c:v>
                </c:pt>
                <c:pt idx="3">
                  <c:v>79.74683544303798</c:v>
                </c:pt>
                <c:pt idx="4">
                  <c:v>62.658227848101269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F-44C1-BC24-61BEC6415954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all'!$T$18,'pre-compute all'!$T$27,'pre-compute all'!$T$36,'pre-compute all'!$T$45,'pre-compute all'!$T$54)</c:f>
              <c:numCache>
                <c:formatCode>General</c:formatCode>
                <c:ptCount val="5"/>
                <c:pt idx="0">
                  <c:v>7.9545454545454541</c:v>
                </c:pt>
                <c:pt idx="1">
                  <c:v>28.97727272727273</c:v>
                </c:pt>
                <c:pt idx="2">
                  <c:v>61.93181818181818</c:v>
                </c:pt>
                <c:pt idx="3">
                  <c:v>80.11363636363636</c:v>
                </c:pt>
                <c:pt idx="4">
                  <c:v>89.772727272727266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F-44C1-BC24-61BEC641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8416"/>
        <c:axId val="210109952"/>
      </c:lineChart>
      <c:catAx>
        <c:axId val="21010841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9952"/>
        <c:crosses val="autoZero"/>
        <c:auto val="1"/>
        <c:lblAlgn val="ctr"/>
        <c:lblOffset val="100"/>
        <c:noMultiLvlLbl val="0"/>
      </c:catAx>
      <c:valAx>
        <c:axId val="2101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T3v2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'!$Y$119:$AB$119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58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B-4151-B02C-A6619B0AF920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'!$Y$117:$AB$117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6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B-4151-B02C-A6619B0AF920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'!$Y$118:$AB$118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1B-4151-B02C-A6619B0AF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689536"/>
        <c:axId val="222715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B1B-4151-B02C-A6619B0AF920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1B-4151-B02C-A6619B0AF920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B1B-4151-B02C-A6619B0AF92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1B-4151-B02C-A6619B0AF920}"/>
                  </c:ext>
                </c:extLst>
              </c15:ser>
            </c15:filteredBarSeries>
          </c:ext>
        </c:extLst>
      </c:barChart>
      <c:catAx>
        <c:axId val="2226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5904"/>
        <c:crosses val="autoZero"/>
        <c:auto val="1"/>
        <c:lblAlgn val="ctr"/>
        <c:lblOffset val="100"/>
        <c:noMultiLvlLbl val="0"/>
      </c:catAx>
      <c:valAx>
        <c:axId val="222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'!$R$90:$U$90</c:f>
              <c:numCache>
                <c:formatCode>General</c:formatCode>
                <c:ptCount val="4"/>
                <c:pt idx="0">
                  <c:v>39</c:v>
                </c:pt>
                <c:pt idx="1">
                  <c:v>38</c:v>
                </c:pt>
                <c:pt idx="2">
                  <c:v>60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3-464B-808A-E0EF0AF871FC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'!$R$88:$U$88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3-464B-808A-E0EF0AF871FC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'!$R$89:$U$89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3-464B-808A-E0EF0AF871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777728"/>
        <c:axId val="222779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13-464B-808A-E0EF0AF871F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13-464B-808A-E0EF0AF871F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13-464B-808A-E0EF0AF871F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13-464B-808A-E0EF0AF871FC}"/>
                  </c:ext>
                </c:extLst>
              </c15:ser>
            </c15:filteredBarSeries>
          </c:ext>
        </c:extLst>
      </c:barChart>
      <c:catAx>
        <c:axId val="2227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auto val="1"/>
        <c:lblAlgn val="ctr"/>
        <c:lblOffset val="100"/>
        <c:noMultiLvlLbl val="0"/>
      </c:catAx>
      <c:valAx>
        <c:axId val="222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T4 (balance case)</a:t>
            </a:r>
          </a:p>
        </c:rich>
      </c:tx>
      <c:layout>
        <c:manualLayout>
          <c:xMode val="edge"/>
          <c:yMode val="edge"/>
          <c:x val="0.31441450609570504"/>
          <c:y val="4.363809416636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'!$R$144:$U$144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58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B-4102-82D7-7C0DDDFF79F3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'!$R$142:$U$142</c:f>
              <c:numCache>
                <c:formatCode>General</c:formatCode>
                <c:ptCount val="4"/>
                <c:pt idx="0">
                  <c:v>15</c:v>
                </c:pt>
                <c:pt idx="1">
                  <c:v>14</c:v>
                </c:pt>
                <c:pt idx="2">
                  <c:v>6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B-4102-82D7-7C0DDDFF79F3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'!$R$143:$U$143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B-4102-82D7-7C0DDDFF79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6B-4102-82D7-7C0DDDFF79F3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6B-4102-82D7-7C0DDDFF79F3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6B-4102-82D7-7C0DDDFF79F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6B-4102-82D7-7C0DDDFF79F3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T4 (diagnostic case)</a:t>
            </a:r>
          </a:p>
        </c:rich>
      </c:tx>
      <c:layout>
        <c:manualLayout>
          <c:xMode val="edge"/>
          <c:yMode val="edge"/>
          <c:x val="0.31441450609570504"/>
          <c:y val="4.363809416636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'!$R$173:$U$173</c:f>
              <c:numCache>
                <c:formatCode>General</c:formatCode>
                <c:ptCount val="4"/>
                <c:pt idx="0">
                  <c:v>32</c:v>
                </c:pt>
                <c:pt idx="1">
                  <c:v>33</c:v>
                </c:pt>
                <c:pt idx="2">
                  <c:v>62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BA6-AA82-A61BF9DF9F48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'!$R$171:$U$171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0-4BA6-AA82-A61BF9DF9F48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'!$R$172:$U$172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0-4BA6-AA82-A61BF9DF9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89024"/>
        <c:axId val="223090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30-4BA6-AA82-A61BF9DF9F4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30-4BA6-AA82-A61BF9DF9F48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30-4BA6-AA82-A61BF9DF9F4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30-4BA6-AA82-A61BF9DF9F48}"/>
                  </c:ext>
                </c:extLst>
              </c15:ser>
            </c15:filteredBarSeries>
          </c:ext>
        </c:extLst>
      </c:barChart>
      <c:catAx>
        <c:axId val="22308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0560"/>
        <c:crosses val="autoZero"/>
        <c:auto val="1"/>
        <c:lblAlgn val="ctr"/>
        <c:lblOffset val="100"/>
        <c:noMultiLvlLbl val="0"/>
      </c:catAx>
      <c:valAx>
        <c:axId val="223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'!$Q$135</c:f>
              <c:strCache>
                <c:ptCount val="1"/>
                <c:pt idx="0">
                  <c:v>nb correct infect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'!$R$164:$U$164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9-421E-93CD-725C98C4957C}"/>
            </c:ext>
          </c:extLst>
        </c:ser>
        <c:ser>
          <c:idx val="3"/>
          <c:order val="3"/>
          <c:tx>
            <c:strRef>
              <c:f>'Batch no BSV and &gt;5 reads '!$Q$136</c:f>
              <c:strCache>
                <c:ptCount val="1"/>
                <c:pt idx="0">
                  <c:v>nb categorize infect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'!$R$165:$U$165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27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9-421E-93CD-725C98C4957C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9-421E-93CD-725C98C495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136384"/>
        <c:axId val="223150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6A9-421E-93CD-725C98C4957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A9-421E-93CD-725C98C495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A9-421E-93CD-725C98C4957C}"/>
                  </c:ext>
                </c:extLst>
              </c15:ser>
            </c15:filteredBarSeries>
          </c:ext>
        </c:extLst>
      </c:barChart>
      <c:catAx>
        <c:axId val="22313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50464"/>
        <c:crosses val="autoZero"/>
        <c:auto val="1"/>
        <c:lblAlgn val="ctr"/>
        <c:lblOffset val="100"/>
        <c:noMultiLvlLbl val="0"/>
      </c:catAx>
      <c:valAx>
        <c:axId val="223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0901268815553"/>
          <c:y val="0.10288500522800506"/>
          <c:w val="0.31524868026347558"/>
          <c:h val="0.2743921643940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'!$Q$132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'!$R$161:$U$161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7-4F07-B559-5A735B0F9D0C}"/>
            </c:ext>
          </c:extLst>
        </c:ser>
        <c:ser>
          <c:idx val="2"/>
          <c:order val="1"/>
          <c:tx>
            <c:strRef>
              <c:f>'Batch no BSV and &gt;5 reads '!$Q$133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'!$R$162:$U$162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7-4F07-B559-5A735B0F9D0C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7-4F07-B559-5A735B0F9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212288"/>
        <c:axId val="22321382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8A7-4F07-B559-5A735B0F9D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A7-4F07-B559-5A735B0F9D0C}"/>
                  </c:ext>
                </c:extLst>
              </c15:ser>
            </c15:filteredBarSeries>
          </c:ext>
        </c:extLst>
      </c:barChart>
      <c:catAx>
        <c:axId val="22321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13824"/>
        <c:crosses val="autoZero"/>
        <c:auto val="1"/>
        <c:lblAlgn val="ctr"/>
        <c:lblOffset val="100"/>
        <c:noMultiLvlLbl val="0"/>
      </c:catAx>
      <c:valAx>
        <c:axId val="2232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6456549552704"/>
          <c:y val="1.8467318871402238E-2"/>
          <c:w val="0.29301491562310716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T4 (contamination case)</a:t>
            </a:r>
          </a:p>
        </c:rich>
      </c:tx>
      <c:layout>
        <c:manualLayout>
          <c:xMode val="edge"/>
          <c:yMode val="edge"/>
          <c:x val="0.31441450609570504"/>
          <c:y val="4.363809416636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'!$R$200:$U$200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60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4-4DF9-A301-A457F8AFAD7C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'!$R$171:$U$171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4-4DF9-A301-A457F8AFAD7C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'!$R$199:$U$199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4-4DF9-A301-A457F8AFAD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255168"/>
        <c:axId val="223347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024-4DF9-A301-A457F8AFAD7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24-4DF9-A301-A457F8AFAD7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24-4DF9-A301-A457F8AFAD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24-4DF9-A301-A457F8AFAD7C}"/>
                  </c:ext>
                </c:extLst>
              </c15:ser>
            </c15:filteredBarSeries>
          </c:ext>
        </c:extLst>
      </c:barChart>
      <c:catAx>
        <c:axId val="22325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7072"/>
        <c:crosses val="autoZero"/>
        <c:auto val="1"/>
        <c:lblAlgn val="ctr"/>
        <c:lblOffset val="100"/>
        <c:noMultiLvlLbl val="0"/>
      </c:catAx>
      <c:valAx>
        <c:axId val="223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'!$Q$135</c:f>
              <c:strCache>
                <c:ptCount val="1"/>
                <c:pt idx="0">
                  <c:v>nb correct infect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'!$R$191:$U$191</c:f>
              <c:numCache>
                <c:formatCode>General</c:formatCode>
                <c:ptCount val="4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DBB-A96D-BAA53F670BAC}"/>
            </c:ext>
          </c:extLst>
        </c:ser>
        <c:ser>
          <c:idx val="3"/>
          <c:order val="3"/>
          <c:tx>
            <c:strRef>
              <c:f>'Batch no BSV and &gt;5 reads '!$Q$136</c:f>
              <c:strCache>
                <c:ptCount val="1"/>
                <c:pt idx="0">
                  <c:v>nb categorize infect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'!$R$192:$U$192</c:f>
              <c:numCache>
                <c:formatCode>General</c:formatCode>
                <c:ptCount val="4"/>
                <c:pt idx="0">
                  <c:v>19</c:v>
                </c:pt>
                <c:pt idx="1">
                  <c:v>9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DBB-A96D-BAA53F670BAC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2-4DBB-A96D-BAA53F670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388416"/>
        <c:axId val="223389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302-4DBB-A96D-BAA53F670BA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02-4DBB-A96D-BAA53F670B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02-4DBB-A96D-BAA53F670BAC}"/>
                  </c:ext>
                </c:extLst>
              </c15:ser>
            </c15:filteredBarSeries>
          </c:ext>
        </c:extLst>
      </c:barChart>
      <c:catAx>
        <c:axId val="22338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89952"/>
        <c:crosses val="autoZero"/>
        <c:auto val="1"/>
        <c:lblAlgn val="ctr"/>
        <c:lblOffset val="100"/>
        <c:noMultiLvlLbl val="0"/>
      </c:catAx>
      <c:valAx>
        <c:axId val="2233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0901268815553"/>
          <c:y val="0.10288500522800506"/>
          <c:w val="0.31524868026347558"/>
          <c:h val="0.2743921643940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'!$Q$132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'!$R$188:$U$188</c:f>
              <c:numCache>
                <c:formatCode>General</c:formatCode>
                <c:ptCount val="4"/>
                <c:pt idx="0">
                  <c:v>20</c:v>
                </c:pt>
                <c:pt idx="1">
                  <c:v>31</c:v>
                </c:pt>
                <c:pt idx="2">
                  <c:v>41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3-4C77-ABC8-74E31FE63719}"/>
            </c:ext>
          </c:extLst>
        </c:ser>
        <c:ser>
          <c:idx val="2"/>
          <c:order val="1"/>
          <c:tx>
            <c:strRef>
              <c:f>'Batch no BSV and &gt;5 reads '!$Q$133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'!$R$189:$U$189</c:f>
              <c:numCache>
                <c:formatCode>General</c:formatCode>
                <c:ptCount val="4"/>
                <c:pt idx="0">
                  <c:v>24</c:v>
                </c:pt>
                <c:pt idx="1">
                  <c:v>35</c:v>
                </c:pt>
                <c:pt idx="2">
                  <c:v>45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3-4C77-ABC8-74E31FE63719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'!$R$84:$U$84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3-4C77-ABC8-74E31FE63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512064"/>
        <c:axId val="22351360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813-4C77-ABC8-74E31FE6371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13-4C77-ABC8-74E31FE63719}"/>
                  </c:ext>
                </c:extLst>
              </c15:ser>
            </c15:filteredBarSeries>
          </c:ext>
        </c:extLst>
      </c:barChart>
      <c:catAx>
        <c:axId val="22351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3600"/>
        <c:crosses val="autoZero"/>
        <c:auto val="1"/>
        <c:lblAlgn val="ctr"/>
        <c:lblOffset val="100"/>
        <c:noMultiLvlLbl val="0"/>
      </c:catAx>
      <c:valAx>
        <c:axId val="2235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6456549552704"/>
          <c:y val="1.8467318871402238E-2"/>
          <c:w val="0.29301491562310716"/>
          <c:h val="0.2789275720700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22442331604506E-2"/>
          <c:y val="0.1574946921443737"/>
          <c:w val="0.75543056862290847"/>
          <c:h val="0.7439988631994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'Batch no BSV and &gt;5 reads '!$Q$75</c:f>
              <c:strCache>
                <c:ptCount val="1"/>
                <c:pt idx="0">
                  <c:v>nb correct conta &lt; 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'!$AF$76:$AI$76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C39-9A76-84650A820B55}"/>
            </c:ext>
          </c:extLst>
        </c:ser>
        <c:ser>
          <c:idx val="2"/>
          <c:order val="1"/>
          <c:tx>
            <c:strRef>
              <c:f>'Batch no BSV and &gt;5 reads '!$Q$80</c:f>
              <c:strCache>
                <c:ptCount val="1"/>
                <c:pt idx="0">
                  <c:v>nb conta categorize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'!$AF$81:$AI$81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6-4C39-9A76-84650A820B55}"/>
            </c:ext>
          </c:extLst>
        </c:ser>
        <c:ser>
          <c:idx val="4"/>
          <c:order val="4"/>
          <c:tx>
            <c:strRef>
              <c:f>'Batch no BSV and &gt;5 reads '!$Q$84</c:f>
              <c:strCache>
                <c:ptCount val="1"/>
                <c:pt idx="0">
                  <c:v>nb conta 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'!$AF$85:$AI$85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6-4C39-9A76-84650A820B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690496"/>
        <c:axId val="221839744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'Batch no BSV and &gt;5 reads '!$Q$57</c15:sqref>
                        </c15:formulaRef>
                      </c:ext>
                    </c:extLst>
                    <c:strCache>
                      <c:ptCount val="1"/>
                      <c:pt idx="0">
                        <c:v>nb correct infect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'!$R$57:$U$57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</c:v>
                      </c:pt>
                      <c:pt idx="1">
                        <c:v>12</c:v>
                      </c:pt>
                      <c:pt idx="2">
                        <c:v>23</c:v>
                      </c:pt>
                      <c:pt idx="3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9A6-4C39-9A76-84650A820B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'!$Q$59</c15:sqref>
                        </c15:formulaRef>
                      </c:ext>
                    </c:extLst>
                    <c:strCache>
                      <c:ptCount val="1"/>
                      <c:pt idx="0">
                        <c:v>nb categorize infect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'!$R$59:$U$59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</c:v>
                      </c:pt>
                      <c:pt idx="1">
                        <c:v>19</c:v>
                      </c:pt>
                      <c:pt idx="2">
                        <c:v>26</c:v>
                      </c:pt>
                      <c:pt idx="3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A6-4C39-9A76-84650A820B55}"/>
                  </c:ext>
                </c:extLst>
              </c15:ser>
            </c15:filteredBarSeries>
          </c:ext>
        </c:extLst>
      </c:barChart>
      <c:catAx>
        <c:axId val="22169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9744"/>
        <c:crosses val="autoZero"/>
        <c:auto val="1"/>
        <c:lblAlgn val="ctr"/>
        <c:lblOffset val="100"/>
        <c:noMultiLvlLbl val="0"/>
      </c:catAx>
      <c:valAx>
        <c:axId val="2218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7859387763581"/>
          <c:y val="6.9880483195494794E-2"/>
          <c:w val="0.28572140612236419"/>
          <c:h val="0.3098857657061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all'!$U$12,'pre-compute all'!$U$21,'pre-compute all'!$U$30,'pre-compute all'!$U$39,'pre-compute all'!$U$48)</c:f>
              <c:numCache>
                <c:formatCode>General</c:formatCode>
                <c:ptCount val="5"/>
                <c:pt idx="0">
                  <c:v>5.0000000000000002E-5</c:v>
                </c:pt>
                <c:pt idx="1">
                  <c:v>9.9999999999999995E-7</c:v>
                </c:pt>
                <c:pt idx="2">
                  <c:v>9.9999999999999995E-8</c:v>
                </c:pt>
                <c:pt idx="3">
                  <c:v>1E-8</c:v>
                </c:pt>
                <c:pt idx="4">
                  <c:v>5.0000000000000001E-9</c:v>
                </c:pt>
              </c:numCache>
            </c:numRef>
          </c:cat>
          <c:val>
            <c:numRef>
              <c:f>('pre-compute all'!$U$14,'pre-compute all'!$U$23,'pre-compute all'!$U$32,'pre-compute all'!$U$41,'pre-compute all'!$U$50)</c:f>
              <c:numCache>
                <c:formatCode>General</c:formatCode>
                <c:ptCount val="5"/>
                <c:pt idx="0">
                  <c:v>100</c:v>
                </c:pt>
                <c:pt idx="1">
                  <c:v>86.70886075949366</c:v>
                </c:pt>
                <c:pt idx="2">
                  <c:v>62.658227848101269</c:v>
                </c:pt>
                <c:pt idx="3">
                  <c:v>22.784810126582279</c:v>
                </c:pt>
                <c:pt idx="4">
                  <c:v>13.924050632911392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0-4B86-BDC5-2EA7FED0BA1C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all'!$U$18,'pre-compute all'!$U$27,'pre-compute all'!$U$36,'pre-compute all'!$U$45,'pre-compute all'!$U$54)</c:f>
              <c:numCache>
                <c:formatCode>General</c:formatCode>
                <c:ptCount val="5"/>
                <c:pt idx="0">
                  <c:v>20.454545454545457</c:v>
                </c:pt>
                <c:pt idx="1">
                  <c:v>58.522727272727273</c:v>
                </c:pt>
                <c:pt idx="2">
                  <c:v>77.840909090909093</c:v>
                </c:pt>
                <c:pt idx="3">
                  <c:v>93.75</c:v>
                </c:pt>
                <c:pt idx="4">
                  <c:v>95.454545454545453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0-4B86-BDC5-2EA7FED0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9376"/>
        <c:axId val="210150912"/>
      </c:lineChart>
      <c:catAx>
        <c:axId val="2101493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50912"/>
        <c:crosses val="autoZero"/>
        <c:auto val="1"/>
        <c:lblAlgn val="ctr"/>
        <c:lblOffset val="100"/>
        <c:noMultiLvlLbl val="0"/>
      </c:catAx>
      <c:valAx>
        <c:axId val="2101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'Batch no BSV and &gt;5 reads '!$Q$76</c:f>
              <c:strCache>
                <c:ptCount val="1"/>
                <c:pt idx="0">
                  <c:v>nb correct infect &gt;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'!$AF$77:$AI$77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18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B-4557-8B24-17F752FC5466}"/>
            </c:ext>
          </c:extLst>
        </c:ser>
        <c:ser>
          <c:idx val="3"/>
          <c:order val="3"/>
          <c:tx>
            <c:strRef>
              <c:f>'Batch no BSV and &gt;5 reads '!$Q$81</c:f>
              <c:strCache>
                <c:ptCount val="1"/>
                <c:pt idx="0">
                  <c:v>nb infect categorize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'!$AF$82:$AI$82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23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B-4557-8B24-17F752FC5466}"/>
            </c:ext>
          </c:extLst>
        </c:ser>
        <c:ser>
          <c:idx val="5"/>
          <c:order val="5"/>
          <c:tx>
            <c:strRef>
              <c:f>'Batch no BSV and &gt;5 reads '!$Q$85</c:f>
              <c:strCache>
                <c:ptCount val="1"/>
                <c:pt idx="0">
                  <c:v>nb infect 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'!$R$85:$U$85</c:f>
              <c:numCache>
                <c:formatCode>General</c:formatCode>
                <c:ptCount val="4"/>
                <c:pt idx="0">
                  <c:v>23</c:v>
                </c:pt>
                <c:pt idx="1">
                  <c:v>12</c:v>
                </c:pt>
                <c:pt idx="2">
                  <c:v>23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B-4557-8B24-17F752FC54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1901568"/>
        <c:axId val="22190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63B-4557-8B24-17F752FC5466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3B-4557-8B24-17F752FC546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63B-4557-8B24-17F752FC5466}"/>
                  </c:ext>
                </c:extLst>
              </c15:ser>
            </c15:filteredBarSeries>
          </c:ext>
        </c:extLst>
      </c:barChart>
      <c:catAx>
        <c:axId val="2219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3104"/>
        <c:crosses val="autoZero"/>
        <c:auto val="1"/>
        <c:lblAlgn val="ctr"/>
        <c:lblOffset val="100"/>
        <c:noMultiLvlLbl val="0"/>
      </c:catAx>
      <c:valAx>
        <c:axId val="2219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12186842736457"/>
          <c:y val="0.19354159330091278"/>
          <c:w val="0.26707318733134977"/>
          <c:h val="0.31490352944172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'!$AF$91:$AI$91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26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B-424C-A27E-67FC09EBFD03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'!$AF$89:$AI$89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30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B-424C-A27E-67FC09EBFD03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'!$AF$90:$AI$90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B-424C-A27E-67FC09EBFD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777728"/>
        <c:axId val="222779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24B-424C-A27E-67FC09EBFD03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4B-424C-A27E-67FC09EBFD03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24B-424C-A27E-67FC09EBFD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24B-424C-A27E-67FC09EBFD03}"/>
                  </c:ext>
                </c:extLst>
              </c15:ser>
            </c15:filteredBarSeries>
          </c:ext>
        </c:extLst>
      </c:barChart>
      <c:catAx>
        <c:axId val="2227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auto val="1"/>
        <c:lblAlgn val="ctr"/>
        <c:lblOffset val="100"/>
        <c:noMultiLvlLbl val="0"/>
      </c:catAx>
      <c:valAx>
        <c:axId val="2227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'!$AJ$119:$AM$119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54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2-4A04-9BD7-2B3CC0F35D6C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'!$AJ$117:$AM$117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2-4A04-9BD7-2B3CC0F35D6C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'!$AJ$118:$AM$118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2-4A04-9BD7-2B3CC0F35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689536"/>
        <c:axId val="222715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D02-4A04-9BD7-2B3CC0F35D6C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02-4A04-9BD7-2B3CC0F35D6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02-4A04-9BD7-2B3CC0F35D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02-4A04-9BD7-2B3CC0F35D6C}"/>
                  </c:ext>
                </c:extLst>
              </c15:ser>
            </c15:filteredBarSeries>
          </c:ext>
        </c:extLst>
      </c:barChart>
      <c:catAx>
        <c:axId val="2226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5904"/>
        <c:crosses val="autoZero"/>
        <c:auto val="1"/>
        <c:lblAlgn val="ctr"/>
        <c:lblOffset val="100"/>
        <c:noMultiLvlLbl val="0"/>
      </c:catAx>
      <c:valAx>
        <c:axId val="222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T3v4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'!$AQ$119:$AT$119</c:f>
              <c:numCache>
                <c:formatCode>General</c:formatCode>
                <c:ptCount val="4"/>
                <c:pt idx="0">
                  <c:v>30</c:v>
                </c:pt>
                <c:pt idx="1">
                  <c:v>27</c:v>
                </c:pt>
                <c:pt idx="2">
                  <c:v>52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5-4BDA-8090-FAD587BBA95D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'!$AQ$117:$AT$117</c:f>
              <c:numCache>
                <c:formatCode>General</c:formatCode>
                <c:ptCount val="4"/>
                <c:pt idx="0">
                  <c:v>11</c:v>
                </c:pt>
                <c:pt idx="1">
                  <c:v>15</c:v>
                </c:pt>
                <c:pt idx="2">
                  <c:v>12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5-4BDA-8090-FAD587BBA95D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'!$AQ$118:$AT$118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5-4BDA-8090-FAD587BBA9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2689536"/>
        <c:axId val="222715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385-4BDA-8090-FAD587BBA95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85-4BDA-8090-FAD587BBA95D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85-4BDA-8090-FAD587BBA9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85-4BDA-8090-FAD587BBA95D}"/>
                  </c:ext>
                </c:extLst>
              </c15:ser>
            </c15:filteredBarSeries>
          </c:ext>
        </c:extLst>
      </c:barChart>
      <c:catAx>
        <c:axId val="2226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5904"/>
        <c:crosses val="autoZero"/>
        <c:auto val="1"/>
        <c:lblAlgn val="ctr"/>
        <c:lblOffset val="100"/>
        <c:noMultiLvlLbl val="0"/>
      </c:catAx>
      <c:valAx>
        <c:axId val="222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T1*T2*T5 (balance case)</a:t>
            </a:r>
          </a:p>
        </c:rich>
      </c:tx>
      <c:layout>
        <c:manualLayout>
          <c:xMode val="edge"/>
          <c:yMode val="edge"/>
          <c:x val="0.13090553465238586"/>
          <c:y val="3.2931021982116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'!$AK$146:$AN$146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63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0-445E-AC6E-BE2304303538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'!$AK$144:$AN$144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0-445E-AC6E-BE2304303538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'!$AK$145:$AN$145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0-445E-AC6E-BE23043035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B00-445E-AC6E-BE2304303538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00-445E-AC6E-BE2304303538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00-445E-AC6E-BE230430353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00-445E-AC6E-BE2304303538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T1*T2*T5 (balance case) + refinement</a:t>
            </a:r>
          </a:p>
        </c:rich>
      </c:tx>
      <c:layout>
        <c:manualLayout>
          <c:xMode val="edge"/>
          <c:yMode val="edge"/>
          <c:x val="0.13480059936616634"/>
          <c:y val="4.9050518274934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'!$AR$146:$AU$146</c:f>
              <c:numCache>
                <c:formatCode>General</c:formatCode>
                <c:ptCount val="4"/>
                <c:pt idx="0">
                  <c:v>39</c:v>
                </c:pt>
                <c:pt idx="1">
                  <c:v>40</c:v>
                </c:pt>
                <c:pt idx="2">
                  <c:v>63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9-4002-A56B-9062FA179451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'!$AR$144:$AU$144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9-4002-A56B-9062FA179451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'!$AR$145:$AU$145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9-4002-A56B-9062FA179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19-4002-A56B-9062FA179451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19-4002-A56B-9062FA179451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19-4002-A56B-9062FA17945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19-4002-A56B-9062FA179451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Summary T1*T2+refine (balance case)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'!$AE$178:$AH$178</c:f>
              <c:numCache>
                <c:formatCode>General</c:formatCode>
                <c:ptCount val="4"/>
                <c:pt idx="0">
                  <c:v>36</c:v>
                </c:pt>
                <c:pt idx="1">
                  <c:v>37</c:v>
                </c:pt>
                <c:pt idx="2">
                  <c:v>63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3-42ED-9CB2-A23DECC42FB0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'!$AE$176:$AH$176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3-42ED-9CB2-A23DECC42FB0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'!$AE$177:$AH$177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3-42ED-9CB2-A23DECC42F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B3-42ED-9CB2-A23DECC42FB0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B3-42ED-9CB2-A23DECC42FB0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B3-42ED-9CB2-A23DECC42FB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B3-42ED-9CB2-A23DECC42FB0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+refine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'!$AE$187:$AH$187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8-44FA-88BA-E96EE26CBD4A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'!$AE$185:$AH$185</c:f>
              <c:numCache>
                <c:formatCode>General</c:formatCode>
                <c:ptCount val="4"/>
                <c:pt idx="0">
                  <c:v>-15</c:v>
                </c:pt>
                <c:pt idx="1">
                  <c:v>-14</c:v>
                </c:pt>
                <c:pt idx="2">
                  <c:v>-6</c:v>
                </c:pt>
                <c:pt idx="3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8-44FA-88BA-E96EE26CBD4A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'!$AE$186:$AH$186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8-44FA-88BA-E96EE26CB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D88-44FA-88BA-E96EE26CBD4A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88-44FA-88BA-E96EE26CBD4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88-44FA-88BA-E96EE26CBD4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88-44FA-88BA-E96EE26CBD4A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* T5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'!$AE$155:$AH$155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8-437B-BA68-4FAB8FF65A5D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'!$AE$153:$AH$153</c:f>
              <c:numCache>
                <c:formatCode>General</c:formatCode>
                <c:ptCount val="4"/>
                <c:pt idx="0">
                  <c:v>-8</c:v>
                </c:pt>
                <c:pt idx="1">
                  <c:v>-9</c:v>
                </c:pt>
                <c:pt idx="2">
                  <c:v>-5</c:v>
                </c:pt>
                <c:pt idx="3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8-437B-BA68-4FAB8FF65A5D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'!$AE$154:$AH$154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8-437B-BA68-4FAB8FF65A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878-437B-BA68-4FAB8FF65A5D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78-437B-BA68-4FAB8FF65A5D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78-437B-BA68-4FAB8FF65A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78-437B-BA68-4FAB8FF65A5D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* T5</a:t>
            </a:r>
            <a:r>
              <a:rPr lang="fr-BE" baseline="0"/>
              <a:t> + refine</a:t>
            </a:r>
            <a:r>
              <a:rPr lang="fr-BE"/>
              <a:t> 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'!$AR$155:$AU$155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E-4529-B4ED-7DFEFF151446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'!$AR$153:$AU$153</c:f>
              <c:numCache>
                <c:formatCode>General</c:formatCode>
                <c:ptCount val="4"/>
                <c:pt idx="0">
                  <c:v>-7</c:v>
                </c:pt>
                <c:pt idx="1">
                  <c:v>-5</c:v>
                </c:pt>
                <c:pt idx="2">
                  <c:v>-1</c:v>
                </c:pt>
                <c:pt idx="3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E-4529-B4ED-7DFEFF151446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'!$AR$154:$AU$154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E-4529-B4ED-7DFEFF151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DFE-4529-B4ED-7DFEFF151446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FE-4529-B4ED-7DFEFF151446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FE-4529-B4ED-7DFEFF15144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FE-4529-B4ED-7DFEFF151446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all'!$V$12,'pre-compute all'!$V$21,'pre-compute all'!$V$30,'pre-compute all'!$V$39,'pre-compute all'!$V$48)</c:f>
              <c:numCache>
                <c:formatCode>General</c:formatCode>
                <c:ptCount val="5"/>
                <c:pt idx="0">
                  <c:v>0.99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('pre-compute all'!$V$14,'pre-compute all'!$V$23,'pre-compute all'!$V$32,'pre-compute all'!$V$41,'pre-compute all'!$V$50)</c:f>
              <c:numCache>
                <c:formatCode>General</c:formatCode>
                <c:ptCount val="5"/>
                <c:pt idx="0">
                  <c:v>99.367088607594937</c:v>
                </c:pt>
                <c:pt idx="1">
                  <c:v>87.974683544303801</c:v>
                </c:pt>
                <c:pt idx="2">
                  <c:v>82.911392405063282</c:v>
                </c:pt>
                <c:pt idx="3">
                  <c:v>72.784810126582272</c:v>
                </c:pt>
                <c:pt idx="4">
                  <c:v>56.962025316455701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F-4B5F-A012-161CDEA1C671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all'!$V$18,'pre-compute all'!$V$27,'pre-compute all'!$V$36,'pre-compute all'!$V$45,'pre-compute all'!$V$54)</c:f>
              <c:numCache>
                <c:formatCode>General</c:formatCode>
                <c:ptCount val="5"/>
                <c:pt idx="0">
                  <c:v>25</c:v>
                </c:pt>
                <c:pt idx="1">
                  <c:v>52.272727272727273</c:v>
                </c:pt>
                <c:pt idx="2">
                  <c:v>60.227272727272727</c:v>
                </c:pt>
                <c:pt idx="3">
                  <c:v>77.272727272727266</c:v>
                </c:pt>
                <c:pt idx="4">
                  <c:v>92.61363636363636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F-4B5F-A012-161CDEA1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6240"/>
        <c:axId val="210187776"/>
      </c:lineChart>
      <c:catAx>
        <c:axId val="2101862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7776"/>
        <c:crosses val="autoZero"/>
        <c:auto val="1"/>
        <c:lblAlgn val="ctr"/>
        <c:lblOffset val="100"/>
        <c:noMultiLvlLbl val="0"/>
      </c:catAx>
      <c:valAx>
        <c:axId val="2101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* T5</a:t>
            </a:r>
            <a:r>
              <a:rPr lang="fr-BE" baseline="0"/>
              <a:t> + refine (total)</a:t>
            </a:r>
            <a:r>
              <a:rPr lang="fr-BE"/>
              <a:t> 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'!$AY$154:$BB$154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DCD-A6AE-E7685CE3A53B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'!$AY$152:$BB$152</c:f>
              <c:numCache>
                <c:formatCode>General</c:formatCode>
                <c:ptCount val="4"/>
                <c:pt idx="0">
                  <c:v>-15</c:v>
                </c:pt>
                <c:pt idx="1">
                  <c:v>-14</c:v>
                </c:pt>
                <c:pt idx="2">
                  <c:v>-6</c:v>
                </c:pt>
                <c:pt idx="3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DCD-A6AE-E7685CE3A53B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'!$AY$153:$BB$153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8-4DCD-A6AE-E7685CE3A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C88-4DCD-A6AE-E7685CE3A53B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88-4DCD-A6AE-E7685CE3A53B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88-4DCD-A6AE-E7685CE3A53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88-4DCD-A6AE-E7685CE3A53B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!= T1*T2 * T5</a:t>
            </a:r>
            <a:r>
              <a:rPr lang="fr-BE" baseline="0"/>
              <a:t> + refine (total)</a:t>
            </a:r>
            <a:r>
              <a:rPr lang="fr-BE"/>
              <a:t> </a:t>
            </a:r>
          </a:p>
        </c:rich>
      </c:tx>
      <c:layout>
        <c:manualLayout>
          <c:xMode val="edge"/>
          <c:yMode val="edge"/>
          <c:x val="0.25033078497451899"/>
          <c:y val="5.4321196391176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'Batch no BSV and &gt;5 reads '!$X$119</c:f>
              <c:strCache>
                <c:ptCount val="1"/>
                <c:pt idx="0">
                  <c:v>successful classification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'!$AY$154:$BB$154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8-4C65-945A-1B2F71DA11E2}"/>
            </c:ext>
          </c:extLst>
        </c:ser>
        <c:ser>
          <c:idx val="5"/>
          <c:order val="5"/>
          <c:tx>
            <c:strRef>
              <c:f>'Batch no BSV and &gt;5 reads '!$X$117</c:f>
              <c:strCache>
                <c:ptCount val="1"/>
                <c:pt idx="0">
                  <c:v>grey area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'!$AY$152:$BB$152</c:f>
              <c:numCache>
                <c:formatCode>General</c:formatCode>
                <c:ptCount val="4"/>
                <c:pt idx="0">
                  <c:v>-15</c:v>
                </c:pt>
                <c:pt idx="1">
                  <c:v>-14</c:v>
                </c:pt>
                <c:pt idx="2">
                  <c:v>-6</c:v>
                </c:pt>
                <c:pt idx="3">
                  <c:v>-51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8-4C65-945A-1B2F71DA11E2}"/>
            </c:ext>
          </c:extLst>
        </c:ser>
        <c:ser>
          <c:idx val="6"/>
          <c:order val="6"/>
          <c:tx>
            <c:strRef>
              <c:f>'Batch no BSV and &gt;5 reads '!$X$118</c:f>
              <c:strCache>
                <c:ptCount val="1"/>
                <c:pt idx="0">
                  <c:v>wrongly categorize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'Batch no BSV and &gt;5 reads '!$AY$153:$BB$153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8-4C65-945A-1B2F71DA11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3021312"/>
        <c:axId val="22303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'Batch no BSV and &gt;5 reads '!$Q$56</c15:sqref>
                        </c15:formulaRef>
                      </c:ext>
                    </c:extLst>
                    <c:strCache>
                      <c:ptCount val="1"/>
                      <c:pt idx="0">
                        <c:v>nb correct conta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'Batch no BSV and &gt;5 reads '!$R$56:$U$56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088-4C65-945A-1B2F71DA11E2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'!$Q$58</c15:sqref>
                        </c15:formulaRef>
                      </c:ext>
                    </c:extLst>
                    <c:strCache>
                      <c:ptCount val="1"/>
                      <c:pt idx="0">
                        <c:v>nb categorize conta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'!$R$58:$U$58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88-4C65-945A-1B2F71DA11E2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'!$Q$110</c15:sqref>
                        </c15:formulaRef>
                      </c:ext>
                    </c:extLst>
                    <c:strCache>
                      <c:ptCount val="1"/>
                      <c:pt idx="0">
                        <c:v>nb conta categorize both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'!$Y$110:$AB$110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21</c:v>
                      </c:pt>
                      <c:pt idx="2">
                        <c:v>39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88-4C65-945A-1B2F71DA11E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nb conta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'Batch no BSV and &gt;5 reads '!$R$60:$U$60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21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88-4C65-945A-1B2F71DA11E2}"/>
                  </c:ext>
                </c:extLst>
              </c15:ser>
            </c15:filteredBarSeries>
          </c:ext>
        </c:extLst>
      </c:barChart>
      <c:catAx>
        <c:axId val="2230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9488"/>
        <c:crosses val="autoZero"/>
        <c:auto val="1"/>
        <c:lblAlgn val="ctr"/>
        <c:lblOffset val="100"/>
        <c:noMultiLvlLbl val="0"/>
      </c:catAx>
      <c:valAx>
        <c:axId val="2230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all'!$W$12,'pre-compute all'!$W$21,'pre-compute all'!$W$30,'pre-compute all'!$W$39,'pre-compute all'!$W$48)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1.8</c:v>
                </c:pt>
                <c:pt idx="3">
                  <c:v>1.3</c:v>
                </c:pt>
                <c:pt idx="4">
                  <c:v>0.5</c:v>
                </c:pt>
              </c:numCache>
            </c:numRef>
          </c:cat>
          <c:val>
            <c:numRef>
              <c:f>('pre-compute all'!$W$14,'pre-compute all'!$W$23,'pre-compute all'!$W$32,'pre-compute all'!$W$41,'pre-compute all'!$W$50)</c:f>
              <c:numCache>
                <c:formatCode>General</c:formatCode>
                <c:ptCount val="5"/>
                <c:pt idx="0">
                  <c:v>96.835443037974684</c:v>
                </c:pt>
                <c:pt idx="1">
                  <c:v>91.139240506329116</c:v>
                </c:pt>
                <c:pt idx="2">
                  <c:v>78.48101265822784</c:v>
                </c:pt>
                <c:pt idx="3">
                  <c:v>74.050632911392398</c:v>
                </c:pt>
                <c:pt idx="4">
                  <c:v>63.291139240506332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E-477D-8BC6-F6320FF9009A}"/>
            </c:ext>
          </c:extLst>
        </c:ser>
        <c:ser>
          <c:idx val="1"/>
          <c:order val="1"/>
          <c:tx>
            <c:v>True Negative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all'!$W$18,'pre-compute all'!$W$27,'pre-compute all'!$W$36,'pre-compute all'!$W$45,'pre-compute all'!$W$54)</c:f>
              <c:numCache>
                <c:formatCode>General</c:formatCode>
                <c:ptCount val="5"/>
                <c:pt idx="0">
                  <c:v>56.81818181818182</c:v>
                </c:pt>
                <c:pt idx="1">
                  <c:v>65.909090909090907</c:v>
                </c:pt>
                <c:pt idx="2">
                  <c:v>75</c:v>
                </c:pt>
                <c:pt idx="3">
                  <c:v>80.11363636363636</c:v>
                </c:pt>
                <c:pt idx="4">
                  <c:v>88.068181818181827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E-477D-8BC6-F6320FF9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5504"/>
        <c:axId val="210247040"/>
      </c:lineChart>
      <c:catAx>
        <c:axId val="2102455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7040"/>
        <c:crosses val="autoZero"/>
        <c:auto val="1"/>
        <c:lblAlgn val="ctr"/>
        <c:lblOffset val="100"/>
        <c:noMultiLvlLbl val="0"/>
      </c:catAx>
      <c:valAx>
        <c:axId val="210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6937882764655"/>
          <c:y val="0.53319371536891225"/>
          <c:w val="0.2256395450568678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BATCH</a:t>
            </a:r>
            <a:r>
              <a:rPr lang="fr-BE" baseline="0"/>
              <a:t> 1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'pre-compute target'!$O$11</c:f>
              <c:strCache>
                <c:ptCount val="1"/>
                <c:pt idx="0">
                  <c:v>contamination 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target'!$O$12,'pre-compute target'!$O$21,'pre-compute target'!$O$30,'pre-compute target'!$O$39,'pre-compute target'!$O$48)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target'!$O$14,'pre-compute target'!$O$23,'pre-compute target'!$O$32,'pre-compute target'!$O$41,'pre-compute target'!$O$50)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97.142857142857139</c:v>
                </c:pt>
                <c:pt idx="3">
                  <c:v>71.428571428571431</c:v>
                </c:pt>
                <c:pt idx="4">
                  <c:v>51.428571428571423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6-4A4E-BE36-2C7BD38137A4}"/>
            </c:ext>
          </c:extLst>
        </c:ser>
        <c:ser>
          <c:idx val="1"/>
          <c:order val="1"/>
          <c:tx>
            <c:strRef>
              <c:f>'pre-compute target'!$O$15</c:f>
              <c:strCache>
                <c:ptCount val="1"/>
                <c:pt idx="0">
                  <c:v>infection detected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172922134733164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46-4A4E-BE36-2C7BD38137A4}"/>
                </c:ext>
              </c:extLst>
            </c:dLbl>
            <c:dLbl>
              <c:idx val="3"/>
              <c:layout>
                <c:manualLayout>
                  <c:x val="-8.4506999125109367E-2"/>
                  <c:y val="-9.487277631962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46-4A4E-BE36-2C7BD3813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target'!$O$18,'pre-compute target'!$O$27,'pre-compute target'!$O$36,'pre-compute target'!$O$45,'pre-compute target'!$O$54)</c:f>
              <c:numCache>
                <c:formatCode>General</c:formatCode>
                <c:ptCount val="5"/>
                <c:pt idx="0">
                  <c:v>35.483870967741936</c:v>
                </c:pt>
                <c:pt idx="1">
                  <c:v>70.967741935483872</c:v>
                </c:pt>
                <c:pt idx="2">
                  <c:v>90.322580645161281</c:v>
                </c:pt>
                <c:pt idx="3">
                  <c:v>96.774193548387103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6-4A4E-BE36-2C7BD3813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53888"/>
        <c:axId val="210855424"/>
      </c:lineChart>
      <c:catAx>
        <c:axId val="210853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5424"/>
        <c:crosses val="autoZero"/>
        <c:auto val="1"/>
        <c:lblAlgn val="ctr"/>
        <c:lblOffset val="100"/>
        <c:noMultiLvlLbl val="0"/>
      </c:catAx>
      <c:valAx>
        <c:axId val="2108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BATCH</a:t>
            </a:r>
            <a:r>
              <a:rPr lang="fr-BE" baseline="0"/>
              <a:t> 2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'pre-compute target'!$O$11</c:f>
              <c:strCache>
                <c:ptCount val="1"/>
                <c:pt idx="0">
                  <c:v>contamination 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target'!$O$12,'pre-compute target'!$O$21,'pre-compute target'!$O$30,'pre-compute target'!$O$39,'pre-compute target'!$O$48)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target'!$P$14,'pre-compute target'!$P$23,'pre-compute target'!$P$32,'pre-compute target'!$P$41,'pre-compute target'!$P$50)</c:f>
              <c:numCache>
                <c:formatCode>General</c:formatCode>
                <c:ptCount val="5"/>
                <c:pt idx="0">
                  <c:v>100</c:v>
                </c:pt>
                <c:pt idx="1">
                  <c:v>97.560975609756099</c:v>
                </c:pt>
                <c:pt idx="2">
                  <c:v>87.804878048780495</c:v>
                </c:pt>
                <c:pt idx="3">
                  <c:v>68.292682926829272</c:v>
                </c:pt>
                <c:pt idx="4">
                  <c:v>56.09756097560976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4-4189-A446-0DAFF694052C}"/>
            </c:ext>
          </c:extLst>
        </c:ser>
        <c:ser>
          <c:idx val="1"/>
          <c:order val="1"/>
          <c:tx>
            <c:strRef>
              <c:f>'pre-compute target'!$O$15</c:f>
              <c:strCache>
                <c:ptCount val="1"/>
                <c:pt idx="0">
                  <c:v>infection detected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172922134733164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04-4189-A446-0DAFF6940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target'!$P$18,'pre-compute target'!$P$27,'pre-compute target'!$P$36,'pre-compute target'!$P$45,'pre-compute target'!$P$54)</c:f>
              <c:numCache>
                <c:formatCode>General</c:formatCode>
                <c:ptCount val="5"/>
                <c:pt idx="0">
                  <c:v>43.75</c:v>
                </c:pt>
                <c:pt idx="1">
                  <c:v>56.25</c:v>
                </c:pt>
                <c:pt idx="2">
                  <c:v>81.25</c:v>
                </c:pt>
                <c:pt idx="3">
                  <c:v>93.75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4-4189-A446-0DAFF6940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768640"/>
        <c:axId val="210770176"/>
      </c:lineChart>
      <c:catAx>
        <c:axId val="2107686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0176"/>
        <c:crosses val="autoZero"/>
        <c:auto val="1"/>
        <c:lblAlgn val="ctr"/>
        <c:lblOffset val="100"/>
        <c:noMultiLvlLbl val="0"/>
      </c:catAx>
      <c:valAx>
        <c:axId val="2107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BATCH</a:t>
            </a:r>
            <a:r>
              <a:rPr lang="fr-BE" baseline="0"/>
              <a:t> 3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'pre-compute target'!$O$11</c:f>
              <c:strCache>
                <c:ptCount val="1"/>
                <c:pt idx="0">
                  <c:v>contamination 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target'!$O$12,'pre-compute target'!$O$21,'pre-compute target'!$O$30,'pre-compute target'!$O$39,'pre-compute target'!$O$48)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target'!$Q$14,'pre-compute target'!$Q$23,'pre-compute target'!$Q$32,'pre-compute target'!$Q$41,'pre-compute target'!$Q$50)</c:f>
              <c:numCache>
                <c:formatCode>General</c:formatCode>
                <c:ptCount val="5"/>
                <c:pt idx="0">
                  <c:v>100</c:v>
                </c:pt>
                <c:pt idx="1">
                  <c:v>98.275862068965509</c:v>
                </c:pt>
                <c:pt idx="2">
                  <c:v>87.931034482758619</c:v>
                </c:pt>
                <c:pt idx="3">
                  <c:v>79.310344827586206</c:v>
                </c:pt>
                <c:pt idx="4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8-4B05-B205-F078837FDF1A}"/>
            </c:ext>
          </c:extLst>
        </c:ser>
        <c:ser>
          <c:idx val="1"/>
          <c:order val="1"/>
          <c:tx>
            <c:strRef>
              <c:f>'pre-compute target'!$O$15</c:f>
              <c:strCache>
                <c:ptCount val="1"/>
                <c:pt idx="0">
                  <c:v>infection detected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172922134733164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28-4B05-B205-F078837FD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target'!$Q$18,'pre-compute target'!$Q$27,'pre-compute target'!$Q$36,'pre-compute target'!$Q$45,'pre-compute target'!$Q$54)</c:f>
              <c:numCache>
                <c:formatCode>General</c:formatCode>
                <c:ptCount val="5"/>
                <c:pt idx="0">
                  <c:v>20.588235294117645</c:v>
                </c:pt>
                <c:pt idx="1">
                  <c:v>64.705882352941174</c:v>
                </c:pt>
                <c:pt idx="2">
                  <c:v>94.117647058823522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8-4B05-B205-F078837FDF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520512"/>
        <c:axId val="209521280"/>
      </c:lineChart>
      <c:catAx>
        <c:axId val="2095205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1280"/>
        <c:crosses val="autoZero"/>
        <c:auto val="1"/>
        <c:lblAlgn val="ctr"/>
        <c:lblOffset val="100"/>
        <c:noMultiLvlLbl val="0"/>
      </c:catAx>
      <c:valAx>
        <c:axId val="2095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BATCH</a:t>
            </a:r>
            <a:r>
              <a:rPr lang="fr-BE" baseline="0"/>
              <a:t> 4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'pre-compute target'!$O$11</c:f>
              <c:strCache>
                <c:ptCount val="1"/>
                <c:pt idx="0">
                  <c:v>contamination detected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('pre-compute target'!$O$12,'pre-compute target'!$O$21,'pre-compute target'!$O$30,'pre-compute target'!$O$39,'pre-compute target'!$O$48)</c:f>
              <c:numCache>
                <c:formatCode>General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1E-4</c:v>
                </c:pt>
              </c:numCache>
            </c:numRef>
          </c:cat>
          <c:val>
            <c:numRef>
              <c:f>('pre-compute target'!$R$14,'pre-compute target'!$R$23,'pre-compute target'!$R$32,'pre-compute target'!$R$41,'pre-compute target'!$R$50)</c:f>
              <c:numCache>
                <c:formatCode>General</c:formatCode>
                <c:ptCount val="5"/>
                <c:pt idx="0">
                  <c:v>100</c:v>
                </c:pt>
                <c:pt idx="1">
                  <c:v>91.666666666666657</c:v>
                </c:pt>
                <c:pt idx="2">
                  <c:v>79.166666666666657</c:v>
                </c:pt>
                <c:pt idx="3">
                  <c:v>70.833333333333343</c:v>
                </c:pt>
                <c:pt idx="4">
                  <c:v>45.833333333333329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9-4529-BACD-0473B0D11598}"/>
            </c:ext>
          </c:extLst>
        </c:ser>
        <c:ser>
          <c:idx val="1"/>
          <c:order val="1"/>
          <c:tx>
            <c:strRef>
              <c:f>'pre-compute target'!$O$15</c:f>
              <c:strCache>
                <c:ptCount val="1"/>
                <c:pt idx="0">
                  <c:v>infection detected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172922134733164E-2"/>
                  <c:y val="2.5497594050743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69-4529-BACD-0473B0D115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('pre-compute target'!$R$18,'pre-compute target'!$R$27,'pre-compute target'!$R$36,'pre-compute target'!$R$45,'pre-compute target'!$R$54)</c:f>
              <c:numCache>
                <c:formatCode>General</c:formatCode>
                <c:ptCount val="5"/>
                <c:pt idx="0">
                  <c:v>10.526315789473683</c:v>
                </c:pt>
                <c:pt idx="1">
                  <c:v>22.105263157894736</c:v>
                </c:pt>
                <c:pt idx="2">
                  <c:v>48.421052631578945</c:v>
                </c:pt>
                <c:pt idx="3">
                  <c:v>74.73684210526315</c:v>
                </c:pt>
                <c:pt idx="4">
                  <c:v>96.84210526315789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9-4529-BACD-0473B0D115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04736"/>
        <c:axId val="210806272"/>
      </c:lineChart>
      <c:catAx>
        <c:axId val="2108047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6272"/>
        <c:crosses val="autoZero"/>
        <c:auto val="1"/>
        <c:lblAlgn val="ctr"/>
        <c:lblOffset val="100"/>
        <c:noMultiLvlLbl val="0"/>
      </c:catAx>
      <c:valAx>
        <c:axId val="2108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26" Type="http://schemas.openxmlformats.org/officeDocument/2006/relationships/chart" Target="../charts/chart35.xml"/><Relationship Id="rId3" Type="http://schemas.openxmlformats.org/officeDocument/2006/relationships/chart" Target="../charts/chart12.xml"/><Relationship Id="rId21" Type="http://schemas.openxmlformats.org/officeDocument/2006/relationships/chart" Target="../charts/chart30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5" Type="http://schemas.openxmlformats.org/officeDocument/2006/relationships/chart" Target="../charts/chart34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29" Type="http://schemas.openxmlformats.org/officeDocument/2006/relationships/chart" Target="../charts/chart38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24" Type="http://schemas.openxmlformats.org/officeDocument/2006/relationships/chart" Target="../charts/chart33.xml"/><Relationship Id="rId32" Type="http://schemas.openxmlformats.org/officeDocument/2006/relationships/chart" Target="../charts/chart41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23" Type="http://schemas.openxmlformats.org/officeDocument/2006/relationships/chart" Target="../charts/chart32.xml"/><Relationship Id="rId28" Type="http://schemas.openxmlformats.org/officeDocument/2006/relationships/chart" Target="../charts/chart37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31" Type="http://schemas.openxmlformats.org/officeDocument/2006/relationships/chart" Target="../charts/chart40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Relationship Id="rId22" Type="http://schemas.openxmlformats.org/officeDocument/2006/relationships/chart" Target="../charts/chart31.xml"/><Relationship Id="rId27" Type="http://schemas.openxmlformats.org/officeDocument/2006/relationships/chart" Target="../charts/chart36.xml"/><Relationship Id="rId30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494177</xdr:colOff>
      <xdr:row>0</xdr:row>
      <xdr:rowOff>268380</xdr:rowOff>
    </xdr:from>
    <xdr:to>
      <xdr:col>36</xdr:col>
      <xdr:colOff>225236</xdr:colOff>
      <xdr:row>8</xdr:row>
      <xdr:rowOff>187698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D7D6C-F1B9-4940-8A3A-B1A3EFBC1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254373</xdr:colOff>
      <xdr:row>8</xdr:row>
      <xdr:rowOff>182095</xdr:rowOff>
    </xdr:from>
    <xdr:to>
      <xdr:col>35</xdr:col>
      <xdr:colOff>595032</xdr:colOff>
      <xdr:row>22</xdr:row>
      <xdr:rowOff>103093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8BDA2-0FF5-42AA-92BA-8ABFB3CF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146235</xdr:colOff>
      <xdr:row>23</xdr:row>
      <xdr:rowOff>110938</xdr:rowOff>
    </xdr:from>
    <xdr:to>
      <xdr:col>35</xdr:col>
      <xdr:colOff>486894</xdr:colOff>
      <xdr:row>37</xdr:row>
      <xdr:rowOff>31936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366FAB-56CD-48BA-A350-4C0B3B805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244288</xdr:colOff>
      <xdr:row>38</xdr:row>
      <xdr:rowOff>110937</xdr:rowOff>
    </xdr:from>
    <xdr:to>
      <xdr:col>33</xdr:col>
      <xdr:colOff>580465</xdr:colOff>
      <xdr:row>52</xdr:row>
      <xdr:rowOff>31936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8F20C7-BA65-414D-8CED-986106E41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139513</xdr:colOff>
      <xdr:row>52</xdr:row>
      <xdr:rowOff>194981</xdr:rowOff>
    </xdr:from>
    <xdr:to>
      <xdr:col>33</xdr:col>
      <xdr:colOff>475690</xdr:colOff>
      <xdr:row>66</xdr:row>
      <xdr:rowOff>115980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C393D9-3556-4E7D-844F-C6800954D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4</xdr:row>
      <xdr:rowOff>52387</xdr:rowOff>
    </xdr:from>
    <xdr:to>
      <xdr:col>25</xdr:col>
      <xdr:colOff>542925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B3AA5-DF33-44AC-AAF8-4E1D1BEF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276225</xdr:colOff>
      <xdr:row>18</xdr:row>
      <xdr:rowOff>152400</xdr:rowOff>
    </xdr:from>
    <xdr:to>
      <xdr:col>25</xdr:col>
      <xdr:colOff>581025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A58B6-539A-4AC0-A67A-1E062FD4A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352425</xdr:colOff>
      <xdr:row>33</xdr:row>
      <xdr:rowOff>95250</xdr:rowOff>
    </xdr:from>
    <xdr:to>
      <xdr:col>26</xdr:col>
      <xdr:colOff>47625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4AF3C0-9ADC-4FA6-9DB0-80C98F0B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48</xdr:row>
      <xdr:rowOff>0</xdr:rowOff>
    </xdr:from>
    <xdr:to>
      <xdr:col>26</xdr:col>
      <xdr:colOff>28575</xdr:colOff>
      <xdr:row>61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D259C-0B0F-4AC9-BFF4-BCCCA65D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414619</xdr:colOff>
      <xdr:row>61</xdr:row>
      <xdr:rowOff>43702</xdr:rowOff>
    </xdr:from>
    <xdr:to>
      <xdr:col>20</xdr:col>
      <xdr:colOff>685799</xdr:colOff>
      <xdr:row>71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C122C-10D2-4BA3-B3DF-1EC7948E2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807312</xdr:colOff>
      <xdr:row>61</xdr:row>
      <xdr:rowOff>174909</xdr:rowOff>
    </xdr:from>
    <xdr:to>
      <xdr:col>30</xdr:col>
      <xdr:colOff>33545</xdr:colOff>
      <xdr:row>70</xdr:row>
      <xdr:rowOff>183874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A69077-F0FE-4EBF-A9B7-F6119B016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211231</xdr:colOff>
      <xdr:row>88</xdr:row>
      <xdr:rowOff>150718</xdr:rowOff>
    </xdr:from>
    <xdr:to>
      <xdr:col>17</xdr:col>
      <xdr:colOff>297516</xdr:colOff>
      <xdr:row>97</xdr:row>
      <xdr:rowOff>179294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EAB15B-7898-4756-88D0-A2D9F84DD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663388</xdr:colOff>
      <xdr:row>91</xdr:row>
      <xdr:rowOff>180974</xdr:rowOff>
    </xdr:from>
    <xdr:to>
      <xdr:col>21</xdr:col>
      <xdr:colOff>885826</xdr:colOff>
      <xdr:row>102</xdr:row>
      <xdr:rowOff>22410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060FC-4846-4E0C-8A06-6072F859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28576</xdr:colOff>
      <xdr:row>116</xdr:row>
      <xdr:rowOff>171450</xdr:rowOff>
    </xdr:from>
    <xdr:to>
      <xdr:col>17</xdr:col>
      <xdr:colOff>685800</xdr:colOff>
      <xdr:row>128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D11673-1CA2-452C-B893-BEF5FAA7F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819152</xdr:colOff>
      <xdr:row>116</xdr:row>
      <xdr:rowOff>180975</xdr:rowOff>
    </xdr:from>
    <xdr:to>
      <xdr:col>22</xdr:col>
      <xdr:colOff>19050</xdr:colOff>
      <xdr:row>128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19FD21-86CC-4232-8F0F-C9038D969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289673</xdr:colOff>
      <xdr:row>119</xdr:row>
      <xdr:rowOff>59391</xdr:rowOff>
    </xdr:from>
    <xdr:to>
      <xdr:col>25</xdr:col>
      <xdr:colOff>547409</xdr:colOff>
      <xdr:row>130</xdr:row>
      <xdr:rowOff>158003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FC98ED-5D9A-4BEC-8BD0-CFCDFC978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313766</xdr:colOff>
      <xdr:row>119</xdr:row>
      <xdr:rowOff>89647</xdr:rowOff>
    </xdr:from>
    <xdr:to>
      <xdr:col>28</xdr:col>
      <xdr:colOff>572622</xdr:colOff>
      <xdr:row>131</xdr:row>
      <xdr:rowOff>13447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941120-4C66-4233-AC6C-2F9DDC698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486605</xdr:colOff>
      <xdr:row>146</xdr:row>
      <xdr:rowOff>75371</xdr:rowOff>
    </xdr:from>
    <xdr:to>
      <xdr:col>17</xdr:col>
      <xdr:colOff>554935</xdr:colOff>
      <xdr:row>157</xdr:row>
      <xdr:rowOff>149086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6BA5BC-4860-4F6B-B0B5-02954AF6C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727214</xdr:colOff>
      <xdr:row>146</xdr:row>
      <xdr:rowOff>61291</xdr:rowOff>
    </xdr:from>
    <xdr:to>
      <xdr:col>21</xdr:col>
      <xdr:colOff>331305</xdr:colOff>
      <xdr:row>157</xdr:row>
      <xdr:rowOff>171863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CFDB74-001C-4837-A0C6-F437D61E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468576</xdr:colOff>
      <xdr:row>119</xdr:row>
      <xdr:rowOff>165142</xdr:rowOff>
    </xdr:from>
    <xdr:to>
      <xdr:col>34</xdr:col>
      <xdr:colOff>137954</xdr:colOff>
      <xdr:row>131</xdr:row>
      <xdr:rowOff>76808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13D51E-36C5-423D-8248-259467C9E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25</xdr:col>
      <xdr:colOff>695325</xdr:colOff>
      <xdr:row>95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CA94BE-236D-41BF-8ED6-C6DB58169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544703</xdr:colOff>
      <xdr:row>138</xdr:row>
      <xdr:rowOff>123755</xdr:rowOff>
    </xdr:from>
    <xdr:to>
      <xdr:col>25</xdr:col>
      <xdr:colOff>314446</xdr:colOff>
      <xdr:row>150</xdr:row>
      <xdr:rowOff>22268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19667AC-2445-47FD-8772-ABB3933C0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277062</xdr:colOff>
      <xdr:row>170</xdr:row>
      <xdr:rowOff>170849</xdr:rowOff>
    </xdr:from>
    <xdr:to>
      <xdr:col>25</xdr:col>
      <xdr:colOff>1040393</xdr:colOff>
      <xdr:row>182</xdr:row>
      <xdr:rowOff>113698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3B98124-9760-467C-9646-656E276F7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1047750</xdr:colOff>
      <xdr:row>173</xdr:row>
      <xdr:rowOff>152400</xdr:rowOff>
    </xdr:from>
    <xdr:to>
      <xdr:col>21</xdr:col>
      <xdr:colOff>651841</xdr:colOff>
      <xdr:row>185</xdr:row>
      <xdr:rowOff>91522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B681171-1A7D-47D9-92E8-CD40A6492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133350</xdr:colOff>
      <xdr:row>173</xdr:row>
      <xdr:rowOff>171450</xdr:rowOff>
    </xdr:from>
    <xdr:to>
      <xdr:col>17</xdr:col>
      <xdr:colOff>811280</xdr:colOff>
      <xdr:row>185</xdr:row>
      <xdr:rowOff>73715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6EECAC-42B3-4677-9965-10B05EC6B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9525</xdr:colOff>
      <xdr:row>192</xdr:row>
      <xdr:rowOff>57150</xdr:rowOff>
    </xdr:from>
    <xdr:to>
      <xdr:col>25</xdr:col>
      <xdr:colOff>722243</xdr:colOff>
      <xdr:row>204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CA6E93A-DE33-4101-9D56-F1F768DE1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1009650</xdr:colOff>
      <xdr:row>200</xdr:row>
      <xdr:rowOff>180975</xdr:rowOff>
    </xdr:from>
    <xdr:to>
      <xdr:col>21</xdr:col>
      <xdr:colOff>613741</xdr:colOff>
      <xdr:row>212</xdr:row>
      <xdr:rowOff>120097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92E05A5-B5F4-455E-B3E9-248D96639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347382</xdr:colOff>
      <xdr:row>201</xdr:row>
      <xdr:rowOff>112058</xdr:rowOff>
    </xdr:from>
    <xdr:to>
      <xdr:col>17</xdr:col>
      <xdr:colOff>1025312</xdr:colOff>
      <xdr:row>213</xdr:row>
      <xdr:rowOff>14324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1880E6C-7C83-4DBE-8332-6CCC8A68C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941295</xdr:colOff>
      <xdr:row>92</xdr:row>
      <xdr:rowOff>49866</xdr:rowOff>
    </xdr:from>
    <xdr:to>
      <xdr:col>30</xdr:col>
      <xdr:colOff>1106020</xdr:colOff>
      <xdr:row>101</xdr:row>
      <xdr:rowOff>78442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FE31FEC-B776-46DB-B8AF-AFE89E056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1303804</xdr:colOff>
      <xdr:row>91</xdr:row>
      <xdr:rowOff>136151</xdr:rowOff>
    </xdr:from>
    <xdr:to>
      <xdr:col>36</xdr:col>
      <xdr:colOff>125508</xdr:colOff>
      <xdr:row>101</xdr:row>
      <xdr:rowOff>179293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ED6EC72-FE4F-418D-8CCC-8E1364A8E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349064</xdr:colOff>
      <xdr:row>87</xdr:row>
      <xdr:rowOff>100853</xdr:rowOff>
    </xdr:from>
    <xdr:to>
      <xdr:col>41</xdr:col>
      <xdr:colOff>1548653</xdr:colOff>
      <xdr:row>99</xdr:row>
      <xdr:rowOff>42022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B9CC30-E85C-4944-BAD5-0A97D632D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224119</xdr:colOff>
      <xdr:row>119</xdr:row>
      <xdr:rowOff>190500</xdr:rowOff>
    </xdr:from>
    <xdr:to>
      <xdr:col>40</xdr:col>
      <xdr:colOff>868408</xdr:colOff>
      <xdr:row>131</xdr:row>
      <xdr:rowOff>102166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0501A8D-7182-43EC-BC4B-9A5F78C6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0</xdr:colOff>
      <xdr:row>120</xdr:row>
      <xdr:rowOff>0</xdr:rowOff>
    </xdr:from>
    <xdr:to>
      <xdr:col>48</xdr:col>
      <xdr:colOff>128819</xdr:colOff>
      <xdr:row>131</xdr:row>
      <xdr:rowOff>113372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AF76F5B-6549-4884-A2FC-FB9D76535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54428</xdr:colOff>
      <xdr:row>151</xdr:row>
      <xdr:rowOff>136071</xdr:rowOff>
    </xdr:from>
    <xdr:to>
      <xdr:col>39</xdr:col>
      <xdr:colOff>526300</xdr:colOff>
      <xdr:row>163</xdr:row>
      <xdr:rowOff>59077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8F3B8C8-A7F5-4AF3-9DBE-FBED87F6A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41</xdr:col>
      <xdr:colOff>1193346</xdr:colOff>
      <xdr:row>155</xdr:row>
      <xdr:rowOff>145595</xdr:rowOff>
    </xdr:from>
    <xdr:to>
      <xdr:col>47</xdr:col>
      <xdr:colOff>403835</xdr:colOff>
      <xdr:row>167</xdr:row>
      <xdr:rowOff>68602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15E4AC0-F49C-4881-8734-301FE87C6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29</xdr:col>
      <xdr:colOff>870856</xdr:colOff>
      <xdr:row>187</xdr:row>
      <xdr:rowOff>149679</xdr:rowOff>
    </xdr:from>
    <xdr:to>
      <xdr:col>34</xdr:col>
      <xdr:colOff>81346</xdr:colOff>
      <xdr:row>199</xdr:row>
      <xdr:rowOff>78010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BD9DA06-D75A-4B71-8A85-2B50175CC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34</xdr:col>
      <xdr:colOff>394609</xdr:colOff>
      <xdr:row>187</xdr:row>
      <xdr:rowOff>136070</xdr:rowOff>
    </xdr:from>
    <xdr:to>
      <xdr:col>40</xdr:col>
      <xdr:colOff>244634</xdr:colOff>
      <xdr:row>199</xdr:row>
      <xdr:rowOff>64401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C6437B6-D47C-4316-B4D0-CD8423F17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34</xdr:col>
      <xdr:colOff>680356</xdr:colOff>
      <xdr:row>165</xdr:row>
      <xdr:rowOff>13607</xdr:rowOff>
    </xdr:from>
    <xdr:to>
      <xdr:col>40</xdr:col>
      <xdr:colOff>530381</xdr:colOff>
      <xdr:row>176</xdr:row>
      <xdr:rowOff>146045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28874A9-0E29-44A7-A05E-86C1B9D3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1183822</xdr:colOff>
      <xdr:row>167</xdr:row>
      <xdr:rowOff>27213</xdr:rowOff>
    </xdr:from>
    <xdr:to>
      <xdr:col>47</xdr:col>
      <xdr:colOff>380705</xdr:colOff>
      <xdr:row>178</xdr:row>
      <xdr:rowOff>159651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C1EBAE9-B63E-4B56-9557-924614D1C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1034142</xdr:colOff>
      <xdr:row>75</xdr:row>
      <xdr:rowOff>40821</xdr:rowOff>
    </xdr:from>
    <xdr:to>
      <xdr:col>41</xdr:col>
      <xdr:colOff>884167</xdr:colOff>
      <xdr:row>86</xdr:row>
      <xdr:rowOff>173259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C614AA6-168D-49B4-A940-D30DB3987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49</xdr:col>
      <xdr:colOff>122465</xdr:colOff>
      <xdr:row>159</xdr:row>
      <xdr:rowOff>13608</xdr:rowOff>
    </xdr:from>
    <xdr:to>
      <xdr:col>55</xdr:col>
      <xdr:colOff>394312</xdr:colOff>
      <xdr:row>170</xdr:row>
      <xdr:rowOff>146046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A5B1509-79ED-491D-9FF1-268EB2956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8AF8-1EDE-4A05-99BD-61768DB8633A}">
  <dimension ref="B1:D16"/>
  <sheetViews>
    <sheetView workbookViewId="0">
      <selection activeCell="B16" sqref="B16"/>
    </sheetView>
  </sheetViews>
  <sheetFormatPr defaultRowHeight="15"/>
  <cols>
    <col min="2" max="2" width="32.140625" bestFit="1" customWidth="1"/>
    <col min="3" max="3" width="53.28515625" bestFit="1" customWidth="1"/>
    <col min="4" max="4" width="22" bestFit="1" customWidth="1"/>
  </cols>
  <sheetData>
    <row r="1" spans="2:4">
      <c r="B1" t="s">
        <v>499</v>
      </c>
    </row>
    <row r="2" spans="2:4">
      <c r="B2" s="145" t="s">
        <v>498</v>
      </c>
      <c r="C2" s="145"/>
      <c r="D2" s="145"/>
    </row>
    <row r="3" spans="2:4">
      <c r="B3" s="145" t="s">
        <v>493</v>
      </c>
      <c r="C3" s="145" t="s">
        <v>497</v>
      </c>
      <c r="D3" s="145" t="s">
        <v>496</v>
      </c>
    </row>
    <row r="4" spans="2:4">
      <c r="B4" s="145" t="s">
        <v>490</v>
      </c>
      <c r="C4" s="145" t="s">
        <v>495</v>
      </c>
      <c r="D4" s="145">
        <v>68</v>
      </c>
    </row>
    <row r="5" spans="2:4">
      <c r="B5" s="145" t="s">
        <v>488</v>
      </c>
      <c r="C5" s="145" t="s">
        <v>487</v>
      </c>
      <c r="D5" s="145" t="s">
        <v>486</v>
      </c>
    </row>
    <row r="6" spans="2:4">
      <c r="B6" s="145" t="s">
        <v>485</v>
      </c>
      <c r="C6" s="145" t="s">
        <v>484</v>
      </c>
      <c r="D6" s="145">
        <v>5</v>
      </c>
    </row>
    <row r="7" spans="2:4">
      <c r="B7" s="145" t="s">
        <v>483</v>
      </c>
      <c r="C7" s="145" t="s">
        <v>482</v>
      </c>
      <c r="D7" s="145">
        <v>1</v>
      </c>
    </row>
    <row r="8" spans="2:4">
      <c r="B8" s="145"/>
      <c r="C8" s="145"/>
      <c r="D8" s="145"/>
    </row>
    <row r="9" spans="2:4">
      <c r="B9" s="145" t="s">
        <v>494</v>
      </c>
      <c r="C9" s="145"/>
      <c r="D9" s="145"/>
    </row>
    <row r="10" spans="2:4">
      <c r="B10" s="145" t="s">
        <v>493</v>
      </c>
      <c r="C10" s="145" t="s">
        <v>492</v>
      </c>
      <c r="D10" s="145" t="s">
        <v>491</v>
      </c>
    </row>
    <row r="11" spans="2:4">
      <c r="B11" s="145" t="s">
        <v>490</v>
      </c>
      <c r="C11" s="145" t="s">
        <v>489</v>
      </c>
      <c r="D11" s="145">
        <v>137</v>
      </c>
    </row>
    <row r="12" spans="2:4">
      <c r="B12" s="145" t="s">
        <v>488</v>
      </c>
      <c r="C12" s="145" t="s">
        <v>487</v>
      </c>
      <c r="D12" s="145" t="s">
        <v>486</v>
      </c>
    </row>
    <row r="13" spans="2:4">
      <c r="B13" s="145" t="s">
        <v>485</v>
      </c>
      <c r="C13" s="145" t="s">
        <v>484</v>
      </c>
      <c r="D13" s="145">
        <v>5</v>
      </c>
    </row>
    <row r="14" spans="2:4">
      <c r="B14" s="145" t="s">
        <v>483</v>
      </c>
      <c r="C14" s="145" t="s">
        <v>482</v>
      </c>
      <c r="D14" s="145">
        <v>1</v>
      </c>
    </row>
    <row r="15" spans="2:4">
      <c r="B15" s="145"/>
      <c r="C15" s="145"/>
      <c r="D15" s="145"/>
    </row>
    <row r="16" spans="2:4">
      <c r="B16" s="145" t="s">
        <v>481</v>
      </c>
      <c r="C16" s="145">
        <v>5000000</v>
      </c>
      <c r="D16" s="1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7"/>
  <sheetViews>
    <sheetView zoomScale="55" zoomScaleNormal="55" workbookViewId="0">
      <selection activeCell="B1" sqref="B1"/>
    </sheetView>
  </sheetViews>
  <sheetFormatPr defaultColWidth="8.7109375" defaultRowHeight="15.75"/>
  <cols>
    <col min="1" max="1" width="8.7109375" style="1"/>
    <col min="2" max="2" width="13.85546875" style="1" customWidth="1"/>
    <col min="3" max="3" width="27.28515625" style="1" customWidth="1"/>
    <col min="4" max="4" width="8.7109375" style="1"/>
    <col min="5" max="5" width="18" style="1" customWidth="1"/>
    <col min="6" max="6" width="8.7109375" style="2"/>
    <col min="7" max="7" width="13.140625" style="3" customWidth="1"/>
    <col min="8" max="8" width="12.5703125" style="1" customWidth="1"/>
    <col min="9" max="9" width="14" style="2" customWidth="1"/>
    <col min="10" max="10" width="23.28515625" style="2" customWidth="1"/>
    <col min="11" max="11" width="28.85546875" style="2" customWidth="1"/>
    <col min="12" max="12" width="14.140625" style="4" customWidth="1"/>
    <col min="13" max="13" width="16.7109375" style="1" customWidth="1"/>
    <col min="14" max="15" width="24.42578125" style="1" customWidth="1"/>
    <col min="16" max="16" width="13.5703125" style="1" customWidth="1"/>
    <col min="17" max="17" width="13.85546875" style="5" customWidth="1"/>
    <col min="18" max="18" width="14.42578125" style="1" customWidth="1"/>
    <col min="19" max="19" width="14.140625" style="1" customWidth="1"/>
    <col min="20" max="20" width="21.85546875" style="1" customWidth="1"/>
    <col min="21" max="21" width="14.42578125" style="1" customWidth="1"/>
    <col min="22" max="22" width="15.28515625" style="1" customWidth="1"/>
    <col min="23" max="23" width="8.7109375" style="1"/>
    <col min="24" max="24" width="17.28515625" style="1" customWidth="1"/>
    <col min="25" max="25" width="20.7109375" style="1" customWidth="1"/>
    <col min="26" max="16384" width="8.7109375" style="1"/>
  </cols>
  <sheetData>
    <row r="1" spans="1:25" s="6" customFormat="1" ht="51.6" customHeight="1">
      <c r="A1" s="1"/>
      <c r="B1" s="7" t="s">
        <v>500</v>
      </c>
      <c r="C1" s="6" t="s">
        <v>0</v>
      </c>
      <c r="D1" s="6" t="s">
        <v>1</v>
      </c>
      <c r="E1" s="6" t="s">
        <v>2</v>
      </c>
      <c r="F1" s="8" t="s">
        <v>3</v>
      </c>
      <c r="G1" s="9" t="s">
        <v>4</v>
      </c>
      <c r="H1" s="7" t="s">
        <v>5</v>
      </c>
      <c r="I1" s="10" t="s">
        <v>179</v>
      </c>
      <c r="J1" s="10" t="s">
        <v>182</v>
      </c>
      <c r="K1" s="10" t="s">
        <v>184</v>
      </c>
      <c r="L1" s="11" t="s">
        <v>7</v>
      </c>
      <c r="M1" s="7" t="s">
        <v>8</v>
      </c>
      <c r="N1" s="7" t="s">
        <v>180</v>
      </c>
      <c r="O1" s="7" t="s">
        <v>183</v>
      </c>
      <c r="P1" s="8" t="s">
        <v>3</v>
      </c>
      <c r="Q1" s="12" t="s">
        <v>4</v>
      </c>
      <c r="R1" s="7" t="s">
        <v>5</v>
      </c>
      <c r="S1" s="10" t="s">
        <v>6</v>
      </c>
      <c r="T1" s="10" t="s">
        <v>182</v>
      </c>
      <c r="U1" s="11" t="s">
        <v>7</v>
      </c>
      <c r="V1" s="7" t="s">
        <v>8</v>
      </c>
    </row>
    <row r="2" spans="1:25">
      <c r="B2" s="1" t="s">
        <v>14</v>
      </c>
      <c r="C2" s="8" t="s">
        <v>106</v>
      </c>
      <c r="D2" s="1">
        <v>1</v>
      </c>
      <c r="E2" s="1">
        <v>1</v>
      </c>
      <c r="F2" s="2">
        <v>20516.391874502759</v>
      </c>
      <c r="G2" s="3">
        <v>0.30890000000000001</v>
      </c>
      <c r="H2" s="1">
        <v>43.91076985854189</v>
      </c>
      <c r="I2" s="2">
        <v>5139</v>
      </c>
      <c r="J2" s="2">
        <f t="shared" ref="J2:J65" si="0">I2/N2</f>
        <v>1</v>
      </c>
      <c r="K2" s="2">
        <f t="shared" ref="K2:K65" si="1">I2/O2</f>
        <v>0.4086679920477137</v>
      </c>
      <c r="L2" s="4">
        <v>6.2600000000000004E-4</v>
      </c>
      <c r="M2" s="1">
        <v>2.4657959823721287E-5</v>
      </c>
      <c r="N2" s="13">
        <v>5139</v>
      </c>
      <c r="O2" s="13">
        <v>12575</v>
      </c>
    </row>
    <row r="3" spans="1:25">
      <c r="B3" s="1" t="s">
        <v>73</v>
      </c>
      <c r="C3" s="8" t="s">
        <v>144</v>
      </c>
      <c r="D3" s="1">
        <v>1</v>
      </c>
      <c r="E3" s="1">
        <v>1</v>
      </c>
      <c r="F3" s="2">
        <v>94021.777330227487</v>
      </c>
      <c r="G3" s="3">
        <v>1</v>
      </c>
      <c r="H3" s="1">
        <v>1671.7692101740295</v>
      </c>
      <c r="I3" s="2">
        <v>257855</v>
      </c>
      <c r="J3" s="2">
        <f t="shared" si="0"/>
        <v>1</v>
      </c>
      <c r="K3" s="2">
        <f t="shared" si="1"/>
        <v>0.45567645036960591</v>
      </c>
      <c r="L3" s="4">
        <v>3.2150999999999999E-2</v>
      </c>
      <c r="M3" s="1">
        <v>1.2365111080423015E-3</v>
      </c>
      <c r="N3" s="13">
        <v>257855</v>
      </c>
      <c r="O3" s="13">
        <v>565873</v>
      </c>
    </row>
    <row r="4" spans="1:25">
      <c r="B4" s="1" t="s">
        <v>120</v>
      </c>
      <c r="C4" s="8" t="s">
        <v>142</v>
      </c>
      <c r="D4" s="1">
        <v>1</v>
      </c>
      <c r="E4" s="1">
        <v>1</v>
      </c>
      <c r="F4" s="2">
        <v>158.00471481965002</v>
      </c>
      <c r="G4" s="3">
        <v>0.47620000000000001</v>
      </c>
      <c r="H4" s="1">
        <v>1.5322951844903063</v>
      </c>
      <c r="I4" s="2">
        <v>154</v>
      </c>
      <c r="J4" s="2">
        <f t="shared" si="0"/>
        <v>1</v>
      </c>
      <c r="K4" s="2">
        <f t="shared" si="1"/>
        <v>0.64435146443514646</v>
      </c>
      <c r="L4" s="4">
        <v>1.5999999999999999E-5</v>
      </c>
      <c r="M4" s="1">
        <v>7.3932948404679092E-7</v>
      </c>
      <c r="N4" s="1">
        <v>154</v>
      </c>
      <c r="O4" s="1">
        <v>239</v>
      </c>
      <c r="P4" s="1" t="e">
        <f>AVERAGE(F4:'Batch no BSV and &gt;5 reads '!Y55F6)</f>
        <v>#NAME?</v>
      </c>
      <c r="Q4" s="3">
        <f>AVERAGE(G4:G6)</f>
        <v>0.82540000000000002</v>
      </c>
      <c r="R4" s="1">
        <f>AVERAGE(H4:H6)</f>
        <v>1872.6912806360226</v>
      </c>
      <c r="S4" s="1">
        <f>AVERAGE(I4:I6)</f>
        <v>191920.66666666666</v>
      </c>
      <c r="T4" s="1">
        <f>AVERAGE(J4:J6)</f>
        <v>1</v>
      </c>
      <c r="U4" s="4">
        <f>AVERAGE(L4:L6)</f>
        <v>3.332333333333333E-2</v>
      </c>
      <c r="V4" s="1">
        <f>AVERAGE(M4:M6)</f>
        <v>9.2032507110066403E-4</v>
      </c>
      <c r="W4" s="6" t="s">
        <v>11</v>
      </c>
      <c r="X4" s="1" t="s">
        <v>159</v>
      </c>
      <c r="Y4" s="1" t="s">
        <v>479</v>
      </c>
    </row>
    <row r="5" spans="1:25">
      <c r="B5" s="1" t="s">
        <v>26</v>
      </c>
      <c r="C5" s="8" t="s">
        <v>104</v>
      </c>
      <c r="D5" s="1">
        <v>1</v>
      </c>
      <c r="E5" s="1">
        <v>1</v>
      </c>
      <c r="F5" s="2">
        <v>129497.04826188934</v>
      </c>
      <c r="G5" s="3">
        <v>1</v>
      </c>
      <c r="H5" s="1">
        <v>1713.0519425019427</v>
      </c>
      <c r="I5" s="2">
        <v>210138</v>
      </c>
      <c r="J5" s="2">
        <f t="shared" si="0"/>
        <v>1</v>
      </c>
      <c r="K5" s="2">
        <f t="shared" si="1"/>
        <v>0.42922271834110193</v>
      </c>
      <c r="L5" s="4">
        <v>2.1833999999999999E-2</v>
      </c>
      <c r="M5" s="1">
        <v>1.0076761013299413E-3</v>
      </c>
      <c r="N5" s="13">
        <v>210138</v>
      </c>
      <c r="O5" s="13">
        <v>489578</v>
      </c>
    </row>
    <row r="6" spans="1:25">
      <c r="B6" s="1" t="s">
        <v>122</v>
      </c>
      <c r="C6" s="8" t="s">
        <v>109</v>
      </c>
      <c r="D6" s="1">
        <v>1</v>
      </c>
      <c r="E6" s="1">
        <v>1</v>
      </c>
      <c r="F6" s="2">
        <v>175899.56997519717</v>
      </c>
      <c r="G6" s="3">
        <v>1</v>
      </c>
      <c r="H6" s="1">
        <v>3903.4896042216355</v>
      </c>
      <c r="I6" s="2">
        <v>365470</v>
      </c>
      <c r="J6" s="2">
        <f t="shared" si="0"/>
        <v>1</v>
      </c>
      <c r="K6" s="2">
        <f t="shared" si="1"/>
        <v>0.43097064206335728</v>
      </c>
      <c r="L6" s="4">
        <v>7.8119999999999995E-2</v>
      </c>
      <c r="M6" s="1">
        <v>1.752559782488004E-3</v>
      </c>
      <c r="N6" s="13">
        <v>365470</v>
      </c>
      <c r="O6" s="13">
        <v>848016</v>
      </c>
    </row>
    <row r="7" spans="1:25">
      <c r="B7" s="1" t="s">
        <v>99</v>
      </c>
      <c r="C7" s="8" t="s">
        <v>143</v>
      </c>
      <c r="D7" s="1">
        <v>1</v>
      </c>
      <c r="E7" s="1">
        <v>1</v>
      </c>
      <c r="F7" s="2">
        <v>57408.073880732765</v>
      </c>
      <c r="G7" s="3">
        <v>0.92820000000000003</v>
      </c>
      <c r="H7" s="1">
        <v>1684.3267354748928</v>
      </c>
      <c r="I7" s="2">
        <v>230823</v>
      </c>
      <c r="J7" s="2">
        <f t="shared" si="0"/>
        <v>1</v>
      </c>
      <c r="K7" s="2">
        <f t="shared" si="1"/>
        <v>0.77749333908198903</v>
      </c>
      <c r="L7" s="4">
        <v>2.5597000000000002E-2</v>
      </c>
      <c r="M7" s="1">
        <v>1.1068780506427204E-3</v>
      </c>
      <c r="N7" s="13">
        <v>230823</v>
      </c>
      <c r="O7" s="13">
        <v>296881</v>
      </c>
    </row>
    <row r="8" spans="1:25">
      <c r="B8" s="1" t="s">
        <v>14</v>
      </c>
      <c r="C8" s="8" t="s">
        <v>125</v>
      </c>
      <c r="D8" s="1">
        <v>2</v>
      </c>
      <c r="E8" s="1">
        <v>1</v>
      </c>
      <c r="F8" s="16">
        <v>132356.52305671907</v>
      </c>
      <c r="G8" s="3">
        <v>0.99972796517954299</v>
      </c>
      <c r="H8" s="16">
        <v>483.34613166485315</v>
      </c>
      <c r="I8" s="16">
        <v>22271</v>
      </c>
      <c r="J8" s="2">
        <f t="shared" si="0"/>
        <v>1</v>
      </c>
      <c r="K8" s="2">
        <f t="shared" si="1"/>
        <v>0.96969565028083771</v>
      </c>
      <c r="L8" s="4">
        <v>2.2339999999999999E-3</v>
      </c>
      <c r="M8" s="15">
        <v>1.1517776983533587E-4</v>
      </c>
      <c r="N8" s="13">
        <v>22271</v>
      </c>
      <c r="O8" s="13">
        <v>22967</v>
      </c>
      <c r="P8" s="1">
        <f>STDEVP(F7:F9)</f>
        <v>53605.571097031483</v>
      </c>
      <c r="Q8" s="3">
        <f>STDEVP(G7:G9)</f>
        <v>3.1832361665116327E-2</v>
      </c>
      <c r="R8" s="1">
        <f>STDEVP(H7:H9)</f>
        <v>706.24680713810699</v>
      </c>
      <c r="S8" s="1">
        <f>STDEVP(I7:I9)</f>
        <v>103869.22231451538</v>
      </c>
      <c r="T8" s="1">
        <f>STDEVP(J7:J9)</f>
        <v>0</v>
      </c>
      <c r="U8" s="4">
        <f>STDEVP(L7:L9)</f>
        <v>1.1566891150559382E-2</v>
      </c>
      <c r="V8" s="1">
        <f>STDEVP(M7:M9)</f>
        <v>4.9639099453485549E-4</v>
      </c>
      <c r="W8" s="6" t="s">
        <v>16</v>
      </c>
      <c r="X8" s="1" t="s">
        <v>145</v>
      </c>
      <c r="Y8" s="1" t="s">
        <v>479</v>
      </c>
    </row>
    <row r="9" spans="1:25">
      <c r="B9" s="1" t="s">
        <v>73</v>
      </c>
      <c r="C9" s="8" t="s">
        <v>125</v>
      </c>
      <c r="D9" s="1">
        <v>2</v>
      </c>
      <c r="E9" s="1">
        <v>1</v>
      </c>
      <c r="F9" s="2">
        <v>1511.7725439942346</v>
      </c>
      <c r="G9" s="3">
        <v>0.93708165997322623</v>
      </c>
      <c r="H9" s="2">
        <v>5.520766141489033</v>
      </c>
      <c r="I9" s="2">
        <v>336</v>
      </c>
      <c r="J9" s="2">
        <f t="shared" si="0"/>
        <v>1</v>
      </c>
      <c r="K9" s="2">
        <f t="shared" si="1"/>
        <v>1</v>
      </c>
      <c r="L9" s="4">
        <v>3.4E-5</v>
      </c>
      <c r="M9" s="15">
        <v>1.7529293529102148E-6</v>
      </c>
      <c r="N9" s="1">
        <v>336</v>
      </c>
      <c r="O9" s="1">
        <v>336</v>
      </c>
      <c r="P9" s="2">
        <v>1511.7725439942346</v>
      </c>
      <c r="Q9" s="3">
        <v>0.93708165997322623</v>
      </c>
      <c r="R9" s="2">
        <v>5.520766141489033</v>
      </c>
      <c r="S9" s="2">
        <v>336</v>
      </c>
      <c r="T9" s="2">
        <v>1</v>
      </c>
      <c r="U9" s="4">
        <v>3.4E-5</v>
      </c>
      <c r="V9" s="1">
        <v>1.7529293529102148E-6</v>
      </c>
      <c r="W9" s="6" t="s">
        <v>11</v>
      </c>
      <c r="X9" s="1" t="s">
        <v>76</v>
      </c>
      <c r="Y9" s="1" t="s">
        <v>479</v>
      </c>
    </row>
    <row r="10" spans="1:25">
      <c r="B10" s="1" t="s">
        <v>120</v>
      </c>
      <c r="C10" s="8" t="s">
        <v>75</v>
      </c>
      <c r="D10" s="1">
        <v>2</v>
      </c>
      <c r="E10" s="1">
        <v>1</v>
      </c>
      <c r="F10" s="16">
        <v>156338.60163564244</v>
      </c>
      <c r="G10" s="3">
        <v>0.18761726078799248</v>
      </c>
      <c r="H10" s="16">
        <v>112.36665103189493</v>
      </c>
      <c r="I10" s="16">
        <v>34301</v>
      </c>
      <c r="J10" s="2">
        <f t="shared" si="0"/>
        <v>1</v>
      </c>
      <c r="K10" s="2">
        <f t="shared" si="1"/>
        <v>0.96367365286284201</v>
      </c>
      <c r="L10" s="4">
        <v>3.1879999999999999E-3</v>
      </c>
      <c r="M10" s="15">
        <v>1.7739549143931598E-4</v>
      </c>
      <c r="N10" s="13">
        <v>34301</v>
      </c>
      <c r="O10" s="13">
        <v>35594</v>
      </c>
      <c r="P10" s="13">
        <f>AVERAGE(F10:F12)</f>
        <v>153830.7731757056</v>
      </c>
      <c r="Q10" s="3">
        <f>AVERAGE(G10:G12)</f>
        <v>0.72920575359599749</v>
      </c>
      <c r="R10" s="13">
        <f>AVERAGE(H10:H12)</f>
        <v>7090.7142081508637</v>
      </c>
      <c r="S10" s="13">
        <f>AVERAGE(I10:I12)</f>
        <v>298651.66666666669</v>
      </c>
      <c r="T10" s="1">
        <f>AVERAGE(J10:J12)</f>
        <v>1</v>
      </c>
      <c r="U10" s="4">
        <f>AVERAGE(L10:L12)</f>
        <v>2.7150999999999998E-2</v>
      </c>
      <c r="V10" s="1">
        <f>AVERAGE(M10:M12)</f>
        <v>1.5444121975201521E-3</v>
      </c>
      <c r="W10" s="6" t="s">
        <v>11</v>
      </c>
      <c r="X10" s="1" t="s">
        <v>121</v>
      </c>
      <c r="Y10" s="1" t="s">
        <v>479</v>
      </c>
    </row>
    <row r="11" spans="1:25">
      <c r="B11" s="1" t="s">
        <v>26</v>
      </c>
      <c r="C11" s="8" t="s">
        <v>111</v>
      </c>
      <c r="D11" s="1">
        <v>2</v>
      </c>
      <c r="E11" s="1">
        <v>1</v>
      </c>
      <c r="F11" s="16">
        <v>129384.70861950419</v>
      </c>
      <c r="G11" s="3">
        <v>1</v>
      </c>
      <c r="H11" s="16">
        <v>34.710010360010358</v>
      </c>
      <c r="I11" s="16">
        <v>61654</v>
      </c>
      <c r="J11" s="2">
        <f t="shared" si="0"/>
        <v>1</v>
      </c>
      <c r="K11" s="2">
        <f t="shared" si="1"/>
        <v>0.74138117627253164</v>
      </c>
      <c r="L11" s="4">
        <v>6.0419999999999996E-3</v>
      </c>
      <c r="M11" s="15">
        <v>3.1881657463442281E-4</v>
      </c>
      <c r="N11" s="13">
        <v>61654</v>
      </c>
      <c r="O11" s="13">
        <v>83161</v>
      </c>
    </row>
    <row r="12" spans="1:25" ht="16.5" customHeight="1">
      <c r="B12" s="1" t="s">
        <v>122</v>
      </c>
      <c r="C12" s="8" t="s">
        <v>48</v>
      </c>
      <c r="D12" s="1">
        <v>2</v>
      </c>
      <c r="E12" s="1">
        <v>1</v>
      </c>
      <c r="F12" s="16">
        <v>175769.00927197014</v>
      </c>
      <c r="G12" s="3">
        <v>1</v>
      </c>
      <c r="H12" s="16">
        <v>21125.065963060686</v>
      </c>
      <c r="I12" s="16">
        <v>800000</v>
      </c>
      <c r="J12" s="2">
        <f t="shared" si="0"/>
        <v>1</v>
      </c>
      <c r="K12" s="2">
        <f t="shared" si="1"/>
        <v>8.7982657738333192E-2</v>
      </c>
      <c r="L12" s="4">
        <v>7.2222999999999996E-2</v>
      </c>
      <c r="M12" s="15">
        <v>4.1370245264867175E-3</v>
      </c>
      <c r="N12" s="13">
        <v>800000</v>
      </c>
      <c r="O12" s="13">
        <v>9092701</v>
      </c>
      <c r="Y12" s="97"/>
    </row>
    <row r="13" spans="1:25">
      <c r="B13" s="1" t="s">
        <v>99</v>
      </c>
      <c r="C13" s="8" t="s">
        <v>79</v>
      </c>
      <c r="D13" s="1">
        <v>2</v>
      </c>
      <c r="E13" s="1">
        <v>1</v>
      </c>
      <c r="F13" s="16">
        <v>114002.93963534028</v>
      </c>
      <c r="G13" s="3">
        <v>0.57984460164675866</v>
      </c>
      <c r="H13" s="16">
        <v>18895.975878464571</v>
      </c>
      <c r="I13" s="16">
        <v>1000000</v>
      </c>
      <c r="J13" s="2">
        <f t="shared" si="0"/>
        <v>1</v>
      </c>
      <c r="K13" s="2">
        <f t="shared" si="1"/>
        <v>0.93535657195557809</v>
      </c>
      <c r="L13" s="4">
        <v>0.101816</v>
      </c>
      <c r="M13" s="15">
        <v>5.171333179538589E-3</v>
      </c>
      <c r="N13" s="13">
        <v>1000000</v>
      </c>
      <c r="O13" s="13">
        <v>1069111</v>
      </c>
    </row>
    <row r="14" spans="1:25">
      <c r="B14" s="1" t="s">
        <v>120</v>
      </c>
      <c r="C14" s="8" t="s">
        <v>65</v>
      </c>
      <c r="D14" s="1">
        <v>3</v>
      </c>
      <c r="E14" s="1">
        <v>1</v>
      </c>
      <c r="F14" s="2">
        <v>145502.78895407895</v>
      </c>
      <c r="G14" s="3">
        <v>1</v>
      </c>
      <c r="H14" s="2">
        <v>16.452407754846782</v>
      </c>
      <c r="I14" s="2">
        <v>644</v>
      </c>
      <c r="J14" s="2">
        <f t="shared" si="0"/>
        <v>1</v>
      </c>
      <c r="K14" s="2">
        <f t="shared" si="1"/>
        <v>0.81725888324873097</v>
      </c>
      <c r="L14" s="4">
        <v>6.7000000000000002E-5</v>
      </c>
      <c r="M14" s="15">
        <v>2.4813798048737624E-6</v>
      </c>
      <c r="N14" s="1">
        <v>644</v>
      </c>
      <c r="O14" s="1">
        <v>788</v>
      </c>
      <c r="P14" s="1">
        <f>AVERAGE(F14:F16)</f>
        <v>91970.072513823805</v>
      </c>
      <c r="Q14" s="3">
        <f>AVERAGE(G14:G16)</f>
        <v>0.7318190061661225</v>
      </c>
      <c r="R14" s="1">
        <f>AVERAGE(H14:H16)</f>
        <v>201.52825612331333</v>
      </c>
      <c r="S14" s="1">
        <f>AVERAGE(I14:I16)</f>
        <v>9420.3333333333339</v>
      </c>
      <c r="T14" s="1">
        <f>AVERAGE(J14:J16)</f>
        <v>1</v>
      </c>
      <c r="U14" s="4">
        <f>AVERAGE(L14:L16)</f>
        <v>9.4366666666666655E-4</v>
      </c>
      <c r="V14" s="1">
        <f>AVERAGE(M14:M16)</f>
        <v>3.6224693149744488E-5</v>
      </c>
      <c r="W14" s="6" t="s">
        <v>11</v>
      </c>
      <c r="X14" s="1" t="s">
        <v>160</v>
      </c>
      <c r="Y14" s="1" t="s">
        <v>479</v>
      </c>
    </row>
    <row r="15" spans="1:25">
      <c r="B15" s="1" t="s">
        <v>14</v>
      </c>
      <c r="C15" s="8" t="s">
        <v>61</v>
      </c>
      <c r="D15" s="1">
        <v>3</v>
      </c>
      <c r="E15" s="1">
        <v>1</v>
      </c>
      <c r="F15" s="16">
        <v>956.31709481232292</v>
      </c>
      <c r="G15" s="3">
        <v>0.1954570184983678</v>
      </c>
      <c r="H15" s="16">
        <v>85.686320729053307</v>
      </c>
      <c r="I15" s="16">
        <v>3849</v>
      </c>
      <c r="J15" s="2">
        <f t="shared" si="0"/>
        <v>1</v>
      </c>
      <c r="K15" s="2">
        <f t="shared" si="1"/>
        <v>0.36493789703233148</v>
      </c>
      <c r="L15" s="4">
        <v>3.8999999999999999E-4</v>
      </c>
      <c r="M15" s="15">
        <v>1.4771940621408269E-5</v>
      </c>
      <c r="N15" s="13">
        <v>3849</v>
      </c>
      <c r="O15" s="13">
        <v>10547</v>
      </c>
    </row>
    <row r="16" spans="1:25">
      <c r="B16" s="1" t="s">
        <v>51</v>
      </c>
      <c r="C16" s="8" t="s">
        <v>88</v>
      </c>
      <c r="D16" s="1">
        <v>3</v>
      </c>
      <c r="E16" s="1">
        <v>1</v>
      </c>
      <c r="F16" s="16">
        <v>129451.11149258014</v>
      </c>
      <c r="G16" s="3">
        <v>1</v>
      </c>
      <c r="H16" s="16">
        <v>502.4460398860399</v>
      </c>
      <c r="I16" s="16">
        <v>23768</v>
      </c>
      <c r="J16" s="2">
        <f t="shared" si="0"/>
        <v>1</v>
      </c>
      <c r="K16" s="2">
        <f t="shared" si="1"/>
        <v>0.35783863537134342</v>
      </c>
      <c r="L16" s="4">
        <v>2.3739999999999998E-3</v>
      </c>
      <c r="M16" s="15">
        <v>9.142075902295144E-5</v>
      </c>
      <c r="N16" s="13">
        <v>23768</v>
      </c>
      <c r="O16" s="13">
        <v>66421</v>
      </c>
    </row>
    <row r="17" spans="2:25">
      <c r="B17" s="1" t="s">
        <v>113</v>
      </c>
      <c r="C17" s="8" t="s">
        <v>134</v>
      </c>
      <c r="D17" s="1">
        <v>3</v>
      </c>
      <c r="E17" s="1">
        <v>1</v>
      </c>
      <c r="F17" s="16">
        <v>86586.719162420181</v>
      </c>
      <c r="G17" s="3">
        <v>0.86976690247013799</v>
      </c>
      <c r="H17" s="16">
        <v>702.61927983300473</v>
      </c>
      <c r="I17" s="16">
        <v>36247</v>
      </c>
      <c r="J17" s="2">
        <f t="shared" si="0"/>
        <v>1</v>
      </c>
      <c r="K17" s="2">
        <f t="shared" si="1"/>
        <v>0.60369408081009956</v>
      </c>
      <c r="L17" s="4">
        <v>4.0020000000000003E-3</v>
      </c>
      <c r="M17" s="15">
        <v>1.3946936266605789E-4</v>
      </c>
      <c r="N17" s="13">
        <v>36247</v>
      </c>
      <c r="O17" s="13">
        <v>60042</v>
      </c>
      <c r="P17" s="1">
        <f>STDEVP(F16:F18)</f>
        <v>36472.052558194548</v>
      </c>
      <c r="Q17" s="3">
        <f>STDEVP(G16:G18)</f>
        <v>6.139247093219629E-2</v>
      </c>
      <c r="R17" s="1">
        <f>STDEVP(H16:H18)</f>
        <v>2517.4329783226681</v>
      </c>
      <c r="S17" s="1">
        <f>STDEVP(I16:I18)</f>
        <v>84791.275181405843</v>
      </c>
      <c r="T17" s="1">
        <f>STDEVP(J16:J18)</f>
        <v>0</v>
      </c>
      <c r="U17" s="4">
        <f>STDEVP(L16:L18)</f>
        <v>9.3409851134068772E-3</v>
      </c>
      <c r="V17" s="1">
        <f>STDEVP(M16:M18)</f>
        <v>3.2621643042661324E-4</v>
      </c>
      <c r="W17" s="6" t="s">
        <v>16</v>
      </c>
      <c r="X17" s="1" t="s">
        <v>114</v>
      </c>
      <c r="Y17" s="1" t="s">
        <v>479</v>
      </c>
    </row>
    <row r="18" spans="2:25">
      <c r="B18" s="1" t="s">
        <v>127</v>
      </c>
      <c r="C18" s="8" t="s">
        <v>94</v>
      </c>
      <c r="D18" s="1">
        <v>3</v>
      </c>
      <c r="E18" s="1">
        <v>1</v>
      </c>
      <c r="F18" s="2">
        <v>175900.65574979101</v>
      </c>
      <c r="G18" s="3">
        <v>1</v>
      </c>
      <c r="H18" s="13">
        <v>5940</v>
      </c>
      <c r="I18" s="2">
        <v>209552</v>
      </c>
      <c r="J18" s="2">
        <f t="shared" si="0"/>
        <v>1</v>
      </c>
      <c r="K18" s="2">
        <f t="shared" si="1"/>
        <v>1</v>
      </c>
      <c r="L18" s="4">
        <v>2.2953000000000001E-2</v>
      </c>
      <c r="M18" s="1">
        <v>8.062024107346285E-4</v>
      </c>
      <c r="N18" s="13">
        <v>209552</v>
      </c>
      <c r="O18" s="13">
        <v>209552</v>
      </c>
      <c r="P18" s="2">
        <v>175900.65574979101</v>
      </c>
      <c r="Q18" s="3">
        <v>1</v>
      </c>
      <c r="R18" s="13">
        <v>5940</v>
      </c>
      <c r="S18" s="2">
        <v>209552</v>
      </c>
      <c r="T18" s="2">
        <v>1</v>
      </c>
      <c r="U18" s="4">
        <v>2.2953000000000001E-2</v>
      </c>
      <c r="V18" s="1">
        <v>8.062024107346285E-4</v>
      </c>
      <c r="W18" s="6" t="s">
        <v>11</v>
      </c>
      <c r="X18" s="1" t="s">
        <v>128</v>
      </c>
      <c r="Y18" s="1" t="s">
        <v>479</v>
      </c>
    </row>
    <row r="19" spans="2:25">
      <c r="B19" s="1" t="s">
        <v>73</v>
      </c>
      <c r="C19" s="8" t="s">
        <v>61</v>
      </c>
      <c r="D19" s="1">
        <v>3</v>
      </c>
      <c r="E19" s="1">
        <v>1</v>
      </c>
      <c r="F19" s="17">
        <v>102104.71383497842</v>
      </c>
      <c r="G19" s="3">
        <v>1</v>
      </c>
      <c r="H19" s="17">
        <v>9148.6153547523427</v>
      </c>
      <c r="I19" s="2">
        <v>542813</v>
      </c>
      <c r="J19" s="2">
        <f t="shared" si="0"/>
        <v>1</v>
      </c>
      <c r="K19" s="2">
        <f t="shared" si="1"/>
        <v>0.93817005912680373</v>
      </c>
      <c r="L19" s="4" t="s">
        <v>155</v>
      </c>
      <c r="M19" s="15">
        <v>2.0883736361588883E-3</v>
      </c>
      <c r="N19" s="119">
        <v>542813</v>
      </c>
      <c r="O19" s="13">
        <v>578587</v>
      </c>
      <c r="P19" s="18">
        <f>AVERAGE(F19:F24)</f>
        <v>94764.972729156711</v>
      </c>
      <c r="Q19" s="3">
        <f>AVERAGE(G19:G24)</f>
        <v>0.87595694882920572</v>
      </c>
      <c r="R19" s="18">
        <f>AVERAGE(H19:H24)</f>
        <v>5624.052878478552</v>
      </c>
      <c r="S19" s="18">
        <f>AVERAGE(I19:I24)</f>
        <v>307205.16666666669</v>
      </c>
      <c r="T19" s="18">
        <f>AVERAGE(J19:J24)</f>
        <v>1</v>
      </c>
      <c r="U19" s="4">
        <f>AVERAGE(L19:L24)</f>
        <v>9.611999999999999E-3</v>
      </c>
      <c r="V19" s="18">
        <f>AVERAGE(M19:M24)</f>
        <v>5.6033146140406715E-4</v>
      </c>
      <c r="W19" s="6" t="s">
        <v>11</v>
      </c>
      <c r="X19" s="1" t="s">
        <v>83</v>
      </c>
      <c r="Y19" s="1" t="s">
        <v>479</v>
      </c>
    </row>
    <row r="20" spans="2:25">
      <c r="B20" s="1" t="s">
        <v>21</v>
      </c>
      <c r="C20" s="8" t="s">
        <v>71</v>
      </c>
      <c r="D20" s="1">
        <v>4</v>
      </c>
      <c r="E20" s="1">
        <v>1</v>
      </c>
      <c r="F20" s="16">
        <v>126161.79875911702</v>
      </c>
      <c r="G20" s="3">
        <v>0.27203482045701849</v>
      </c>
      <c r="H20" s="16">
        <v>137.05513329706204</v>
      </c>
      <c r="I20" s="16">
        <v>7591</v>
      </c>
      <c r="J20" s="2">
        <f t="shared" si="0"/>
        <v>1</v>
      </c>
      <c r="K20" s="2">
        <f t="shared" si="1"/>
        <v>0.24129052765416401</v>
      </c>
      <c r="L20" s="4">
        <v>3.2200000000000002E-4</v>
      </c>
      <c r="M20" s="15">
        <v>7.4219608529938256E-6</v>
      </c>
      <c r="N20" s="13">
        <v>7591</v>
      </c>
      <c r="O20" s="13">
        <v>31460</v>
      </c>
      <c r="P20" s="1">
        <f>STDEVP(F19:F27)</f>
        <v>54034.86243615736</v>
      </c>
      <c r="Q20" s="3">
        <f>STDEVP(G19:G27)</f>
        <v>0.2284514774726884</v>
      </c>
      <c r="R20" s="1">
        <f>STDEVP(H19:H27)</f>
        <v>6764.9964330723324</v>
      </c>
      <c r="S20" s="1">
        <f>STDEVP(I19:I27)</f>
        <v>286339.96191542735</v>
      </c>
      <c r="T20" s="1">
        <f>STDEVP(J19:J27)</f>
        <v>4.9647761508351942E-2</v>
      </c>
      <c r="U20" s="4">
        <f>STDEVP(L19:L27)</f>
        <v>2.1573175697784969E-2</v>
      </c>
      <c r="V20" s="1">
        <f>STDEVP(M19:M27)</f>
        <v>1.1794316558349071E-3</v>
      </c>
      <c r="W20" s="6" t="s">
        <v>16</v>
      </c>
      <c r="X20" s="1" t="s">
        <v>148</v>
      </c>
      <c r="Y20" s="1" t="s">
        <v>479</v>
      </c>
    </row>
    <row r="21" spans="2:25" ht="31.5">
      <c r="B21" s="1" t="s">
        <v>73</v>
      </c>
      <c r="C21" s="10" t="s">
        <v>147</v>
      </c>
      <c r="D21" s="1">
        <v>4</v>
      </c>
      <c r="E21" s="1">
        <v>1</v>
      </c>
      <c r="F21" s="16">
        <v>32849.725845188921</v>
      </c>
      <c r="G21" s="3">
        <v>1</v>
      </c>
      <c r="H21" s="16">
        <v>701.72999691071982</v>
      </c>
      <c r="I21" s="16">
        <v>50000</v>
      </c>
      <c r="J21" s="2">
        <f t="shared" si="0"/>
        <v>1</v>
      </c>
      <c r="K21" s="2">
        <f t="shared" si="1"/>
        <v>0.41465558706938016</v>
      </c>
      <c r="L21" s="4">
        <v>2.0479999999999999E-3</v>
      </c>
      <c r="M21" s="15">
        <v>4.8958523016767781E-5</v>
      </c>
      <c r="N21" s="13">
        <v>50000</v>
      </c>
      <c r="O21" s="13">
        <v>120582</v>
      </c>
      <c r="P21" s="13">
        <f>AVERAGE(F21:F27)</f>
        <v>95382.787618888935</v>
      </c>
      <c r="Q21" s="3">
        <f>AVERAGE(G21:G27)</f>
        <v>0.99767241035974508</v>
      </c>
      <c r="R21" s="13">
        <f>AVERAGE(H21:H27)</f>
        <v>6609.9314754759998</v>
      </c>
      <c r="S21" s="13">
        <f>AVERAGE(I21:I27)</f>
        <v>325667.28571428574</v>
      </c>
      <c r="T21" s="18">
        <f>AVERAGE(J21:J27)</f>
        <v>0.95800262057579444</v>
      </c>
      <c r="U21" s="4">
        <f>AVERAGE(L21:L27)</f>
        <v>2.0371428571428572E-2</v>
      </c>
      <c r="V21" s="1">
        <f>AVERAGE(M21:M27)</f>
        <v>8.6966814565814633E-4</v>
      </c>
      <c r="W21" s="6" t="s">
        <v>11</v>
      </c>
      <c r="X21" s="1" t="s">
        <v>96</v>
      </c>
      <c r="Y21" s="1" t="s">
        <v>479</v>
      </c>
    </row>
    <row r="22" spans="2:25" ht="31.5">
      <c r="B22" s="1" t="s">
        <v>161</v>
      </c>
      <c r="C22" s="10" t="s">
        <v>138</v>
      </c>
      <c r="D22" s="1">
        <v>4</v>
      </c>
      <c r="E22" s="1">
        <v>1</v>
      </c>
      <c r="F22" s="16">
        <v>17549.660572535206</v>
      </c>
      <c r="G22" s="3">
        <v>1.0162601626016261</v>
      </c>
      <c r="H22" s="16">
        <v>213.370243902439</v>
      </c>
      <c r="I22" s="16">
        <v>9646</v>
      </c>
      <c r="J22" s="2">
        <f t="shared" si="0"/>
        <v>1</v>
      </c>
      <c r="K22" s="2">
        <f t="shared" si="1"/>
        <v>0.72976244515055233</v>
      </c>
      <c r="L22" s="4">
        <v>2.7E-4</v>
      </c>
      <c r="M22" s="15">
        <v>9.3201325208309352E-6</v>
      </c>
      <c r="N22" s="13">
        <v>9646</v>
      </c>
      <c r="O22" s="13">
        <v>13218</v>
      </c>
    </row>
    <row r="23" spans="2:25">
      <c r="B23" s="1" t="s">
        <v>127</v>
      </c>
      <c r="C23" s="10" t="s">
        <v>165</v>
      </c>
      <c r="D23" s="1">
        <v>4</v>
      </c>
      <c r="E23" s="1">
        <v>1</v>
      </c>
      <c r="F23" s="2">
        <v>175901.495162709</v>
      </c>
      <c r="G23" s="3">
        <v>1</v>
      </c>
      <c r="H23" s="1">
        <v>13008.552321899737</v>
      </c>
      <c r="I23" s="2">
        <v>565265</v>
      </c>
      <c r="J23" s="2">
        <f t="shared" si="0"/>
        <v>1</v>
      </c>
      <c r="K23" s="2">
        <f t="shared" si="1"/>
        <v>42.764790437282493</v>
      </c>
      <c r="L23" s="4">
        <v>2.2839999999999999E-2</v>
      </c>
      <c r="M23" s="1">
        <v>5.5365070211171354E-4</v>
      </c>
      <c r="N23" s="13">
        <v>565265</v>
      </c>
      <c r="O23" s="13">
        <v>13218</v>
      </c>
      <c r="P23" s="2">
        <v>175901.495162709</v>
      </c>
      <c r="Q23" s="3">
        <v>1</v>
      </c>
      <c r="R23" s="1">
        <v>13008.552321899737</v>
      </c>
      <c r="S23" s="2">
        <v>565265</v>
      </c>
      <c r="T23" s="2">
        <v>1</v>
      </c>
      <c r="U23" s="4">
        <v>2.2839999999999999E-2</v>
      </c>
      <c r="V23" s="1">
        <v>5.5365070211171354E-4</v>
      </c>
      <c r="W23" s="6" t="s">
        <v>11</v>
      </c>
      <c r="X23" s="1" t="s">
        <v>166</v>
      </c>
      <c r="Y23" s="1" t="s">
        <v>479</v>
      </c>
    </row>
    <row r="24" spans="2:25" ht="31.5">
      <c r="B24" s="1" t="s">
        <v>113</v>
      </c>
      <c r="C24" s="10" t="s">
        <v>151</v>
      </c>
      <c r="D24" s="1">
        <v>4</v>
      </c>
      <c r="E24" s="1">
        <v>1</v>
      </c>
      <c r="F24" s="16">
        <v>114022.44220041172</v>
      </c>
      <c r="G24" s="3">
        <v>0.96744670991658943</v>
      </c>
      <c r="H24" s="16">
        <v>10534.994220109011</v>
      </c>
      <c r="I24" s="16">
        <v>667916</v>
      </c>
      <c r="J24" s="2">
        <f t="shared" si="0"/>
        <v>1</v>
      </c>
      <c r="K24" s="2">
        <f t="shared" si="1"/>
        <v>0.67534957274722873</v>
      </c>
      <c r="L24" s="4">
        <v>2.2579999999999999E-2</v>
      </c>
      <c r="M24" s="15">
        <v>6.5426381376320849E-4</v>
      </c>
      <c r="N24" s="13">
        <v>667916</v>
      </c>
      <c r="O24" s="13">
        <v>988993</v>
      </c>
    </row>
    <row r="25" spans="2:25" ht="31.5">
      <c r="B25" s="1" t="s">
        <v>73</v>
      </c>
      <c r="C25" s="10" t="s">
        <v>150</v>
      </c>
      <c r="D25" s="1">
        <v>4</v>
      </c>
      <c r="E25" s="1">
        <v>1</v>
      </c>
      <c r="F25" s="16">
        <v>102060.98157601675</v>
      </c>
      <c r="G25" s="3">
        <v>1</v>
      </c>
      <c r="H25" s="16">
        <v>668.87120481927707</v>
      </c>
      <c r="I25" s="16">
        <v>47181</v>
      </c>
      <c r="J25" s="2">
        <f t="shared" si="0"/>
        <v>0.94362000000000001</v>
      </c>
      <c r="K25" s="2">
        <f t="shared" si="1"/>
        <v>0.39127730507040853</v>
      </c>
      <c r="L25" s="4">
        <v>2.0799999999999998E-3</v>
      </c>
      <c r="M25" s="15">
        <v>4.6288530602115252E-5</v>
      </c>
      <c r="N25" s="13">
        <v>50000</v>
      </c>
      <c r="O25" s="13">
        <v>120582</v>
      </c>
    </row>
    <row r="26" spans="2:25">
      <c r="B26" s="1" t="s">
        <v>122</v>
      </c>
      <c r="C26" s="8" t="s">
        <v>164</v>
      </c>
      <c r="D26" s="1">
        <v>2</v>
      </c>
      <c r="E26" s="1">
        <v>1</v>
      </c>
      <c r="F26" s="16">
        <v>175900.26680889039</v>
      </c>
      <c r="G26" s="3">
        <v>1</v>
      </c>
      <c r="H26" s="16">
        <v>19692.833773087073</v>
      </c>
      <c r="I26" s="16">
        <v>716000</v>
      </c>
      <c r="J26" s="2">
        <f t="shared" si="0"/>
        <v>0.89500000000000002</v>
      </c>
      <c r="K26" s="2">
        <f t="shared" si="1"/>
        <v>7.8744478675808208E-2</v>
      </c>
      <c r="L26" s="4">
        <v>6.7978999999999998E-2</v>
      </c>
      <c r="M26" s="15">
        <v>3.7026518050678192E-3</v>
      </c>
      <c r="N26" s="13">
        <v>800000</v>
      </c>
      <c r="O26" s="13">
        <v>9092701</v>
      </c>
      <c r="P26" s="1">
        <f>STDEVP(F25:F27)</f>
        <v>51886.145947980607</v>
      </c>
      <c r="Q26" s="3">
        <f>STDEVP(G25:G27)</f>
        <v>0</v>
      </c>
      <c r="R26" s="1">
        <f>STDEVP(H25:H27)</f>
        <v>8789.8384254078373</v>
      </c>
      <c r="S26" s="1">
        <f>STDEVP(I25:I27)</f>
        <v>283011.67479923274</v>
      </c>
      <c r="T26" s="1">
        <f>STDEVP(J25:J27)</f>
        <v>3.1509251993976188E-2</v>
      </c>
      <c r="U26" s="4">
        <f>STDEVP(L25:L27)</f>
        <v>2.7331666424781992E-2</v>
      </c>
      <c r="V26" s="1">
        <f>STDEVP(M25:M27)</f>
        <v>1.5398290422167357E-3</v>
      </c>
      <c r="W26" s="6" t="s">
        <v>16</v>
      </c>
      <c r="X26" s="1" t="s">
        <v>124</v>
      </c>
      <c r="Y26" s="1" t="s">
        <v>479</v>
      </c>
    </row>
    <row r="27" spans="2:25">
      <c r="B27" s="1" t="s">
        <v>73</v>
      </c>
      <c r="C27" s="8" t="s">
        <v>143</v>
      </c>
      <c r="D27" s="1">
        <v>1</v>
      </c>
      <c r="E27" s="1">
        <v>1</v>
      </c>
      <c r="F27" s="2">
        <v>49394.941166470526</v>
      </c>
      <c r="G27" s="3">
        <v>1</v>
      </c>
      <c r="H27" s="1">
        <v>1449.1685676037484</v>
      </c>
      <c r="I27" s="2">
        <v>223663</v>
      </c>
      <c r="J27" s="2">
        <f t="shared" si="0"/>
        <v>0.86739834403055982</v>
      </c>
      <c r="K27" s="2">
        <f t="shared" si="1"/>
        <v>0.39525299846431972</v>
      </c>
      <c r="L27" s="4">
        <v>2.4802999999999999E-2</v>
      </c>
      <c r="M27" s="1">
        <v>1.0725435125245688E-3</v>
      </c>
      <c r="N27" s="13">
        <v>257855</v>
      </c>
      <c r="O27" s="13">
        <v>565873</v>
      </c>
    </row>
    <row r="28" spans="2:25" ht="31.5">
      <c r="B28" s="1" t="s">
        <v>21</v>
      </c>
      <c r="C28" s="10" t="s">
        <v>151</v>
      </c>
      <c r="D28" s="1">
        <v>4</v>
      </c>
      <c r="E28" s="1">
        <v>1</v>
      </c>
      <c r="F28" s="16">
        <v>1218.5779835816322</v>
      </c>
      <c r="G28" s="3">
        <v>0.3400435255712731</v>
      </c>
      <c r="H28" s="16">
        <v>112.58934439608269</v>
      </c>
      <c r="I28" s="16">
        <v>6086</v>
      </c>
      <c r="J28" s="2">
        <f t="shared" si="0"/>
        <v>0.80173890133052295</v>
      </c>
      <c r="K28" s="2">
        <f t="shared" si="1"/>
        <v>0.19345200254291164</v>
      </c>
      <c r="L28" s="4">
        <v>2.0599999999999999E-4</v>
      </c>
      <c r="M28" s="15">
        <v>5.9689258474411398E-6</v>
      </c>
      <c r="N28" s="13">
        <v>7591</v>
      </c>
      <c r="O28" s="13">
        <v>31460</v>
      </c>
    </row>
    <row r="29" spans="2:25">
      <c r="B29" s="1" t="s">
        <v>26</v>
      </c>
      <c r="C29" s="8" t="s">
        <v>105</v>
      </c>
      <c r="D29" s="1">
        <v>1</v>
      </c>
      <c r="E29" s="1">
        <v>1</v>
      </c>
      <c r="F29" s="2">
        <v>129498.56339887722</v>
      </c>
      <c r="G29" s="3">
        <v>1</v>
      </c>
      <c r="H29" s="1">
        <v>1341.5197202797201</v>
      </c>
      <c r="I29" s="2">
        <v>165377</v>
      </c>
      <c r="J29" s="2">
        <f t="shared" si="0"/>
        <v>0.78699235740323026</v>
      </c>
      <c r="K29" s="2">
        <f t="shared" si="1"/>
        <v>0.33779499895828652</v>
      </c>
      <c r="L29" s="4">
        <v>1.8638999999999999E-2</v>
      </c>
      <c r="M29" s="1">
        <v>7.9305530535214881E-4</v>
      </c>
      <c r="N29" s="13">
        <v>210138</v>
      </c>
      <c r="O29" s="13">
        <v>489578</v>
      </c>
    </row>
    <row r="30" spans="2:25">
      <c r="B30" s="1" t="s">
        <v>14</v>
      </c>
      <c r="C30" s="8" t="s">
        <v>39</v>
      </c>
      <c r="D30" s="1">
        <v>1</v>
      </c>
      <c r="E30" s="1">
        <v>1</v>
      </c>
      <c r="F30" s="2">
        <v>84333.141492844472</v>
      </c>
      <c r="G30" s="3">
        <v>0.2059</v>
      </c>
      <c r="H30" s="1">
        <v>30.950039445048965</v>
      </c>
      <c r="I30" s="2">
        <v>3593</v>
      </c>
      <c r="J30" s="2">
        <f t="shared" si="0"/>
        <v>0.69916326133489004</v>
      </c>
      <c r="K30" s="2">
        <f t="shared" si="1"/>
        <v>0.28572564612326046</v>
      </c>
      <c r="L30" s="4">
        <v>3.4699999999999998E-4</v>
      </c>
      <c r="M30" s="1">
        <v>1.7205898751761817E-5</v>
      </c>
      <c r="N30" s="13">
        <v>5139</v>
      </c>
      <c r="O30" s="13">
        <v>12575</v>
      </c>
    </row>
    <row r="31" spans="2:25">
      <c r="B31" s="1" t="s">
        <v>21</v>
      </c>
      <c r="C31" s="8" t="s">
        <v>72</v>
      </c>
      <c r="D31" s="1">
        <v>4</v>
      </c>
      <c r="E31" s="1">
        <v>1</v>
      </c>
      <c r="F31" s="16">
        <v>127749.24974464958</v>
      </c>
      <c r="G31" s="3">
        <v>0.40805223068552776</v>
      </c>
      <c r="H31" s="16">
        <v>96.965516866158865</v>
      </c>
      <c r="I31" s="16">
        <v>5176</v>
      </c>
      <c r="J31" s="2">
        <f t="shared" si="0"/>
        <v>0.68186009748386245</v>
      </c>
      <c r="K31" s="2">
        <f t="shared" si="1"/>
        <v>0.16452638270820089</v>
      </c>
      <c r="L31" s="4">
        <v>2.32E-4</v>
      </c>
      <c r="M31" s="15">
        <v>5.0594623846594739E-6</v>
      </c>
      <c r="N31" s="13">
        <v>7591</v>
      </c>
      <c r="O31" s="13">
        <v>31460</v>
      </c>
    </row>
    <row r="32" spans="2:25">
      <c r="B32" s="1" t="s">
        <v>122</v>
      </c>
      <c r="C32" s="8" t="s">
        <v>40</v>
      </c>
      <c r="D32" s="1">
        <v>1</v>
      </c>
      <c r="E32" s="1">
        <v>1</v>
      </c>
      <c r="F32" s="2">
        <v>175898.61438880165</v>
      </c>
      <c r="G32" s="3">
        <v>1</v>
      </c>
      <c r="H32" s="1">
        <v>2617.2346455584875</v>
      </c>
      <c r="I32" s="2">
        <v>244238</v>
      </c>
      <c r="J32" s="2">
        <f t="shared" si="0"/>
        <v>0.66828467452868912</v>
      </c>
      <c r="K32" s="2">
        <f t="shared" si="1"/>
        <v>0.2880110752627309</v>
      </c>
      <c r="L32" s="4">
        <v>4.9575000000000001E-2</v>
      </c>
      <c r="M32" s="1">
        <v>1.1711951602989153E-3</v>
      </c>
      <c r="N32" s="13">
        <v>365470</v>
      </c>
      <c r="O32" s="13">
        <v>848016</v>
      </c>
      <c r="P32" s="1">
        <f>STDEVP(F31:F34)</f>
        <v>64365.707457962082</v>
      </c>
      <c r="Q32" s="3">
        <f>STDEVP(G31:G34)</f>
        <v>0.28847700252796038</v>
      </c>
      <c r="R32" s="1">
        <f>STDEVP(H31:H34)</f>
        <v>1055.7311863170739</v>
      </c>
      <c r="S32" s="1">
        <f>STDEVP(I31:I34)</f>
        <v>101530.20176621093</v>
      </c>
      <c r="T32" s="1">
        <f>STDEVP(J31:J34)</f>
        <v>4.4585434514194798E-2</v>
      </c>
      <c r="U32" s="4">
        <f>STDEVP(L31:L34)</f>
        <v>2.115887229243326E-2</v>
      </c>
      <c r="V32" s="1">
        <f>STDEVP(M31:M34)</f>
        <v>4.950189665803628E-4</v>
      </c>
      <c r="W32" s="6" t="s">
        <v>16</v>
      </c>
      <c r="X32" s="1" t="s">
        <v>123</v>
      </c>
      <c r="Y32" s="1" t="s">
        <v>479</v>
      </c>
    </row>
    <row r="33" spans="2:25" ht="31.5">
      <c r="B33" s="1" t="s">
        <v>21</v>
      </c>
      <c r="C33" s="10" t="s">
        <v>147</v>
      </c>
      <c r="D33" s="1">
        <v>4</v>
      </c>
      <c r="E33" s="1">
        <v>1</v>
      </c>
      <c r="F33" s="16">
        <v>3879.9387585120703</v>
      </c>
      <c r="G33" s="3">
        <v>0.32821001088139284</v>
      </c>
      <c r="H33" s="16">
        <v>82.882561207834598</v>
      </c>
      <c r="I33" s="16">
        <v>4471</v>
      </c>
      <c r="J33" s="2">
        <f t="shared" si="0"/>
        <v>0.58898695824002112</v>
      </c>
      <c r="K33" s="2">
        <f t="shared" si="1"/>
        <v>0.14211697393515577</v>
      </c>
      <c r="L33" s="4">
        <v>1.83E-4</v>
      </c>
      <c r="M33" s="15">
        <v>4.3747117734709495E-6</v>
      </c>
      <c r="N33" s="13">
        <v>7591</v>
      </c>
      <c r="O33" s="13">
        <v>31460</v>
      </c>
      <c r="P33" s="13">
        <f>AVERAGE(F33:F41)</f>
        <v>78038.556226274057</v>
      </c>
      <c r="Q33" s="3">
        <f>AVERAGE(G33:G41)</f>
        <v>0.64234021927731888</v>
      </c>
      <c r="R33" s="13">
        <f>AVERAGE(H33:H41)</f>
        <v>1457.9027059644982</v>
      </c>
      <c r="S33" s="13">
        <f>AVERAGE(I33:I41)</f>
        <v>78720.666666666672</v>
      </c>
      <c r="T33" s="1">
        <f>AVERAGE(J33:J41)</f>
        <v>0.47164588349326297</v>
      </c>
      <c r="U33" s="4">
        <f>AVERAGE(L33:L41)</f>
        <v>1.0638999999999999E-2</v>
      </c>
      <c r="V33" s="1">
        <f>AVERAGE(M33:M41)</f>
        <v>3.8617796922873864E-4</v>
      </c>
      <c r="W33" s="6" t="s">
        <v>11</v>
      </c>
      <c r="X33" s="1" t="s">
        <v>148</v>
      </c>
      <c r="Y33" s="1" t="s">
        <v>479</v>
      </c>
    </row>
    <row r="34" spans="2:25">
      <c r="B34" s="1" t="s">
        <v>113</v>
      </c>
      <c r="C34" s="8" t="s">
        <v>135</v>
      </c>
      <c r="D34" s="1">
        <v>3</v>
      </c>
      <c r="E34" s="1">
        <v>1</v>
      </c>
      <c r="F34" s="16">
        <v>69423.92832386079</v>
      </c>
      <c r="G34" s="3">
        <v>0.86976690247013799</v>
      </c>
      <c r="H34" s="16">
        <v>415.99550968340486</v>
      </c>
      <c r="I34" s="16">
        <v>21168</v>
      </c>
      <c r="J34" s="2">
        <f t="shared" si="0"/>
        <v>0.58399315805445973</v>
      </c>
      <c r="K34" s="2">
        <f t="shared" si="1"/>
        <v>0.35255321275107426</v>
      </c>
      <c r="L34" s="4">
        <v>1.7849999999999999E-3</v>
      </c>
      <c r="M34" s="15">
        <v>8.1430287610869716E-5</v>
      </c>
      <c r="N34" s="13">
        <v>36247</v>
      </c>
      <c r="O34" s="13">
        <v>60042</v>
      </c>
    </row>
    <row r="35" spans="2:25">
      <c r="B35" s="1" t="s">
        <v>122</v>
      </c>
      <c r="C35" s="8" t="s">
        <v>107</v>
      </c>
      <c r="D35" s="1">
        <v>1</v>
      </c>
      <c r="E35" s="1">
        <v>1</v>
      </c>
      <c r="F35" s="2">
        <v>175900.64311667669</v>
      </c>
      <c r="G35" s="3">
        <v>1</v>
      </c>
      <c r="H35" s="1">
        <v>2372.7557255936676</v>
      </c>
      <c r="I35" s="2">
        <v>206445</v>
      </c>
      <c r="J35" s="2">
        <f t="shared" si="0"/>
        <v>0.56487536596711085</v>
      </c>
      <c r="K35" s="2">
        <f t="shared" si="1"/>
        <v>0.24344469915661968</v>
      </c>
      <c r="L35" s="4">
        <v>2.9013000000000001E-2</v>
      </c>
      <c r="M35" s="1">
        <v>9.8998599386278903E-4</v>
      </c>
      <c r="N35" s="13">
        <v>365470</v>
      </c>
      <c r="O35" s="13">
        <v>848016</v>
      </c>
      <c r="P35" s="1">
        <f>AVERAGE(F35:F38)</f>
        <v>105031.22210247105</v>
      </c>
      <c r="Q35" s="3">
        <f>AVERAGE(G35:G38)</f>
        <v>0.60742447504696606</v>
      </c>
      <c r="R35" s="1">
        <f>AVERAGE(H35:H38)</f>
        <v>2963.0602584865537</v>
      </c>
      <c r="S35" s="1">
        <f>AVERAGE(I35:I38)</f>
        <v>147205</v>
      </c>
      <c r="T35" s="1">
        <f>AVERAGE(J35:J38)</f>
        <v>0.50157963089492585</v>
      </c>
      <c r="U35" s="4">
        <f>AVERAGE(L35:L38)</f>
        <v>2.1003250000000001E-2</v>
      </c>
      <c r="V35" s="1">
        <f>AVERAGE(M35:M38)</f>
        <v>7.3714483124658297E-4</v>
      </c>
      <c r="W35" s="6" t="s">
        <v>11</v>
      </c>
      <c r="X35" s="1" t="s">
        <v>123</v>
      </c>
      <c r="Y35" s="1" t="s">
        <v>479</v>
      </c>
    </row>
    <row r="36" spans="2:25" ht="31.5">
      <c r="B36" s="1" t="s">
        <v>21</v>
      </c>
      <c r="C36" s="10" t="s">
        <v>149</v>
      </c>
      <c r="D36" s="1">
        <v>4</v>
      </c>
      <c r="E36" s="1">
        <v>1</v>
      </c>
      <c r="F36" s="16">
        <v>31638.69244075357</v>
      </c>
      <c r="G36" s="3">
        <v>0.27203482045701849</v>
      </c>
      <c r="H36" s="16">
        <v>72.264940152339491</v>
      </c>
      <c r="I36" s="16">
        <v>3932</v>
      </c>
      <c r="J36" s="2">
        <f t="shared" si="0"/>
        <v>0.51798182057699904</v>
      </c>
      <c r="K36" s="2">
        <f t="shared" si="1"/>
        <v>0.12498410680228862</v>
      </c>
      <c r="L36" s="4">
        <v>1.22E-4</v>
      </c>
      <c r="M36" s="15">
        <v>3.8640385885374098E-6</v>
      </c>
      <c r="N36" s="13">
        <v>7591</v>
      </c>
      <c r="O36" s="13">
        <v>31460</v>
      </c>
    </row>
    <row r="37" spans="2:25">
      <c r="B37" s="1" t="s">
        <v>122</v>
      </c>
      <c r="C37" s="8" t="s">
        <v>163</v>
      </c>
      <c r="D37" s="1">
        <v>2</v>
      </c>
      <c r="E37" s="1">
        <v>1</v>
      </c>
      <c r="F37" s="16">
        <v>175901.49516270889</v>
      </c>
      <c r="G37" s="3">
        <v>0.87950747581354438</v>
      </c>
      <c r="H37" s="16">
        <v>9367.4969868073895</v>
      </c>
      <c r="I37" s="16">
        <v>376701</v>
      </c>
      <c r="J37" s="2">
        <f t="shared" si="0"/>
        <v>0.47087625</v>
      </c>
      <c r="K37" s="2">
        <f t="shared" si="1"/>
        <v>4.1428943940859816E-2</v>
      </c>
      <c r="L37" s="4">
        <v>5.4682000000000001E-2</v>
      </c>
      <c r="M37" s="15">
        <v>1.9480426399911494E-3</v>
      </c>
      <c r="N37" s="13">
        <v>800000</v>
      </c>
      <c r="O37" s="13">
        <v>9092701</v>
      </c>
      <c r="P37" s="13">
        <f>AVERAGE(F37:F39)</f>
        <v>81778.947481021387</v>
      </c>
      <c r="Q37" s="3">
        <f>AVERAGE(G37:G39)</f>
        <v>0.45661674656244006</v>
      </c>
      <c r="R37" s="13">
        <f>AVERAGE(H37:H39)</f>
        <v>3146.4349921566886</v>
      </c>
      <c r="S37" s="13">
        <f>AVERAGE(I37:I39)</f>
        <v>126624.66666666667</v>
      </c>
      <c r="T37" s="1">
        <f>AVERAGE(J37:J39)</f>
        <v>0.43174873874166453</v>
      </c>
      <c r="U37" s="4">
        <f>AVERAGE(L37:L39)</f>
        <v>1.8346000000000001E-2</v>
      </c>
      <c r="V37" s="1">
        <f>AVERAGE(M37:M39)</f>
        <v>6.5341351919356546E-4</v>
      </c>
      <c r="W37" s="6" t="s">
        <v>11</v>
      </c>
      <c r="X37" s="1" t="s">
        <v>124</v>
      </c>
      <c r="Y37" s="1" t="s">
        <v>479</v>
      </c>
    </row>
    <row r="38" spans="2:25">
      <c r="B38" s="1" t="s">
        <v>14</v>
      </c>
      <c r="C38" s="8" t="s">
        <v>81</v>
      </c>
      <c r="D38" s="1">
        <v>3</v>
      </c>
      <c r="E38" s="1">
        <v>1</v>
      </c>
      <c r="F38" s="16">
        <v>36684.057689745023</v>
      </c>
      <c r="G38" s="3">
        <v>0.27815560391730143</v>
      </c>
      <c r="H38" s="16">
        <v>39.723381392818283</v>
      </c>
      <c r="I38" s="16">
        <v>1742</v>
      </c>
      <c r="J38" s="2">
        <f t="shared" si="0"/>
        <v>0.45258508703559364</v>
      </c>
      <c r="K38" s="2">
        <f t="shared" si="1"/>
        <v>0.16516544989096427</v>
      </c>
      <c r="L38" s="4">
        <v>1.9599999999999999E-4</v>
      </c>
      <c r="M38" s="15">
        <v>6.6866525438563886E-6</v>
      </c>
      <c r="N38" s="13">
        <v>3849</v>
      </c>
      <c r="O38" s="13">
        <v>10547</v>
      </c>
      <c r="P38" s="13">
        <f>AVERAGE(F38:F47)</f>
        <v>53714.78685909546</v>
      </c>
      <c r="Q38" s="3">
        <f>AVERAGE(G38:G47)</f>
        <v>0.69507427638737762</v>
      </c>
      <c r="R38" s="13">
        <f>AVERAGE(H38:H47)</f>
        <v>127.61990103087865</v>
      </c>
      <c r="S38" s="13">
        <f>AVERAGE(I38:I47)</f>
        <v>12759.8</v>
      </c>
      <c r="T38" s="1">
        <f>AVERAGE(J38:J47)</f>
        <v>0.31906445628692409</v>
      </c>
      <c r="U38" s="4">
        <f>AVERAGE(L38:L47)</f>
        <v>1.3350999999999999E-3</v>
      </c>
      <c r="V38" s="1">
        <f>AVERAGE(M38:M47)</f>
        <v>5.9323471162529024E-5</v>
      </c>
      <c r="W38" s="6" t="s">
        <v>11</v>
      </c>
      <c r="X38" s="1" t="s">
        <v>146</v>
      </c>
      <c r="Y38" s="1" t="s">
        <v>479</v>
      </c>
    </row>
    <row r="39" spans="2:25">
      <c r="B39" s="1" t="s">
        <v>14</v>
      </c>
      <c r="C39" s="8" t="s">
        <v>57</v>
      </c>
      <c r="D39" s="1">
        <v>3</v>
      </c>
      <c r="E39" s="1">
        <v>1</v>
      </c>
      <c r="F39" s="16">
        <v>32751.289590610253</v>
      </c>
      <c r="G39" s="3">
        <v>0.21218715995647444</v>
      </c>
      <c r="H39" s="16">
        <v>32.084608269858542</v>
      </c>
      <c r="I39" s="16">
        <v>1431</v>
      </c>
      <c r="J39" s="2">
        <f t="shared" si="0"/>
        <v>0.37178487918939984</v>
      </c>
      <c r="K39" s="2">
        <f t="shared" si="1"/>
        <v>0.135678391959799</v>
      </c>
      <c r="L39" s="4">
        <v>1.6000000000000001E-4</v>
      </c>
      <c r="M39" s="15">
        <v>5.5112650456906082E-6</v>
      </c>
      <c r="N39" s="13">
        <v>3849</v>
      </c>
      <c r="O39" s="13">
        <v>10547</v>
      </c>
    </row>
    <row r="40" spans="2:25">
      <c r="B40" s="1" t="s">
        <v>51</v>
      </c>
      <c r="C40" s="8" t="s">
        <v>84</v>
      </c>
      <c r="D40" s="1">
        <v>3</v>
      </c>
      <c r="E40" s="1">
        <v>1</v>
      </c>
      <c r="F40" s="16">
        <v>119514.4458601743</v>
      </c>
      <c r="G40" s="3">
        <v>0.94120000000000004</v>
      </c>
      <c r="H40" s="16">
        <v>188.51693343693344</v>
      </c>
      <c r="I40" s="16">
        <v>8761</v>
      </c>
      <c r="J40" s="2">
        <f t="shared" si="0"/>
        <v>0.36860484685291151</v>
      </c>
      <c r="K40" s="2">
        <f t="shared" si="1"/>
        <v>0.13190105538910887</v>
      </c>
      <c r="L40" s="4">
        <v>9.1E-4</v>
      </c>
      <c r="M40" s="15">
        <v>3.3695726691842113E-5</v>
      </c>
      <c r="N40" s="13">
        <v>23768</v>
      </c>
      <c r="O40" s="13">
        <v>66421</v>
      </c>
    </row>
    <row r="41" spans="2:25">
      <c r="B41" s="1" t="s">
        <v>73</v>
      </c>
      <c r="C41" s="8" t="s">
        <v>142</v>
      </c>
      <c r="D41" s="1">
        <v>1</v>
      </c>
      <c r="E41" s="1">
        <v>1</v>
      </c>
      <c r="F41" s="2">
        <v>56652.515093425107</v>
      </c>
      <c r="G41" s="3">
        <v>1</v>
      </c>
      <c r="H41" s="1">
        <v>549.40370713623724</v>
      </c>
      <c r="I41" s="2">
        <v>83835</v>
      </c>
      <c r="J41" s="2">
        <f t="shared" si="0"/>
        <v>0.32512458552287138</v>
      </c>
      <c r="K41" s="2">
        <f t="shared" si="1"/>
        <v>0.14815161705895138</v>
      </c>
      <c r="L41" s="4">
        <v>8.6999999999999994E-3</v>
      </c>
      <c r="M41" s="1">
        <v>4.0201040695044254E-4</v>
      </c>
      <c r="N41" s="13">
        <v>257855</v>
      </c>
      <c r="O41" s="13">
        <v>565873</v>
      </c>
      <c r="P41" s="1">
        <f>STDEVP(F40:F43)</f>
        <v>52208.821281107463</v>
      </c>
      <c r="Q41" s="3">
        <f>STDEVP(G40:G43)</f>
        <v>0.2112065517449685</v>
      </c>
      <c r="R41" s="1">
        <f>STDEVP(H40:H43)</f>
        <v>201.98560479926377</v>
      </c>
      <c r="S41" s="1">
        <f>STDEVP(I40:I43)</f>
        <v>34210.529946933006</v>
      </c>
      <c r="T41" s="1">
        <f>STDEVP(J40:J43)</f>
        <v>3.2315229772100836E-2</v>
      </c>
      <c r="U41" s="4">
        <f>STDEVP(L40:L43)</f>
        <v>3.5389963531346001E-3</v>
      </c>
      <c r="V41" s="1">
        <f>STDEVP(M40:M43)</f>
        <v>1.6590522503284077E-4</v>
      </c>
      <c r="W41" s="6" t="s">
        <v>16</v>
      </c>
      <c r="X41" s="1" t="s">
        <v>74</v>
      </c>
      <c r="Y41" s="1" t="s">
        <v>479</v>
      </c>
    </row>
    <row r="42" spans="2:25">
      <c r="B42" s="1" t="s">
        <v>120</v>
      </c>
      <c r="C42" s="8" t="s">
        <v>143</v>
      </c>
      <c r="D42" s="1">
        <v>1</v>
      </c>
      <c r="E42" s="1">
        <v>1</v>
      </c>
      <c r="F42" s="2">
        <v>15.424164820940689</v>
      </c>
      <c r="G42" s="3">
        <v>0.47620000000000001</v>
      </c>
      <c r="H42" s="1">
        <v>0.45252032520325208</v>
      </c>
      <c r="I42" s="2">
        <v>46</v>
      </c>
      <c r="J42" s="2">
        <f t="shared" si="0"/>
        <v>0.29870129870129869</v>
      </c>
      <c r="K42" s="2">
        <f t="shared" si="1"/>
        <v>0.19246861924686193</v>
      </c>
      <c r="L42" s="4">
        <v>5.0000000000000004E-6</v>
      </c>
      <c r="M42" s="1">
        <v>2.1621245666342155E-7</v>
      </c>
      <c r="N42" s="1">
        <v>154</v>
      </c>
      <c r="O42" s="1">
        <v>239</v>
      </c>
      <c r="P42" s="1">
        <f>STDEVP(F41:F43)</f>
        <v>52999.815418310172</v>
      </c>
      <c r="Q42" s="3">
        <f>STDEVP(G41:G43)</f>
        <v>0.23429536913904236</v>
      </c>
      <c r="R42" s="1">
        <f>STDEVP(H41:H43)</f>
        <v>232.22189087104846</v>
      </c>
      <c r="S42" s="1">
        <f>STDEVP(I41:I43)</f>
        <v>38019.89014830118</v>
      </c>
      <c r="T42" s="1">
        <f>STDEVP(J41:J43)</f>
        <v>1.7232227303825925E-2</v>
      </c>
      <c r="U42" s="4">
        <f>STDEVP(L41:L43)</f>
        <v>3.9281451941936491E-3</v>
      </c>
      <c r="V42" s="1">
        <f>STDEVP(M41:M43)</f>
        <v>1.8365286883148817E-4</v>
      </c>
      <c r="W42" s="6" t="s">
        <v>16</v>
      </c>
      <c r="X42" s="1" t="s">
        <v>159</v>
      </c>
      <c r="Y42" s="1" t="s">
        <v>479</v>
      </c>
    </row>
    <row r="43" spans="2:25">
      <c r="B43" s="1" t="s">
        <v>51</v>
      </c>
      <c r="C43" s="8" t="s">
        <v>154</v>
      </c>
      <c r="D43" s="1">
        <v>3</v>
      </c>
      <c r="E43" s="1">
        <v>1</v>
      </c>
      <c r="F43" s="16">
        <v>129500.12950012949</v>
      </c>
      <c r="G43" s="3">
        <v>0.94120000000000004</v>
      </c>
      <c r="H43" s="16">
        <v>145.85071225071223</v>
      </c>
      <c r="I43" s="16">
        <v>6736</v>
      </c>
      <c r="J43" s="2">
        <f t="shared" si="0"/>
        <v>0.283406260518344</v>
      </c>
      <c r="K43" s="2">
        <f t="shared" si="1"/>
        <v>0.10141370951957965</v>
      </c>
      <c r="L43" s="4">
        <v>7.8399999999999997E-4</v>
      </c>
      <c r="M43" s="15">
        <v>2.5902687912285604E-5</v>
      </c>
      <c r="N43" s="13">
        <v>23768</v>
      </c>
      <c r="O43" s="13">
        <v>66421</v>
      </c>
      <c r="P43" s="13">
        <f>AVERAGE(F43:F53)</f>
        <v>51129.61912168136</v>
      </c>
      <c r="Q43" s="3">
        <f>AVERAGE(G43:G53)</f>
        <v>0.67086164803640325</v>
      </c>
      <c r="R43" s="13">
        <f>AVERAGE(H43:H53)</f>
        <v>98.655340829641943</v>
      </c>
      <c r="S43" s="13">
        <f>AVERAGE(I43:I53)</f>
        <v>8622.9090909090901</v>
      </c>
      <c r="T43" s="13">
        <f>AVERAGE(J43:J53)</f>
        <v>0.23407578981507982</v>
      </c>
      <c r="U43" s="4">
        <f>AVERAGE(L43:L53)</f>
        <v>9.0881818181818153E-4</v>
      </c>
      <c r="V43" s="1">
        <f>AVERAGE(M43:M53)</f>
        <v>3.9768838338524749E-5</v>
      </c>
      <c r="W43" s="6" t="s">
        <v>11</v>
      </c>
      <c r="X43" s="1" t="s">
        <v>53</v>
      </c>
      <c r="Y43" s="1" t="s">
        <v>479</v>
      </c>
    </row>
    <row r="44" spans="2:25">
      <c r="B44" s="1" t="s">
        <v>51</v>
      </c>
      <c r="C44" s="8" t="s">
        <v>93</v>
      </c>
      <c r="D44" s="1">
        <v>3</v>
      </c>
      <c r="E44" s="1">
        <v>1</v>
      </c>
      <c r="F44" s="16">
        <v>129135.77255351281</v>
      </c>
      <c r="G44" s="3">
        <v>0.7843</v>
      </c>
      <c r="H44" s="16">
        <v>144.04585858585861</v>
      </c>
      <c r="I44" s="16">
        <v>6734</v>
      </c>
      <c r="J44" s="2">
        <f t="shared" si="0"/>
        <v>0.28332211376640859</v>
      </c>
      <c r="K44" s="2">
        <f t="shared" si="1"/>
        <v>0.10138359856069616</v>
      </c>
      <c r="L44" s="4">
        <v>7.4799999999999997E-4</v>
      </c>
      <c r="M44" s="15">
        <v>2.5924940056542027E-5</v>
      </c>
      <c r="N44" s="13">
        <v>23768</v>
      </c>
      <c r="O44" s="13">
        <v>66421</v>
      </c>
    </row>
    <row r="45" spans="2:25">
      <c r="B45" s="1" t="s">
        <v>26</v>
      </c>
      <c r="C45" s="8" t="s">
        <v>79</v>
      </c>
      <c r="D45" s="1">
        <v>2</v>
      </c>
      <c r="E45" s="1">
        <v>1</v>
      </c>
      <c r="F45" s="16">
        <v>2191.8060345381195</v>
      </c>
      <c r="G45" s="3">
        <v>1</v>
      </c>
      <c r="H45" s="16">
        <v>152.2841206941207</v>
      </c>
      <c r="I45" s="16">
        <v>17217</v>
      </c>
      <c r="J45" s="2">
        <f t="shared" si="0"/>
        <v>0.27925195445550977</v>
      </c>
      <c r="K45" s="2">
        <f t="shared" si="1"/>
        <v>0.20703214247062926</v>
      </c>
      <c r="L45" s="4">
        <v>1.753E-3</v>
      </c>
      <c r="M45" s="15">
        <v>8.9036566588072066E-5</v>
      </c>
      <c r="N45" s="13">
        <v>61654</v>
      </c>
      <c r="O45" s="13">
        <v>83161</v>
      </c>
    </row>
    <row r="46" spans="2:25">
      <c r="B46" s="1" t="s">
        <v>14</v>
      </c>
      <c r="C46" s="8" t="s">
        <v>91</v>
      </c>
      <c r="D46" s="1">
        <v>3</v>
      </c>
      <c r="E46" s="1">
        <v>1</v>
      </c>
      <c r="F46" s="16">
        <v>30680.83709166331</v>
      </c>
      <c r="G46" s="3">
        <v>1</v>
      </c>
      <c r="H46" s="16">
        <v>23.453265778019588</v>
      </c>
      <c r="I46" s="16">
        <v>1057</v>
      </c>
      <c r="J46" s="2">
        <f t="shared" si="0"/>
        <v>0.27461678358015068</v>
      </c>
      <c r="K46" s="2">
        <f t="shared" si="1"/>
        <v>0.10021807148952308</v>
      </c>
      <c r="L46" s="4">
        <v>9.0000000000000006E-5</v>
      </c>
      <c r="M46" s="15">
        <v>4.0579559228891795E-6</v>
      </c>
      <c r="N46" s="13">
        <v>3849</v>
      </c>
      <c r="O46" s="13">
        <v>10547</v>
      </c>
    </row>
    <row r="47" spans="2:25">
      <c r="B47" s="1" t="s">
        <v>120</v>
      </c>
      <c r="C47" s="8" t="s">
        <v>144</v>
      </c>
      <c r="D47" s="1">
        <v>1</v>
      </c>
      <c r="E47" s="1">
        <v>1</v>
      </c>
      <c r="F47" s="2">
        <v>21.591012335204439</v>
      </c>
      <c r="G47" s="3">
        <v>0.3175</v>
      </c>
      <c r="H47" s="1">
        <v>0.38390243902439025</v>
      </c>
      <c r="I47" s="2">
        <v>39</v>
      </c>
      <c r="J47" s="2">
        <f t="shared" si="0"/>
        <v>0.25324675324675322</v>
      </c>
      <c r="K47" s="2">
        <f t="shared" si="1"/>
        <v>0.16317991631799164</v>
      </c>
      <c r="L47" s="4">
        <v>5.0000000000000004E-6</v>
      </c>
      <c r="M47" s="1">
        <v>1.9229745700636088E-7</v>
      </c>
      <c r="N47" s="1">
        <v>154</v>
      </c>
      <c r="O47" s="1">
        <v>239</v>
      </c>
    </row>
    <row r="48" spans="2:25">
      <c r="B48" s="1" t="s">
        <v>14</v>
      </c>
      <c r="C48" s="8" t="s">
        <v>142</v>
      </c>
      <c r="D48" s="1">
        <v>1</v>
      </c>
      <c r="E48" s="1">
        <v>1</v>
      </c>
      <c r="F48" s="2">
        <v>1025.5865364212825</v>
      </c>
      <c r="G48" s="3">
        <v>0.10299999999999999</v>
      </c>
      <c r="H48" s="1">
        <v>9.9459140369967365</v>
      </c>
      <c r="I48" s="2">
        <v>1149</v>
      </c>
      <c r="J48" s="2">
        <f t="shared" si="0"/>
        <v>0.22358435493286632</v>
      </c>
      <c r="K48" s="2">
        <f t="shared" si="1"/>
        <v>9.1371769383697815E-2</v>
      </c>
      <c r="L48" s="4">
        <v>1.1900000000000001E-4</v>
      </c>
      <c r="M48" s="1">
        <v>5.4987630375980072E-6</v>
      </c>
      <c r="N48" s="13">
        <v>5139</v>
      </c>
      <c r="O48" s="13">
        <v>12575</v>
      </c>
    </row>
    <row r="49" spans="1:25">
      <c r="B49" s="1" t="s">
        <v>99</v>
      </c>
      <c r="C49" s="8" t="s">
        <v>142</v>
      </c>
      <c r="D49" s="1">
        <v>1</v>
      </c>
      <c r="E49" s="1">
        <v>1</v>
      </c>
      <c r="F49" s="2">
        <v>39026.92635318316</v>
      </c>
      <c r="G49" s="3">
        <v>0.92820000000000003</v>
      </c>
      <c r="H49" s="1">
        <v>378.47460048706944</v>
      </c>
      <c r="I49" s="2">
        <v>51282</v>
      </c>
      <c r="J49" s="2">
        <f t="shared" si="0"/>
        <v>0.22217023433539984</v>
      </c>
      <c r="K49" s="2">
        <f t="shared" si="1"/>
        <v>0.17273587733805801</v>
      </c>
      <c r="L49" s="4">
        <v>5.3220000000000003E-3</v>
      </c>
      <c r="M49" s="1">
        <v>2.4591946963106384E-4</v>
      </c>
      <c r="N49" s="13">
        <v>230823</v>
      </c>
      <c r="O49" s="13">
        <v>296881</v>
      </c>
      <c r="P49" s="1">
        <f>STDEVP(F48:F51)</f>
        <v>36415.845623945759</v>
      </c>
      <c r="Q49" s="3">
        <f>STDEVP(G48:G51)</f>
        <v>0.39991711852484857</v>
      </c>
      <c r="R49" s="1">
        <f>STDEVP(H48:H51)</f>
        <v>149.79200909788071</v>
      </c>
      <c r="S49" s="1">
        <f>STDEVP(I48:I51)</f>
        <v>21310.232718109863</v>
      </c>
      <c r="T49" s="1">
        <f>STDEVP(J48:J51)</f>
        <v>1.4613833368294327E-2</v>
      </c>
      <c r="U49" s="4">
        <f>STDEVP(L48:L51)</f>
        <v>2.2067535402713191E-3</v>
      </c>
      <c r="V49" s="1">
        <f>STDEVP(M48:M51)</f>
        <v>1.02829926165415E-4</v>
      </c>
      <c r="W49" s="6" t="s">
        <v>16</v>
      </c>
      <c r="X49" s="1" t="s">
        <v>100</v>
      </c>
      <c r="Y49" s="1" t="s">
        <v>479</v>
      </c>
    </row>
    <row r="50" spans="1:25">
      <c r="B50" s="1" t="s">
        <v>51</v>
      </c>
      <c r="C50" s="8" t="s">
        <v>81</v>
      </c>
      <c r="D50" s="1">
        <v>3</v>
      </c>
      <c r="E50" s="1">
        <v>1</v>
      </c>
      <c r="F50" s="16">
        <v>94493.591939016929</v>
      </c>
      <c r="G50" s="3">
        <v>0.94120000000000004</v>
      </c>
      <c r="H50" s="16">
        <v>102.32251359751361</v>
      </c>
      <c r="I50" s="16">
        <v>4713</v>
      </c>
      <c r="J50" s="2">
        <f t="shared" si="0"/>
        <v>0.19829182093571188</v>
      </c>
      <c r="K50" s="2">
        <f t="shared" si="1"/>
        <v>7.0956474608933923E-2</v>
      </c>
      <c r="L50" s="4">
        <v>5.3200000000000003E-4</v>
      </c>
      <c r="M50" s="15">
        <v>1.8149485476181627E-5</v>
      </c>
      <c r="N50" s="13">
        <v>23768</v>
      </c>
      <c r="O50" s="13">
        <v>66421</v>
      </c>
      <c r="P50" s="1">
        <f>STDEVP(F49:F59)</f>
        <v>46902.349858241258</v>
      </c>
      <c r="Q50" s="3">
        <f>STDEVP(G49:G59)</f>
        <v>0.37070093531225196</v>
      </c>
      <c r="R50" s="1">
        <f>STDEVP(H49:H59)</f>
        <v>447.42252851125619</v>
      </c>
      <c r="S50" s="1">
        <f>STDEVP(I49:I59)</f>
        <v>30931.869269612478</v>
      </c>
      <c r="T50" s="1">
        <f>STDEVP(J49:J59)</f>
        <v>2.1038617717591426E-2</v>
      </c>
      <c r="U50" s="4">
        <f>STDEVP(L49:L59)</f>
        <v>1.8462337495158195E-3</v>
      </c>
      <c r="V50" s="1">
        <f>STDEVP(M49:M59)</f>
        <v>7.8843665965791862E-5</v>
      </c>
      <c r="W50" s="6" t="s">
        <v>16</v>
      </c>
      <c r="X50" s="1" t="s">
        <v>53</v>
      </c>
      <c r="Y50" s="1" t="s">
        <v>479</v>
      </c>
    </row>
    <row r="51" spans="1:25">
      <c r="B51" s="1" t="s">
        <v>14</v>
      </c>
      <c r="C51" s="8" t="s">
        <v>84</v>
      </c>
      <c r="D51" s="1">
        <v>3</v>
      </c>
      <c r="E51" s="1">
        <v>1</v>
      </c>
      <c r="F51" s="2">
        <v>10488.227566340332</v>
      </c>
      <c r="G51" s="3">
        <v>0.16961371055495103</v>
      </c>
      <c r="H51" s="2">
        <v>16.54367791077258</v>
      </c>
      <c r="I51" s="2">
        <v>732</v>
      </c>
      <c r="J51" s="2">
        <f t="shared" si="0"/>
        <v>0.19017926734216681</v>
      </c>
      <c r="K51" s="2">
        <f t="shared" si="1"/>
        <v>6.9403621882999908E-2</v>
      </c>
      <c r="L51" s="4">
        <v>7.6000000000000004E-5</v>
      </c>
      <c r="M51" s="15">
        <v>2.8141486028351654E-6</v>
      </c>
      <c r="N51" s="13">
        <v>3849</v>
      </c>
      <c r="O51" s="13">
        <v>10547</v>
      </c>
    </row>
    <row r="52" spans="1:25">
      <c r="B52" s="1" t="s">
        <v>51</v>
      </c>
      <c r="C52" s="8" t="s">
        <v>57</v>
      </c>
      <c r="D52" s="1">
        <v>3</v>
      </c>
      <c r="E52" s="1">
        <v>0</v>
      </c>
      <c r="F52" s="16">
        <v>98318.119519532949</v>
      </c>
      <c r="G52" s="3">
        <v>0.94120000000000004</v>
      </c>
      <c r="H52" s="16">
        <v>96.316767676767668</v>
      </c>
      <c r="I52" s="16">
        <v>4512</v>
      </c>
      <c r="J52" s="2">
        <f t="shared" si="0"/>
        <v>0.18983507236620667</v>
      </c>
      <c r="K52" s="2">
        <f t="shared" si="1"/>
        <v>6.793032324114362E-2</v>
      </c>
      <c r="L52" s="4">
        <v>5.04E-4</v>
      </c>
      <c r="M52" s="15">
        <v>1.7360484893925413E-5</v>
      </c>
      <c r="N52" s="13">
        <v>23768</v>
      </c>
      <c r="O52" s="13">
        <v>66421</v>
      </c>
    </row>
    <row r="53" spans="1:25">
      <c r="B53" s="1" t="s">
        <v>14</v>
      </c>
      <c r="C53" s="8" t="s">
        <v>131</v>
      </c>
      <c r="D53" s="1">
        <v>3</v>
      </c>
      <c r="E53" s="1">
        <v>1</v>
      </c>
      <c r="F53" s="2">
        <v>27543.22223182123</v>
      </c>
      <c r="G53" s="3">
        <v>0.2532644178454842</v>
      </c>
      <c r="H53" s="2">
        <v>15.58741566920566</v>
      </c>
      <c r="I53" s="2">
        <v>681</v>
      </c>
      <c r="J53" s="2">
        <f t="shared" si="0"/>
        <v>0.17692907248636008</v>
      </c>
      <c r="K53" s="2">
        <f t="shared" si="1"/>
        <v>6.4568123637053193E-2</v>
      </c>
      <c r="L53" s="4">
        <v>6.3999999999999997E-5</v>
      </c>
      <c r="M53" s="15">
        <v>2.6004221453729176E-6</v>
      </c>
      <c r="N53" s="13">
        <v>3849</v>
      </c>
      <c r="O53" s="13">
        <v>10547</v>
      </c>
      <c r="P53" s="1">
        <f>STDEVP(F52:F61)</f>
        <v>51245.325421532172</v>
      </c>
      <c r="Q53" s="3">
        <f>STDEVP(G52:G61)</f>
        <v>0.39230113314138221</v>
      </c>
      <c r="R53" s="1">
        <f>STDEVP(H52:H61)</f>
        <v>467.41476069872692</v>
      </c>
      <c r="S53" s="1">
        <f>STDEVP(I52:I61)</f>
        <v>30532.482791283121</v>
      </c>
      <c r="T53" s="1">
        <f>STDEVP(J52:J61)</f>
        <v>1.1789964356405312E-2</v>
      </c>
      <c r="U53" s="4">
        <f>STDEVP(L52:L61)</f>
        <v>1.4322265358524815E-3</v>
      </c>
      <c r="V53" s="1">
        <f>STDEVP(M52:M61)</f>
        <v>5.3016624164340305E-5</v>
      </c>
      <c r="W53" s="6" t="s">
        <v>16</v>
      </c>
      <c r="X53" s="1" t="s">
        <v>146</v>
      </c>
      <c r="Y53" s="1" t="s">
        <v>479</v>
      </c>
    </row>
    <row r="54" spans="1:25">
      <c r="B54" s="1" t="s">
        <v>26</v>
      </c>
      <c r="C54" s="8" t="s">
        <v>102</v>
      </c>
      <c r="D54" s="1">
        <v>1</v>
      </c>
      <c r="E54" s="1">
        <v>1</v>
      </c>
      <c r="F54" s="2">
        <v>129489.05858970831</v>
      </c>
      <c r="G54" s="3">
        <v>1</v>
      </c>
      <c r="H54" s="1">
        <v>285.86493006993004</v>
      </c>
      <c r="I54" s="2">
        <v>35089</v>
      </c>
      <c r="J54" s="2">
        <f t="shared" si="0"/>
        <v>0.16698074598597112</v>
      </c>
      <c r="K54" s="2">
        <f t="shared" si="1"/>
        <v>7.1671929702723569E-2</v>
      </c>
      <c r="L54" s="4">
        <v>4.0270000000000002E-3</v>
      </c>
      <c r="M54" s="1">
        <v>1.682470997675642E-4</v>
      </c>
      <c r="N54" s="13">
        <v>210138</v>
      </c>
      <c r="O54" s="13">
        <v>489578</v>
      </c>
      <c r="P54" s="1">
        <f>STDEVP(F53:F61)</f>
        <v>53415.227723017786</v>
      </c>
      <c r="Q54" s="3">
        <f>STDEVP(G53:G61)</f>
        <v>0.40142779180200905</v>
      </c>
      <c r="R54" s="1">
        <f>STDEVP(H53:H61)</f>
        <v>490.37028499654156</v>
      </c>
      <c r="S54" s="1">
        <f>STDEVP(I53:I61)</f>
        <v>31924.801573481596</v>
      </c>
      <c r="T54" s="1">
        <f>STDEVP(J53:J61)</f>
        <v>7.8900151340473568E-3</v>
      </c>
      <c r="U54" s="4">
        <f>STDEVP(L53:L61)</f>
        <v>1.50134110418356E-3</v>
      </c>
      <c r="V54" s="1">
        <f>STDEVP(M53:M61)</f>
        <v>5.5597830256036884E-5</v>
      </c>
      <c r="W54" s="6" t="s">
        <v>16</v>
      </c>
      <c r="X54" s="1" t="s">
        <v>28</v>
      </c>
      <c r="Y54" s="1" t="s">
        <v>479</v>
      </c>
    </row>
    <row r="55" spans="1:25">
      <c r="B55" s="1" t="s">
        <v>51</v>
      </c>
      <c r="C55" s="8" t="s">
        <v>89</v>
      </c>
      <c r="D55" s="1">
        <v>3</v>
      </c>
      <c r="E55" s="1">
        <v>1</v>
      </c>
      <c r="F55" s="16">
        <v>129201.51275262728</v>
      </c>
      <c r="G55" s="3">
        <v>1</v>
      </c>
      <c r="H55" s="16">
        <v>81.223333333333329</v>
      </c>
      <c r="I55" s="16">
        <v>3894</v>
      </c>
      <c r="J55" s="2">
        <f t="shared" si="0"/>
        <v>0.1638337260181757</v>
      </c>
      <c r="K55" s="2">
        <f t="shared" si="1"/>
        <v>5.8626036946146549E-2</v>
      </c>
      <c r="L55" s="4">
        <v>5.1400000000000003E-4</v>
      </c>
      <c r="M55" s="15">
        <v>1.4975517645933591E-5</v>
      </c>
      <c r="N55" s="13">
        <v>23768</v>
      </c>
      <c r="O55" s="13">
        <v>66421</v>
      </c>
    </row>
    <row r="56" spans="1:25" ht="31.5">
      <c r="B56" s="1" t="s">
        <v>21</v>
      </c>
      <c r="C56" s="10" t="s">
        <v>138</v>
      </c>
      <c r="D56" s="1">
        <v>4</v>
      </c>
      <c r="E56" s="1">
        <v>1</v>
      </c>
      <c r="F56" s="19">
        <v>1905.6840858221346</v>
      </c>
      <c r="G56" s="3">
        <v>0.27203482045701849</v>
      </c>
      <c r="H56" s="19">
        <v>23.169466811751903</v>
      </c>
      <c r="I56" s="19">
        <v>1204</v>
      </c>
      <c r="J56" s="2">
        <f t="shared" si="0"/>
        <v>0.15860887893558162</v>
      </c>
      <c r="K56" s="2">
        <f t="shared" si="1"/>
        <v>3.8270820089001907E-2</v>
      </c>
      <c r="L56" s="4">
        <v>3.4E-5</v>
      </c>
      <c r="M56" s="20">
        <v>1.1736463174379695E-6</v>
      </c>
      <c r="N56" s="13">
        <v>7591</v>
      </c>
      <c r="O56" s="13">
        <v>31460</v>
      </c>
    </row>
    <row r="57" spans="1:25">
      <c r="B57" s="1" t="s">
        <v>14</v>
      </c>
      <c r="C57" s="8" t="s">
        <v>34</v>
      </c>
      <c r="D57" s="1">
        <v>1</v>
      </c>
      <c r="E57" s="1">
        <v>1</v>
      </c>
      <c r="F57" s="2">
        <v>103239.02104630684</v>
      </c>
      <c r="G57" s="3">
        <v>0.10299999999999999</v>
      </c>
      <c r="H57" s="1">
        <v>8.2198041349292712</v>
      </c>
      <c r="I57" s="2">
        <v>800</v>
      </c>
      <c r="J57" s="2">
        <f t="shared" si="0"/>
        <v>0.15567230978789648</v>
      </c>
      <c r="K57" s="2">
        <f t="shared" si="1"/>
        <v>6.3618290258449298E-2</v>
      </c>
      <c r="L57" s="4">
        <v>1.12E-4</v>
      </c>
      <c r="M57" s="1">
        <v>3.8276764283918529E-6</v>
      </c>
      <c r="N57" s="13">
        <v>5139</v>
      </c>
      <c r="O57" s="13">
        <v>12575</v>
      </c>
      <c r="P57" s="1">
        <f>STDEVP(F56:F63)</f>
        <v>50178.469454102393</v>
      </c>
      <c r="Q57" s="3">
        <f>STDEVP(G56:G63)</f>
        <v>0.38816995663879345</v>
      </c>
      <c r="R57" s="1">
        <f>STDEVP(H56:H63)</f>
        <v>672.84490965583495</v>
      </c>
      <c r="S57" s="1">
        <f>STDEVP(I56:I63)</f>
        <v>42761.472539541945</v>
      </c>
      <c r="T57" s="1">
        <f>STDEVP(J56:J63)</f>
        <v>3.7218662542654098E-3</v>
      </c>
      <c r="U57" s="4">
        <f>STDEVP(L56:L63)</f>
        <v>1.594052156406355E-3</v>
      </c>
      <c r="V57" s="1">
        <f>STDEVP(M56:M63)</f>
        <v>4.0844803229141745E-5</v>
      </c>
      <c r="W57" s="6" t="s">
        <v>16</v>
      </c>
      <c r="X57" s="1" t="s">
        <v>140</v>
      </c>
      <c r="Y57" s="1" t="s">
        <v>479</v>
      </c>
    </row>
    <row r="58" spans="1:25">
      <c r="B58" s="1" t="s">
        <v>51</v>
      </c>
      <c r="C58" s="8" t="s">
        <v>86</v>
      </c>
      <c r="D58" s="1">
        <v>3</v>
      </c>
      <c r="E58" s="1">
        <v>1</v>
      </c>
      <c r="F58" s="16">
        <v>121884.41414510661</v>
      </c>
      <c r="G58" s="3">
        <v>0.94120000000000004</v>
      </c>
      <c r="H58" s="16">
        <v>81.370385910385906</v>
      </c>
      <c r="I58" s="16">
        <v>3697</v>
      </c>
      <c r="J58" s="2">
        <f t="shared" si="0"/>
        <v>0.15554527095254123</v>
      </c>
      <c r="K58" s="2">
        <f t="shared" si="1"/>
        <v>5.5660107496123212E-2</v>
      </c>
      <c r="L58" s="4">
        <v>3.2699999999999998E-4</v>
      </c>
      <c r="M58" s="15">
        <v>1.4227640934358478E-5</v>
      </c>
      <c r="N58" s="13">
        <v>23768</v>
      </c>
      <c r="O58" s="13">
        <v>66421</v>
      </c>
    </row>
    <row r="59" spans="1:25" ht="31.5">
      <c r="A59" s="21" t="s">
        <v>167</v>
      </c>
      <c r="B59" s="1" t="s">
        <v>113</v>
      </c>
      <c r="C59" s="10" t="s">
        <v>168</v>
      </c>
      <c r="D59" s="1">
        <v>4</v>
      </c>
      <c r="E59" s="1">
        <v>1</v>
      </c>
      <c r="F59" s="16">
        <v>113726.3510271679</v>
      </c>
      <c r="G59" s="3">
        <v>0.99455514365152919</v>
      </c>
      <c r="H59" s="16">
        <v>1614.8251130696974</v>
      </c>
      <c r="I59" s="16">
        <v>102845</v>
      </c>
      <c r="J59" s="2">
        <f t="shared" si="0"/>
        <v>0.15397894345995605</v>
      </c>
      <c r="K59" s="2">
        <f t="shared" si="1"/>
        <v>0.103989613677751</v>
      </c>
      <c r="L59" s="4">
        <v>3.5599999999999998E-3</v>
      </c>
      <c r="M59" s="15">
        <v>1.0083143582766211E-4</v>
      </c>
      <c r="N59" s="13">
        <v>667916</v>
      </c>
      <c r="O59" s="13">
        <v>988993</v>
      </c>
      <c r="P59" s="13">
        <f>AVERAGE(F59:F70)</f>
        <v>53838.781800881123</v>
      </c>
      <c r="Q59" s="3">
        <f>AVERAGE(G59:G70)</f>
        <v>0.70807607900196834</v>
      </c>
      <c r="R59" s="13">
        <f>AVERAGE(H59:H70)</f>
        <v>304.32510901474802</v>
      </c>
      <c r="S59" s="13">
        <f>AVERAGE(I59:I70)</f>
        <v>20613.916666666668</v>
      </c>
      <c r="T59" s="1">
        <f>AVERAGE(J59:J70)</f>
        <v>0.14013889230830137</v>
      </c>
      <c r="U59" s="4">
        <f>AVERAGE(L59:L70)</f>
        <v>1.0171500000000001E-3</v>
      </c>
      <c r="V59" s="1">
        <f>AVERAGE(M59:M70)</f>
        <v>3.0794270347443207E-5</v>
      </c>
      <c r="W59" s="6" t="s">
        <v>11</v>
      </c>
      <c r="X59" s="1" t="s">
        <v>119</v>
      </c>
      <c r="Y59" s="1" t="s">
        <v>480</v>
      </c>
    </row>
    <row r="60" spans="1:25" ht="31.5">
      <c r="B60" s="1" t="s">
        <v>73</v>
      </c>
      <c r="C60" s="10" t="s">
        <v>152</v>
      </c>
      <c r="D60" s="1">
        <v>4</v>
      </c>
      <c r="E60" s="1">
        <v>1</v>
      </c>
      <c r="F60" s="16">
        <v>28603.823423821981</v>
      </c>
      <c r="G60" s="3">
        <v>0.97827206260941202</v>
      </c>
      <c r="H60" s="16">
        <v>111.52723715374317</v>
      </c>
      <c r="I60" s="16">
        <v>7654</v>
      </c>
      <c r="J60" s="2">
        <f t="shared" si="0"/>
        <v>0.15307999999999999</v>
      </c>
      <c r="K60" s="2">
        <f t="shared" si="1"/>
        <v>6.3475477268580716E-2</v>
      </c>
      <c r="L60" s="4">
        <v>3.1599999999999998E-4</v>
      </c>
      <c r="M60" s="15">
        <v>7.5030473639231651E-6</v>
      </c>
      <c r="N60" s="13">
        <v>50000</v>
      </c>
      <c r="O60" s="13">
        <v>120582</v>
      </c>
    </row>
    <row r="61" spans="1:25">
      <c r="B61" s="1" t="s">
        <v>14</v>
      </c>
      <c r="C61" s="8" t="s">
        <v>144</v>
      </c>
      <c r="D61" s="1">
        <v>1</v>
      </c>
      <c r="E61" s="1">
        <v>1</v>
      </c>
      <c r="F61" s="2">
        <v>372.77975269062983</v>
      </c>
      <c r="G61" s="3">
        <v>0.10299999999999999</v>
      </c>
      <c r="H61" s="1">
        <v>6.6282698585418931</v>
      </c>
      <c r="I61" s="2">
        <v>774</v>
      </c>
      <c r="J61" s="2">
        <f t="shared" si="0"/>
        <v>0.15061295971978983</v>
      </c>
      <c r="K61" s="2">
        <f t="shared" si="1"/>
        <v>6.1550695825049705E-2</v>
      </c>
      <c r="L61" s="4">
        <v>9.7E-5</v>
      </c>
      <c r="M61" s="1">
        <v>3.7305706659234003E-6</v>
      </c>
      <c r="N61" s="13">
        <v>5139</v>
      </c>
      <c r="O61" s="13">
        <v>12575</v>
      </c>
    </row>
    <row r="62" spans="1:25" ht="31.5">
      <c r="B62" s="1" t="s">
        <v>113</v>
      </c>
      <c r="C62" s="10" t="s">
        <v>147</v>
      </c>
      <c r="D62" s="1">
        <v>4</v>
      </c>
      <c r="E62" s="1">
        <v>1</v>
      </c>
      <c r="F62" s="16">
        <v>73400.0738324657</v>
      </c>
      <c r="G62" s="3">
        <v>0.99096385542168675</v>
      </c>
      <c r="H62" s="16">
        <v>1567.9593134639915</v>
      </c>
      <c r="I62" s="16">
        <v>99204</v>
      </c>
      <c r="J62" s="2">
        <f t="shared" si="0"/>
        <v>0.14852765916672156</v>
      </c>
      <c r="K62" s="2">
        <f t="shared" si="1"/>
        <v>0.10030809115939142</v>
      </c>
      <c r="L62" s="4">
        <v>4.0639999999999999E-3</v>
      </c>
      <c r="M62" s="15">
        <v>9.7152069111398551E-5</v>
      </c>
      <c r="N62" s="13">
        <v>667916</v>
      </c>
      <c r="O62" s="13">
        <v>988993</v>
      </c>
      <c r="P62" s="13">
        <f>AVERAGE(F62:F68)</f>
        <v>54853.995463665029</v>
      </c>
      <c r="Q62" s="3">
        <f>AVERAGE(G62:G68)</f>
        <v>0.7481505979605011</v>
      </c>
      <c r="R62" s="13">
        <f>AVERAGE(H62:H68)</f>
        <v>270.19366888750454</v>
      </c>
      <c r="S62" s="13">
        <f>AVERAGE(I62:I68)</f>
        <v>18950.857142857141</v>
      </c>
      <c r="T62" s="1">
        <f>AVERAGE(J62:J68)</f>
        <v>0.14010183857252673</v>
      </c>
      <c r="U62" s="4">
        <f>AVERAGE(L62:L68)</f>
        <v>1.1519285714285715E-3</v>
      </c>
      <c r="V62" s="1">
        <f>AVERAGE(M62:M68)</f>
        <v>3.6113356160840964E-5</v>
      </c>
      <c r="W62" s="6" t="s">
        <v>11</v>
      </c>
      <c r="X62" s="1" t="s">
        <v>119</v>
      </c>
      <c r="Y62" s="1" t="s">
        <v>479</v>
      </c>
    </row>
    <row r="63" spans="1:25">
      <c r="B63" s="1" t="s">
        <v>51</v>
      </c>
      <c r="C63" s="8" t="s">
        <v>70</v>
      </c>
      <c r="D63" s="1">
        <v>4</v>
      </c>
      <c r="E63" s="1">
        <v>0</v>
      </c>
      <c r="F63" s="2">
        <v>126892.74434240877</v>
      </c>
      <c r="G63" s="3">
        <v>0.84150000000000003</v>
      </c>
      <c r="H63" s="2">
        <v>8.7900621600621598</v>
      </c>
      <c r="I63" s="2">
        <v>438</v>
      </c>
      <c r="J63" s="2">
        <f t="shared" si="0"/>
        <v>0.14673366834170853</v>
      </c>
      <c r="K63" s="2">
        <f t="shared" si="1"/>
        <v>3.9427491223332431E-2</v>
      </c>
      <c r="L63" s="4">
        <v>1.8499999999999999E-5</v>
      </c>
      <c r="M63" s="15">
        <v>4.2891045754678259E-7</v>
      </c>
      <c r="N63" s="13">
        <v>2985</v>
      </c>
      <c r="O63" s="13">
        <v>11109</v>
      </c>
    </row>
    <row r="64" spans="1:25">
      <c r="B64" s="1" t="s">
        <v>73</v>
      </c>
      <c r="C64" s="8" t="s">
        <v>78</v>
      </c>
      <c r="D64" s="1">
        <v>2</v>
      </c>
      <c r="E64" s="1">
        <v>0</v>
      </c>
      <c r="F64" s="2">
        <v>17339.602484305007</v>
      </c>
      <c r="G64" s="3">
        <v>0.41190402636185769</v>
      </c>
      <c r="H64" s="1">
        <v>0.82549685923179894</v>
      </c>
      <c r="I64" s="2">
        <v>49</v>
      </c>
      <c r="J64" s="2">
        <f t="shared" si="0"/>
        <v>0.14583333333333334</v>
      </c>
      <c r="K64" s="2">
        <f t="shared" si="1"/>
        <v>0.14583333333333334</v>
      </c>
      <c r="L64" s="4">
        <v>5.0000000000000004E-6</v>
      </c>
      <c r="M64" s="1">
        <v>2.5743099334784467E-7</v>
      </c>
      <c r="N64" s="1">
        <v>336</v>
      </c>
      <c r="O64" s="1">
        <v>336</v>
      </c>
    </row>
    <row r="65" spans="1:25">
      <c r="B65" s="1" t="s">
        <v>14</v>
      </c>
      <c r="C65" s="8" t="s">
        <v>210</v>
      </c>
      <c r="D65" s="1">
        <v>1</v>
      </c>
      <c r="E65" s="1">
        <v>1</v>
      </c>
      <c r="F65" s="2">
        <v>47470.933283822909</v>
      </c>
      <c r="G65" s="3">
        <v>5.4600000000000003E-2</v>
      </c>
      <c r="H65" s="1">
        <v>6.1149075081610444</v>
      </c>
      <c r="I65" s="2">
        <v>720</v>
      </c>
      <c r="J65" s="2">
        <f t="shared" si="0"/>
        <v>0.14010507880910683</v>
      </c>
      <c r="K65" s="2">
        <f t="shared" si="1"/>
        <v>5.7256461232604375E-2</v>
      </c>
      <c r="L65" s="4">
        <v>8.7000000000000001E-5</v>
      </c>
      <c r="M65" s="1">
        <v>3.4345972059492754E-6</v>
      </c>
      <c r="N65" s="13">
        <v>5139</v>
      </c>
      <c r="O65" s="13">
        <v>12575</v>
      </c>
      <c r="P65" s="1">
        <f>AVERAGE(F65:F72)</f>
        <v>51841.411053596719</v>
      </c>
      <c r="Q65" s="3">
        <f>AVERAGE(G65:G72)</f>
        <v>0.77553602705649138</v>
      </c>
      <c r="R65" s="1">
        <f>AVERAGE(H65:H72)</f>
        <v>46.466625684336393</v>
      </c>
      <c r="S65" s="1">
        <f>AVERAGE(I65:I72)</f>
        <v>4733.25</v>
      </c>
      <c r="T65" s="1">
        <f>AVERAGE(J65:J72)</f>
        <v>0.12665303822297733</v>
      </c>
      <c r="U65" s="4">
        <f>AVERAGE(L65:L72)</f>
        <v>5.2428749999999997E-4</v>
      </c>
      <c r="V65" s="1">
        <f>AVERAGE(M65:M72)</f>
        <v>2.0133621470833009E-5</v>
      </c>
      <c r="W65" s="6" t="s">
        <v>11</v>
      </c>
      <c r="X65" s="1" t="s">
        <v>140</v>
      </c>
      <c r="Y65" s="1" t="s">
        <v>479</v>
      </c>
    </row>
    <row r="66" spans="1:25">
      <c r="B66" s="1" t="s">
        <v>26</v>
      </c>
      <c r="C66" s="8" t="s">
        <v>106</v>
      </c>
      <c r="D66" s="1">
        <v>1</v>
      </c>
      <c r="E66" s="1">
        <v>1</v>
      </c>
      <c r="F66" s="2">
        <v>109962.98052359103</v>
      </c>
      <c r="G66" s="3">
        <v>1</v>
      </c>
      <c r="H66" s="1">
        <v>235.35128205128206</v>
      </c>
      <c r="I66" s="2">
        <v>28930</v>
      </c>
      <c r="J66" s="2">
        <f t="shared" ref="J66:J129" si="2">I66/N66</f>
        <v>0.13767143496178702</v>
      </c>
      <c r="K66" s="2">
        <f t="shared" ref="K66:K129" si="3">I66/O66</f>
        <v>5.9091707552218438E-2</v>
      </c>
      <c r="L66" s="4">
        <v>3.522E-3</v>
      </c>
      <c r="M66" s="1">
        <v>1.3873056629256606E-4</v>
      </c>
      <c r="N66" s="13">
        <v>210138</v>
      </c>
      <c r="O66" s="13">
        <v>489578</v>
      </c>
    </row>
    <row r="67" spans="1:25">
      <c r="B67" s="1" t="s">
        <v>51</v>
      </c>
      <c r="C67" s="8" t="s">
        <v>134</v>
      </c>
      <c r="D67" s="1">
        <v>3</v>
      </c>
      <c r="E67" s="1">
        <v>1</v>
      </c>
      <c r="F67" s="16">
        <v>8650.7697688615153</v>
      </c>
      <c r="G67" s="3">
        <v>1</v>
      </c>
      <c r="H67" s="16">
        <v>70.197804972804988</v>
      </c>
      <c r="I67" s="16">
        <v>3234</v>
      </c>
      <c r="J67" s="2">
        <f t="shared" si="2"/>
        <v>0.13606529787950186</v>
      </c>
      <c r="K67" s="2">
        <f t="shared" si="3"/>
        <v>4.8689420514596286E-2</v>
      </c>
      <c r="L67" s="4">
        <v>3.5799999999999997E-4</v>
      </c>
      <c r="M67" s="15">
        <v>1.2476269823700328E-5</v>
      </c>
      <c r="N67" s="13">
        <v>23768</v>
      </c>
      <c r="O67" s="13">
        <v>66421</v>
      </c>
    </row>
    <row r="68" spans="1:25">
      <c r="B68" s="1" t="s">
        <v>120</v>
      </c>
      <c r="C68" s="8" t="s">
        <v>134</v>
      </c>
      <c r="D68" s="1">
        <v>3</v>
      </c>
      <c r="E68" s="1">
        <v>1</v>
      </c>
      <c r="F68" s="2">
        <v>260.86401020020793</v>
      </c>
      <c r="G68" s="3">
        <v>0.93808630393996251</v>
      </c>
      <c r="H68" s="2">
        <v>2.1168151969981239</v>
      </c>
      <c r="I68" s="2">
        <v>81</v>
      </c>
      <c r="J68" s="2">
        <f t="shared" si="2"/>
        <v>0.12577639751552794</v>
      </c>
      <c r="K68" s="2">
        <f t="shared" si="3"/>
        <v>0.10279187817258884</v>
      </c>
      <c r="L68" s="4">
        <v>9.0000000000000002E-6</v>
      </c>
      <c r="M68" s="15">
        <v>3.1364924137794124E-7</v>
      </c>
      <c r="N68" s="1">
        <v>644</v>
      </c>
      <c r="O68" s="1">
        <v>788</v>
      </c>
      <c r="P68" s="1">
        <f>STDEVP(F67:F69)</f>
        <v>3551.2499975966143</v>
      </c>
      <c r="Q68" s="3">
        <f>STDEVP(G67:G69)</f>
        <v>2.9186396221583564E-2</v>
      </c>
      <c r="R68" s="1">
        <f>STDEVP(H67:H69)</f>
        <v>29.168750098833303</v>
      </c>
      <c r="S68" s="1">
        <f>STDEVP(I67:I69)</f>
        <v>1431.2630785428653</v>
      </c>
      <c r="T68" s="1">
        <f>STDEVP(J67:J69)</f>
        <v>4.8949954526118491E-3</v>
      </c>
      <c r="U68" s="4">
        <f>STDEVP(L67:L69)</f>
        <v>1.4537017117230983E-4</v>
      </c>
      <c r="V68" s="1">
        <f>STDEVP(M67:M69)</f>
        <v>5.2280657354383792E-6</v>
      </c>
      <c r="W68" s="6" t="s">
        <v>16</v>
      </c>
      <c r="X68" s="1" t="s">
        <v>160</v>
      </c>
      <c r="Y68" s="1" t="s">
        <v>479</v>
      </c>
    </row>
    <row r="69" spans="1:25" ht="31.5">
      <c r="B69" s="1" t="s">
        <v>51</v>
      </c>
      <c r="C69" s="10" t="s">
        <v>147</v>
      </c>
      <c r="D69" s="1">
        <v>4</v>
      </c>
      <c r="E69" s="1">
        <v>1</v>
      </c>
      <c r="F69" s="16">
        <v>2466.2678262953882</v>
      </c>
      <c r="G69" s="3">
        <v>1</v>
      </c>
      <c r="H69" s="16">
        <v>17.384829059829059</v>
      </c>
      <c r="I69" s="16">
        <v>2985</v>
      </c>
      <c r="J69" s="2">
        <f t="shared" si="2"/>
        <v>0.12558902726354762</v>
      </c>
      <c r="K69" s="2">
        <f t="shared" si="3"/>
        <v>0.26870105320010801</v>
      </c>
      <c r="L69" s="4">
        <v>1.2229999999999999E-4</v>
      </c>
      <c r="M69" s="15">
        <v>2.9236461742923334E-6</v>
      </c>
      <c r="N69" s="13">
        <v>23768</v>
      </c>
      <c r="O69" s="13">
        <v>11109</v>
      </c>
      <c r="P69" s="13">
        <f>AVERAGE(F69:F75)</f>
        <v>55038.394015254169</v>
      </c>
      <c r="Q69" s="3">
        <f>AVERAGE(G69:G75)</f>
        <v>0.72622593696981264</v>
      </c>
      <c r="R69" s="13">
        <f>AVERAGE(H69:H75)</f>
        <v>183.56460691927978</v>
      </c>
      <c r="S69" s="13">
        <f>AVERAGE(I69:I75)</f>
        <v>11310.285714285714</v>
      </c>
      <c r="T69" s="1">
        <f>AVERAGE(J69:J75)</f>
        <v>0.1147314351245977</v>
      </c>
      <c r="U69" s="4">
        <f>AVERAGE(L69:L75)</f>
        <v>3.3518571428571429E-4</v>
      </c>
      <c r="V69" s="1">
        <f>AVERAGE(M69:M75)</f>
        <v>1.1249914036040937E-5</v>
      </c>
      <c r="W69" s="6" t="s">
        <v>11</v>
      </c>
      <c r="X69" s="1" t="s">
        <v>68</v>
      </c>
      <c r="Y69" s="1" t="s">
        <v>479</v>
      </c>
    </row>
    <row r="70" spans="1:25">
      <c r="B70" s="1" t="s">
        <v>14</v>
      </c>
      <c r="C70" s="8" t="s">
        <v>58</v>
      </c>
      <c r="D70" s="1">
        <v>3</v>
      </c>
      <c r="E70" s="1">
        <v>1</v>
      </c>
      <c r="F70" s="2">
        <v>116918.19133494249</v>
      </c>
      <c r="G70" s="3">
        <v>0.18403155603917301</v>
      </c>
      <c r="H70" s="2">
        <v>10.180176822633298</v>
      </c>
      <c r="I70" s="2">
        <v>453</v>
      </c>
      <c r="J70" s="2">
        <f t="shared" si="2"/>
        <v>0.11769290724863601</v>
      </c>
      <c r="K70" s="2">
        <f t="shared" si="3"/>
        <v>4.2950602066938466E-2</v>
      </c>
      <c r="L70" s="4">
        <v>4.6999999999999997E-5</v>
      </c>
      <c r="M70" s="15">
        <v>1.7490510116307352E-6</v>
      </c>
      <c r="N70" s="13">
        <v>3849</v>
      </c>
      <c r="O70" s="13">
        <v>10547</v>
      </c>
    </row>
    <row r="71" spans="1:25" ht="31.5">
      <c r="B71" s="1" t="s">
        <v>161</v>
      </c>
      <c r="C71" s="10" t="s">
        <v>151</v>
      </c>
      <c r="D71" s="1">
        <v>4</v>
      </c>
      <c r="E71" s="1">
        <v>1</v>
      </c>
      <c r="F71" s="16">
        <v>258.46287976190285</v>
      </c>
      <c r="G71" s="3">
        <v>1.1125703564727956</v>
      </c>
      <c r="H71" s="16">
        <v>23.880429956222635</v>
      </c>
      <c r="I71" s="16">
        <v>1123</v>
      </c>
      <c r="J71" s="2">
        <f t="shared" si="2"/>
        <v>0.11642131453452208</v>
      </c>
      <c r="K71" s="2">
        <f t="shared" si="3"/>
        <v>8.4959903162354369E-2</v>
      </c>
      <c r="L71" s="4">
        <v>3.8000000000000002E-5</v>
      </c>
      <c r="M71" s="15">
        <v>1.1010639912755503E-6</v>
      </c>
      <c r="N71" s="13">
        <v>9646</v>
      </c>
      <c r="O71" s="13">
        <v>13218</v>
      </c>
    </row>
    <row r="72" spans="1:25">
      <c r="B72" s="1" t="s">
        <v>51</v>
      </c>
      <c r="C72" s="8" t="s">
        <v>24</v>
      </c>
      <c r="D72" s="1">
        <v>4</v>
      </c>
      <c r="E72" s="1">
        <v>0</v>
      </c>
      <c r="F72" s="2">
        <v>128742.81880129833</v>
      </c>
      <c r="G72" s="3">
        <v>0.91500000000000004</v>
      </c>
      <c r="H72" s="2">
        <v>6.506759906759906</v>
      </c>
      <c r="I72" s="2">
        <v>340</v>
      </c>
      <c r="J72" s="2">
        <f t="shared" si="2"/>
        <v>0.11390284757118928</v>
      </c>
      <c r="K72" s="2">
        <f t="shared" si="3"/>
        <v>3.0605815104869927E-2</v>
      </c>
      <c r="L72" s="4">
        <v>1.1E-5</v>
      </c>
      <c r="M72" s="15">
        <v>3.4012802587187679E-7</v>
      </c>
      <c r="N72" s="13">
        <v>2985</v>
      </c>
      <c r="O72" s="13">
        <v>11109</v>
      </c>
    </row>
    <row r="73" spans="1:25" ht="31.5">
      <c r="B73" s="1" t="s">
        <v>21</v>
      </c>
      <c r="C73" s="10" t="s">
        <v>152</v>
      </c>
      <c r="D73" s="1">
        <v>4</v>
      </c>
      <c r="E73" s="1">
        <v>1</v>
      </c>
      <c r="F73" s="2">
        <v>4146.4207799654423</v>
      </c>
      <c r="G73" s="3">
        <v>0.2218443960826986</v>
      </c>
      <c r="H73" s="2">
        <v>16.16702937976061</v>
      </c>
      <c r="I73" s="2">
        <v>840</v>
      </c>
      <c r="J73" s="2">
        <f t="shared" si="2"/>
        <v>0.1106573573969174</v>
      </c>
      <c r="K73" s="2">
        <f t="shared" si="3"/>
        <v>2.6700572155117609E-2</v>
      </c>
      <c r="L73" s="4">
        <v>3.4999999999999997E-5</v>
      </c>
      <c r="M73" s="15">
        <v>8.3103372701680621E-7</v>
      </c>
      <c r="N73" s="13">
        <v>7591</v>
      </c>
      <c r="O73" s="13">
        <v>31460</v>
      </c>
    </row>
    <row r="74" spans="1:25" ht="31.5">
      <c r="B74" s="1" t="s">
        <v>161</v>
      </c>
      <c r="C74" s="10" t="s">
        <v>153</v>
      </c>
      <c r="D74" s="1">
        <v>4</v>
      </c>
      <c r="E74" s="1">
        <v>1</v>
      </c>
      <c r="F74" s="16">
        <v>35080.333964779347</v>
      </c>
      <c r="G74" s="3">
        <v>0.78173858661663542</v>
      </c>
      <c r="H74" s="16">
        <v>23.520000000000003</v>
      </c>
      <c r="I74" s="16">
        <v>1066</v>
      </c>
      <c r="J74" s="2">
        <f t="shared" si="2"/>
        <v>0.11051212938005391</v>
      </c>
      <c r="K74" s="2">
        <f t="shared" si="3"/>
        <v>8.0647601755182333E-2</v>
      </c>
      <c r="L74" s="4">
        <v>4.3000000000000002E-5</v>
      </c>
      <c r="M74" s="15">
        <v>1.0405061825569739E-6</v>
      </c>
      <c r="N74" s="13">
        <v>9646</v>
      </c>
      <c r="O74" s="13">
        <v>13218</v>
      </c>
    </row>
    <row r="75" spans="1:25" ht="31.5">
      <c r="B75" s="1" t="s">
        <v>113</v>
      </c>
      <c r="C75" s="10" t="s">
        <v>138</v>
      </c>
      <c r="D75" s="1">
        <v>4</v>
      </c>
      <c r="E75" s="1">
        <v>1</v>
      </c>
      <c r="F75" s="16">
        <v>97656.262519736294</v>
      </c>
      <c r="G75" s="3">
        <v>0.86839666357738643</v>
      </c>
      <c r="H75" s="16">
        <v>1187.3130233097529</v>
      </c>
      <c r="I75" s="16">
        <v>72365</v>
      </c>
      <c r="J75" s="2">
        <f t="shared" si="2"/>
        <v>0.10834446247731751</v>
      </c>
      <c r="K75" s="2">
        <f t="shared" si="3"/>
        <v>7.3170386443584534E-2</v>
      </c>
      <c r="L75" s="4">
        <v>2.0500000000000002E-3</v>
      </c>
      <c r="M75" s="15">
        <v>7.0763969139642289E-5</v>
      </c>
      <c r="N75" s="13">
        <v>667916</v>
      </c>
      <c r="O75" s="13">
        <v>988993</v>
      </c>
    </row>
    <row r="76" spans="1:25">
      <c r="B76" s="1" t="s">
        <v>51</v>
      </c>
      <c r="C76" s="8" t="s">
        <v>131</v>
      </c>
      <c r="D76" s="1">
        <v>3</v>
      </c>
      <c r="E76" s="1">
        <v>1</v>
      </c>
      <c r="F76" s="16">
        <v>97770.094796559264</v>
      </c>
      <c r="G76" s="3">
        <v>0.95289999999999997</v>
      </c>
      <c r="H76" s="16">
        <v>55.330603470603471</v>
      </c>
      <c r="I76" s="16">
        <v>2538</v>
      </c>
      <c r="J76" s="2">
        <f t="shared" si="2"/>
        <v>0.10678222820599124</v>
      </c>
      <c r="K76" s="2">
        <f t="shared" si="3"/>
        <v>3.8210806823143283E-2</v>
      </c>
      <c r="L76" s="4">
        <v>2.4000000000000001E-4</v>
      </c>
      <c r="M76" s="15">
        <v>9.7515830451484418E-6</v>
      </c>
      <c r="N76" s="13">
        <v>23768</v>
      </c>
      <c r="O76" s="13">
        <v>66421</v>
      </c>
    </row>
    <row r="77" spans="1:25" ht="31.5">
      <c r="A77" s="21" t="s">
        <v>167</v>
      </c>
      <c r="B77" s="1" t="s">
        <v>21</v>
      </c>
      <c r="C77" s="10" t="s">
        <v>168</v>
      </c>
      <c r="D77" s="1">
        <v>4</v>
      </c>
      <c r="E77" s="1">
        <v>1</v>
      </c>
      <c r="F77" s="2">
        <v>1044.0629640989573</v>
      </c>
      <c r="G77" s="3">
        <v>0.29447769314472255</v>
      </c>
      <c r="H77" s="2">
        <v>14.876951849836781</v>
      </c>
      <c r="I77" s="2">
        <v>805</v>
      </c>
      <c r="J77" s="2">
        <f t="shared" si="2"/>
        <v>0.10604663417204585</v>
      </c>
      <c r="K77" s="2">
        <f t="shared" si="3"/>
        <v>2.5588048315321042E-2</v>
      </c>
      <c r="L77" s="4">
        <v>2.8E-5</v>
      </c>
      <c r="M77" s="15">
        <v>7.9305623684678068E-7</v>
      </c>
      <c r="N77" s="13">
        <v>7591</v>
      </c>
      <c r="O77" s="13">
        <v>31460</v>
      </c>
      <c r="P77" s="1">
        <f>AVERAGE(F77:F88)</f>
        <v>22724.88328835362</v>
      </c>
      <c r="Q77" s="3">
        <f>AVERAGE(G77:G88)</f>
        <v>0.7245267008523969</v>
      </c>
      <c r="R77" s="1">
        <f>AVERAGE(H77:H88)</f>
        <v>71.851902181586553</v>
      </c>
      <c r="S77" s="1">
        <f>AVERAGE(I77:I88)</f>
        <v>6913.25</v>
      </c>
      <c r="T77" s="1">
        <f>AVERAGE(J77:J88)</f>
        <v>8.7285206125098561E-2</v>
      </c>
      <c r="U77" s="4">
        <f>AVERAGE(L77:L88)</f>
        <v>9.4440833333333336E-4</v>
      </c>
      <c r="V77" s="1">
        <f>AVERAGE(M77:M88)</f>
        <v>2.8856146046913115E-5</v>
      </c>
      <c r="W77" s="6" t="s">
        <v>11</v>
      </c>
      <c r="X77" s="1" t="s">
        <v>148</v>
      </c>
      <c r="Y77" s="1" t="s">
        <v>480</v>
      </c>
    </row>
    <row r="78" spans="1:25" ht="31.5">
      <c r="B78" s="1" t="s">
        <v>51</v>
      </c>
      <c r="C78" s="10" t="s">
        <v>152</v>
      </c>
      <c r="D78" s="1">
        <v>4</v>
      </c>
      <c r="E78" s="1">
        <v>1</v>
      </c>
      <c r="F78" s="16">
        <v>11401.463043633248</v>
      </c>
      <c r="G78" s="3">
        <v>0.98040000000000005</v>
      </c>
      <c r="H78" s="16">
        <v>44.454674954674957</v>
      </c>
      <c r="I78" s="16">
        <v>2426</v>
      </c>
      <c r="J78" s="2">
        <f t="shared" si="2"/>
        <v>0.10207001009761023</v>
      </c>
      <c r="K78" s="2">
        <f t="shared" si="3"/>
        <v>0.21838149248357189</v>
      </c>
      <c r="L78" s="4">
        <v>1E-4</v>
      </c>
      <c r="M78" s="15">
        <v>2.3743820771908752E-6</v>
      </c>
      <c r="N78" s="13">
        <v>23768</v>
      </c>
      <c r="O78" s="13">
        <v>11109</v>
      </c>
    </row>
    <row r="79" spans="1:25">
      <c r="B79" s="1" t="s">
        <v>26</v>
      </c>
      <c r="C79" s="8" t="s">
        <v>144</v>
      </c>
      <c r="D79" s="1">
        <v>1</v>
      </c>
      <c r="E79" s="1">
        <v>1</v>
      </c>
      <c r="F79" s="2">
        <v>9713.9312186831412</v>
      </c>
      <c r="G79" s="3">
        <v>1</v>
      </c>
      <c r="H79" s="1">
        <v>172.72010360010361</v>
      </c>
      <c r="I79" s="2">
        <v>21184</v>
      </c>
      <c r="J79" s="2">
        <f t="shared" si="2"/>
        <v>0.10080994394160028</v>
      </c>
      <c r="K79" s="2">
        <f t="shared" si="3"/>
        <v>4.3269918174427775E-2</v>
      </c>
      <c r="L79" s="4">
        <v>2.6410000000000001E-3</v>
      </c>
      <c r="M79" s="1">
        <v>1.015715167907598E-4</v>
      </c>
      <c r="N79" s="13">
        <v>210138</v>
      </c>
      <c r="O79" s="13">
        <v>489578</v>
      </c>
    </row>
    <row r="80" spans="1:25">
      <c r="B80" s="1" t="s">
        <v>120</v>
      </c>
      <c r="C80" s="8" t="s">
        <v>135</v>
      </c>
      <c r="D80" s="1">
        <v>3</v>
      </c>
      <c r="E80" s="1">
        <v>1</v>
      </c>
      <c r="F80" s="2">
        <v>278.56069545728525</v>
      </c>
      <c r="G80" s="3">
        <v>0.46904315196998125</v>
      </c>
      <c r="H80" s="2">
        <v>1.6691651031894936</v>
      </c>
      <c r="I80" s="2">
        <v>63</v>
      </c>
      <c r="J80" s="2">
        <f t="shared" si="2"/>
        <v>9.7826086956521743E-2</v>
      </c>
      <c r="K80" s="2">
        <f t="shared" si="3"/>
        <v>7.9949238578680207E-2</v>
      </c>
      <c r="L80" s="4">
        <v>5.0000000000000004E-6</v>
      </c>
      <c r="M80" s="15">
        <v>2.2809604372792641E-7</v>
      </c>
      <c r="N80" s="1">
        <v>644</v>
      </c>
      <c r="O80" s="1">
        <v>788</v>
      </c>
      <c r="Q80" s="3"/>
      <c r="U80" s="4"/>
    </row>
    <row r="81" spans="2:25">
      <c r="B81" s="1" t="s">
        <v>122</v>
      </c>
      <c r="C81" s="8" t="s">
        <v>108</v>
      </c>
      <c r="D81" s="1">
        <v>1</v>
      </c>
      <c r="E81" s="1">
        <v>1</v>
      </c>
      <c r="F81" s="2">
        <v>175862.85975429535</v>
      </c>
      <c r="G81" s="3">
        <v>1</v>
      </c>
      <c r="H81" s="1">
        <v>339.53571503957784</v>
      </c>
      <c r="I81" s="2">
        <v>31863</v>
      </c>
      <c r="J81" s="2">
        <f t="shared" si="2"/>
        <v>8.7183626563055797E-2</v>
      </c>
      <c r="K81" s="2">
        <f t="shared" si="3"/>
        <v>3.7573583517292126E-2</v>
      </c>
      <c r="L81" s="4">
        <v>6.5209999999999999E-3</v>
      </c>
      <c r="M81" s="1">
        <v>1.5279971384336534E-4</v>
      </c>
      <c r="N81" s="13">
        <v>365470</v>
      </c>
      <c r="O81" s="13">
        <v>848016</v>
      </c>
    </row>
    <row r="82" spans="2:25" ht="31.5">
      <c r="B82" s="1" t="s">
        <v>21</v>
      </c>
      <c r="C82" s="10" t="s">
        <v>153</v>
      </c>
      <c r="D82" s="1">
        <v>4</v>
      </c>
      <c r="E82" s="1">
        <v>1</v>
      </c>
      <c r="F82" s="2">
        <v>18838.024822218289</v>
      </c>
      <c r="G82" s="3">
        <v>0.3400435255712731</v>
      </c>
      <c r="H82" s="2">
        <v>12.630163220892275</v>
      </c>
      <c r="I82" s="2">
        <v>658</v>
      </c>
      <c r="J82" s="2">
        <f t="shared" si="2"/>
        <v>8.6681596627585303E-2</v>
      </c>
      <c r="K82" s="2">
        <f t="shared" si="3"/>
        <v>2.0915448188175461E-2</v>
      </c>
      <c r="L82" s="4">
        <v>2.6999999999999999E-5</v>
      </c>
      <c r="M82" s="15">
        <v>6.5334109137298369E-7</v>
      </c>
      <c r="N82" s="13">
        <v>7591</v>
      </c>
      <c r="O82" s="13">
        <v>31460</v>
      </c>
    </row>
    <row r="83" spans="2:25">
      <c r="B83" s="1" t="s">
        <v>51</v>
      </c>
      <c r="C83" s="8" t="s">
        <v>71</v>
      </c>
      <c r="D83" s="1">
        <v>4</v>
      </c>
      <c r="E83" s="1">
        <v>0</v>
      </c>
      <c r="F83" s="16">
        <v>4066.6585143613493</v>
      </c>
      <c r="G83" s="3">
        <v>0.94679999999999997</v>
      </c>
      <c r="H83" s="16">
        <v>4.4177907277907282</v>
      </c>
      <c r="I83" s="16">
        <v>257</v>
      </c>
      <c r="J83" s="2">
        <f t="shared" si="2"/>
        <v>8.6097152428810719E-2</v>
      </c>
      <c r="K83" s="2">
        <f t="shared" si="3"/>
        <v>2.3134395535151678E-2</v>
      </c>
      <c r="L83" s="4">
        <v>1.0900000000000001E-5</v>
      </c>
      <c r="M83" s="15">
        <v>2.5124028974420093E-7</v>
      </c>
      <c r="N83" s="13">
        <v>2985</v>
      </c>
      <c r="O83" s="13">
        <v>11109</v>
      </c>
    </row>
    <row r="84" spans="2:25" ht="31.5">
      <c r="B84" s="1" t="s">
        <v>51</v>
      </c>
      <c r="C84" s="10" t="s">
        <v>149</v>
      </c>
      <c r="D84" s="1">
        <v>4</v>
      </c>
      <c r="E84" s="1">
        <v>1</v>
      </c>
      <c r="F84" s="16">
        <v>14172.695194938451</v>
      </c>
      <c r="G84" s="3">
        <v>1</v>
      </c>
      <c r="H84" s="16">
        <v>32.371406371406373</v>
      </c>
      <c r="I84" s="16">
        <v>1850</v>
      </c>
      <c r="J84" s="2">
        <f t="shared" si="2"/>
        <v>7.7835745540222143E-2</v>
      </c>
      <c r="K84" s="2">
        <f t="shared" si="3"/>
        <v>0.16653164101179224</v>
      </c>
      <c r="L84" s="4">
        <v>5.7000000000000003E-5</v>
      </c>
      <c r="M84" s="15">
        <v>1.8053295044805931E-6</v>
      </c>
      <c r="N84" s="13">
        <v>23768</v>
      </c>
      <c r="O84" s="13">
        <v>11109</v>
      </c>
      <c r="P84" s="1">
        <f>STDEVP(F83:F89)</f>
        <v>20990.310508152525</v>
      </c>
      <c r="Q84" s="3">
        <f>STDEVP(G83:G89)</f>
        <v>0.33403336720838239</v>
      </c>
      <c r="R84" s="1">
        <f>STDEVP(H83:H89)</f>
        <v>39.90032458983557</v>
      </c>
      <c r="S84" s="1">
        <f>STDEVP(I83:I89)</f>
        <v>5024.9528051393227</v>
      </c>
      <c r="T84" s="1">
        <f>STDEVP(J83:J89)</f>
        <v>4.0539522178639044E-3</v>
      </c>
      <c r="U84" s="4">
        <f>STDEVP(L83:L89)</f>
        <v>5.4992247431351815E-4</v>
      </c>
      <c r="V84" s="1">
        <f>STDEVP(M83:M89)</f>
        <v>2.571152693552413E-5</v>
      </c>
      <c r="W84" s="6" t="s">
        <v>16</v>
      </c>
      <c r="X84" s="1" t="s">
        <v>68</v>
      </c>
      <c r="Y84" s="1" t="s">
        <v>479</v>
      </c>
    </row>
    <row r="85" spans="2:25">
      <c r="B85" s="1" t="s">
        <v>14</v>
      </c>
      <c r="C85" s="8" t="s">
        <v>143</v>
      </c>
      <c r="D85" s="1">
        <v>1</v>
      </c>
      <c r="E85" s="1">
        <v>1</v>
      </c>
      <c r="F85" s="2">
        <v>115.51595379286238</v>
      </c>
      <c r="G85" s="3">
        <v>4.5699999999999998E-2</v>
      </c>
      <c r="H85" s="1">
        <v>3.3890533188248098</v>
      </c>
      <c r="I85" s="2">
        <v>396</v>
      </c>
      <c r="J85" s="2">
        <f t="shared" si="2"/>
        <v>7.7057793345008757E-2</v>
      </c>
      <c r="K85" s="2">
        <f t="shared" si="3"/>
        <v>3.1491053677932403E-2</v>
      </c>
      <c r="L85" s="4">
        <v>4.3999999999999999E-5</v>
      </c>
      <c r="M85" s="1">
        <v>1.9026696186381096E-6</v>
      </c>
      <c r="N85" s="13">
        <v>5139</v>
      </c>
      <c r="O85" s="13">
        <v>12575</v>
      </c>
    </row>
    <row r="86" spans="2:25">
      <c r="B86" s="1" t="s">
        <v>26</v>
      </c>
      <c r="C86" s="8" t="s">
        <v>142</v>
      </c>
      <c r="D86" s="1">
        <v>1</v>
      </c>
      <c r="E86" s="1">
        <v>1</v>
      </c>
      <c r="F86" s="2">
        <v>13567.408652226712</v>
      </c>
      <c r="G86" s="3">
        <v>1</v>
      </c>
      <c r="H86" s="1">
        <v>131.57376327376326</v>
      </c>
      <c r="I86" s="2">
        <v>15965</v>
      </c>
      <c r="J86" s="2">
        <f t="shared" si="2"/>
        <v>7.5973883828722083E-2</v>
      </c>
      <c r="K86" s="2">
        <f t="shared" si="3"/>
        <v>3.2609716939895173E-2</v>
      </c>
      <c r="L86" s="4">
        <v>1.6570000000000001E-3</v>
      </c>
      <c r="M86" s="1">
        <v>7.6566809691595779E-5</v>
      </c>
      <c r="N86" s="13">
        <v>210138</v>
      </c>
      <c r="O86" s="13">
        <v>489578</v>
      </c>
    </row>
    <row r="87" spans="2:25" ht="31.5">
      <c r="B87" s="1" t="s">
        <v>73</v>
      </c>
      <c r="C87" s="10" t="s">
        <v>149</v>
      </c>
      <c r="D87" s="1">
        <v>4</v>
      </c>
      <c r="E87" s="1">
        <v>1</v>
      </c>
      <c r="F87" s="16">
        <v>23075.787562983864</v>
      </c>
      <c r="G87" s="3">
        <v>1</v>
      </c>
      <c r="H87" s="16">
        <v>52.706679023787459</v>
      </c>
      <c r="I87" s="16">
        <v>3788</v>
      </c>
      <c r="J87" s="2">
        <f t="shared" si="2"/>
        <v>7.5759999999999994E-2</v>
      </c>
      <c r="K87" s="2">
        <f t="shared" si="3"/>
        <v>3.1414307276376244E-2</v>
      </c>
      <c r="L87" s="4">
        <v>1.17E-4</v>
      </c>
      <c r="M87" s="15">
        <v>3.7056763513022699E-6</v>
      </c>
      <c r="N87" s="13">
        <v>50000</v>
      </c>
      <c r="O87" s="13">
        <v>120582</v>
      </c>
      <c r="P87" s="1">
        <f>STDEVP(F86:F92)</f>
        <v>49745.330180921177</v>
      </c>
      <c r="Q87" s="3">
        <f>STDEVP(G86:G92)</f>
        <v>0.12668718482149952</v>
      </c>
      <c r="R87" s="1">
        <f>STDEVP(H86:H92)</f>
        <v>46.773710325447027</v>
      </c>
      <c r="S87" s="1">
        <f>STDEVP(I86:I92)</f>
        <v>22791.764599324477</v>
      </c>
      <c r="T87" s="1">
        <f>STDEVP(J86:J92)</f>
        <v>5.347925141592224E-3</v>
      </c>
      <c r="U87" s="4">
        <f>STDEVP(L86:L92)</f>
        <v>2.2279740866114773E-3</v>
      </c>
      <c r="V87" s="1">
        <f>STDEVP(M86:M92)</f>
        <v>1.2045427877232206E-4</v>
      </c>
      <c r="W87" s="6" t="s">
        <v>16</v>
      </c>
      <c r="X87" s="1" t="s">
        <v>96</v>
      </c>
      <c r="Y87" s="1" t="s">
        <v>479</v>
      </c>
    </row>
    <row r="88" spans="2:25" ht="31.5">
      <c r="B88" s="1" t="s">
        <v>73</v>
      </c>
      <c r="C88" s="10" t="s">
        <v>151</v>
      </c>
      <c r="D88" s="1">
        <v>4</v>
      </c>
      <c r="E88" s="1">
        <v>1</v>
      </c>
      <c r="F88" s="16">
        <v>561.63108355390364</v>
      </c>
      <c r="G88" s="3">
        <v>0.61785603954278656</v>
      </c>
      <c r="H88" s="16">
        <v>51.877359695191018</v>
      </c>
      <c r="I88" s="16">
        <v>3704</v>
      </c>
      <c r="J88" s="2">
        <f t="shared" si="2"/>
        <v>7.4079999999999993E-2</v>
      </c>
      <c r="K88" s="2">
        <f t="shared" si="3"/>
        <v>3.0717685890099683E-2</v>
      </c>
      <c r="L88" s="4">
        <v>1.25E-4</v>
      </c>
      <c r="M88" s="15">
        <v>3.6219210239327312E-6</v>
      </c>
      <c r="N88" s="13">
        <v>50000</v>
      </c>
      <c r="O88" s="13">
        <v>120582</v>
      </c>
    </row>
    <row r="89" spans="2:25">
      <c r="B89" s="1" t="s">
        <v>113</v>
      </c>
      <c r="C89" s="8" t="s">
        <v>91</v>
      </c>
      <c r="D89" s="1">
        <v>3</v>
      </c>
      <c r="E89" s="1">
        <v>1</v>
      </c>
      <c r="F89" s="16">
        <v>65012.879578575972</v>
      </c>
      <c r="G89" s="3">
        <v>0.99327380262089759</v>
      </c>
      <c r="H89" s="16">
        <v>49.697612199930418</v>
      </c>
      <c r="I89" s="16">
        <v>2627</v>
      </c>
      <c r="J89" s="2">
        <f t="shared" si="2"/>
        <v>7.2474963445250645E-2</v>
      </c>
      <c r="K89" s="2">
        <f t="shared" si="3"/>
        <v>4.3752706438826158E-2</v>
      </c>
      <c r="L89" s="4">
        <v>2.24E-4</v>
      </c>
      <c r="M89" s="15">
        <v>1.0099801408079734E-5</v>
      </c>
      <c r="N89" s="13">
        <v>36247</v>
      </c>
      <c r="O89" s="13">
        <v>60042</v>
      </c>
      <c r="P89" s="13">
        <f>AVERAGE(F89:F91)</f>
        <v>103332.28533587705</v>
      </c>
      <c r="Q89" s="3">
        <f>AVERAGE(G89:G91)</f>
        <v>0.96190838841857051</v>
      </c>
      <c r="R89" s="13">
        <f>AVERAGE(H89:H91)</f>
        <v>101.38555440137294</v>
      </c>
      <c r="S89" s="13">
        <f>AVERAGE(I89:I91)</f>
        <v>25268.333333333332</v>
      </c>
      <c r="T89" s="1">
        <f>AVERAGE(J89:J91)</f>
        <v>6.9183621447937868E-2</v>
      </c>
      <c r="U89" s="4">
        <f>AVERAGE(L89:L91)</f>
        <v>2.4243333333333335E-3</v>
      </c>
      <c r="V89" s="1">
        <f>AVERAGE(M89:M91)</f>
        <v>1.2951475854872067E-4</v>
      </c>
      <c r="W89" s="6" t="s">
        <v>11</v>
      </c>
      <c r="X89" s="1" t="s">
        <v>114</v>
      </c>
      <c r="Y89" s="1" t="s">
        <v>479</v>
      </c>
    </row>
    <row r="90" spans="2:25">
      <c r="B90" s="1" t="s">
        <v>99</v>
      </c>
      <c r="C90" s="8" t="s">
        <v>41</v>
      </c>
      <c r="D90" s="1">
        <v>2</v>
      </c>
      <c r="E90" s="1">
        <v>1</v>
      </c>
      <c r="F90" s="16">
        <v>115833.16066715556</v>
      </c>
      <c r="G90" s="3">
        <v>0.92775136263481384</v>
      </c>
      <c r="H90" s="16">
        <v>168.4842931694306</v>
      </c>
      <c r="I90" s="16">
        <v>69111</v>
      </c>
      <c r="J90" s="2">
        <f t="shared" si="2"/>
        <v>6.9111000000000006E-2</v>
      </c>
      <c r="K90" s="2">
        <f t="shared" si="3"/>
        <v>6.4643428044421955E-2</v>
      </c>
      <c r="L90" s="4">
        <v>6.6389999999999999E-3</v>
      </c>
      <c r="M90" s="15">
        <v>3.5740017741108096E-4</v>
      </c>
      <c r="N90" s="13">
        <v>1000000</v>
      </c>
      <c r="O90" s="13">
        <v>1069111</v>
      </c>
      <c r="P90" s="13">
        <f>AVERAGE(F90:F91)</f>
        <v>122491.98821452761</v>
      </c>
      <c r="Q90" s="3">
        <f>AVERAGE(G90:G91)</f>
        <v>0.94622568131740692</v>
      </c>
      <c r="R90" s="13">
        <f>AVERAGE(H90:H91)</f>
        <v>127.22952550209422</v>
      </c>
      <c r="S90" s="13">
        <f>AVERAGE(I90:I91)</f>
        <v>36589</v>
      </c>
      <c r="T90" s="1">
        <f>AVERAGE(J90:J91)</f>
        <v>6.7537950449281486E-2</v>
      </c>
      <c r="U90" s="4">
        <f>AVERAGE(L90:L91)</f>
        <v>3.5244999999999999E-3</v>
      </c>
      <c r="V90" s="1">
        <f>AVERAGE(M90:M91)</f>
        <v>1.8922223711904116E-4</v>
      </c>
      <c r="W90" s="6" t="s">
        <v>11</v>
      </c>
      <c r="X90" s="1" t="s">
        <v>110</v>
      </c>
      <c r="Y90" s="1" t="s">
        <v>479</v>
      </c>
    </row>
    <row r="91" spans="2:25">
      <c r="B91" s="1" t="s">
        <v>26</v>
      </c>
      <c r="C91" s="8" t="s">
        <v>77</v>
      </c>
      <c r="D91" s="1">
        <v>2</v>
      </c>
      <c r="E91" s="1">
        <v>1</v>
      </c>
      <c r="F91" s="16">
        <v>129150.81576189963</v>
      </c>
      <c r="G91" s="3">
        <v>0.9647</v>
      </c>
      <c r="H91" s="16">
        <v>85.974757834757838</v>
      </c>
      <c r="I91" s="16">
        <v>4067</v>
      </c>
      <c r="J91" s="2">
        <f t="shared" si="2"/>
        <v>6.5964900898562953E-2</v>
      </c>
      <c r="K91" s="2">
        <f t="shared" si="3"/>
        <v>4.8905135820877577E-2</v>
      </c>
      <c r="L91" s="4">
        <v>4.0999999999999999E-4</v>
      </c>
      <c r="M91" s="15">
        <v>2.104429682700136E-5</v>
      </c>
      <c r="N91" s="13">
        <v>61654</v>
      </c>
      <c r="O91" s="13">
        <v>83161</v>
      </c>
      <c r="P91" s="13">
        <f>AVERAGE(F91:F94)</f>
        <v>36284.781132471908</v>
      </c>
      <c r="Q91" s="3">
        <f>AVERAGE(G91:G94)</f>
        <v>0.75829681719260067</v>
      </c>
      <c r="R91" s="13">
        <f>AVERAGE(H91:H94)</f>
        <v>53.753170570059851</v>
      </c>
      <c r="S91" s="13">
        <f>AVERAGE(I91:I94)</f>
        <v>4268.25</v>
      </c>
      <c r="T91" s="13">
        <f>AVERAGE(J91:J94)</f>
        <v>5.9305604822861617E-2</v>
      </c>
      <c r="U91" s="4">
        <f>AVERAGE(L91:L94)</f>
        <v>4.5224999999999996E-4</v>
      </c>
      <c r="V91" s="1">
        <f>AVERAGE(M91:M94)</f>
        <v>2.045830004345996E-5</v>
      </c>
      <c r="W91" s="6" t="s">
        <v>11</v>
      </c>
      <c r="X91" s="1" t="s">
        <v>42</v>
      </c>
      <c r="Y91" s="1" t="s">
        <v>479</v>
      </c>
    </row>
    <row r="92" spans="2:25">
      <c r="B92" s="1" t="s">
        <v>51</v>
      </c>
      <c r="C92" s="8" t="s">
        <v>135</v>
      </c>
      <c r="D92" s="1">
        <v>3</v>
      </c>
      <c r="E92" s="1">
        <v>1</v>
      </c>
      <c r="F92" s="16">
        <v>5251.7869259950712</v>
      </c>
      <c r="G92" s="3">
        <v>0.94920000000000004</v>
      </c>
      <c r="H92" s="16">
        <v>31.469261849261851</v>
      </c>
      <c r="I92" s="16">
        <v>1434</v>
      </c>
      <c r="J92" s="2">
        <f t="shared" si="2"/>
        <v>6.0333221137664088E-2</v>
      </c>
      <c r="K92" s="2">
        <f t="shared" si="3"/>
        <v>2.1589557519459207E-2</v>
      </c>
      <c r="L92" s="4">
        <v>1.21E-4</v>
      </c>
      <c r="M92" s="15">
        <v>5.5199242582158181E-6</v>
      </c>
      <c r="N92" s="13">
        <v>23768</v>
      </c>
      <c r="O92" s="13">
        <v>66421</v>
      </c>
    </row>
    <row r="93" spans="2:25">
      <c r="B93" s="1" t="s">
        <v>14</v>
      </c>
      <c r="C93" s="8" t="s">
        <v>86</v>
      </c>
      <c r="D93" s="1">
        <v>3</v>
      </c>
      <c r="E93" s="1">
        <v>1</v>
      </c>
      <c r="F93" s="2">
        <v>7583.4554073430563</v>
      </c>
      <c r="G93" s="3">
        <v>0.1192872687704026</v>
      </c>
      <c r="H93" s="2">
        <v>5.0627366702937984</v>
      </c>
      <c r="I93" s="2">
        <v>219</v>
      </c>
      <c r="J93" s="2">
        <f t="shared" si="2"/>
        <v>5.6897895557287609E-2</v>
      </c>
      <c r="K93" s="2">
        <f t="shared" si="3"/>
        <v>2.0764198350241774E-2</v>
      </c>
      <c r="L93" s="4">
        <v>1.9000000000000001E-5</v>
      </c>
      <c r="M93" s="15">
        <v>8.2668250077312276E-7</v>
      </c>
      <c r="N93" s="13">
        <v>3849</v>
      </c>
      <c r="O93" s="13">
        <v>10547</v>
      </c>
    </row>
    <row r="94" spans="2:25">
      <c r="B94" s="1" t="s">
        <v>26</v>
      </c>
      <c r="C94" s="8" t="s">
        <v>143</v>
      </c>
      <c r="D94" s="1">
        <v>1</v>
      </c>
      <c r="E94" s="1">
        <v>1</v>
      </c>
      <c r="F94" s="2">
        <v>3153.0664346498575</v>
      </c>
      <c r="G94" s="3">
        <v>1</v>
      </c>
      <c r="H94" s="1">
        <v>92.505925925925922</v>
      </c>
      <c r="I94" s="2">
        <v>11353</v>
      </c>
      <c r="J94" s="2">
        <f t="shared" si="2"/>
        <v>5.4026401697931832E-2</v>
      </c>
      <c r="K94" s="2">
        <f t="shared" si="3"/>
        <v>2.3189358998974625E-2</v>
      </c>
      <c r="L94" s="4">
        <v>1.2589999999999999E-3</v>
      </c>
      <c r="M94" s="1">
        <v>5.444229658784954E-5</v>
      </c>
      <c r="N94" s="13">
        <v>210138</v>
      </c>
      <c r="O94" s="13">
        <v>489578</v>
      </c>
    </row>
    <row r="95" spans="2:25">
      <c r="B95" s="1" t="s">
        <v>14</v>
      </c>
      <c r="C95" s="8" t="s">
        <v>134</v>
      </c>
      <c r="D95" s="1">
        <v>3</v>
      </c>
      <c r="E95" s="1">
        <v>1</v>
      </c>
      <c r="F95" s="2">
        <v>577.16411945275513</v>
      </c>
      <c r="G95" s="3">
        <v>0.18158324265505985</v>
      </c>
      <c r="H95" s="2">
        <v>4.6834738846572366</v>
      </c>
      <c r="I95" s="2">
        <v>206</v>
      </c>
      <c r="J95" s="2">
        <f t="shared" si="2"/>
        <v>5.3520394907768248E-2</v>
      </c>
      <c r="K95" s="2">
        <f t="shared" si="3"/>
        <v>1.9531620365980849E-2</v>
      </c>
      <c r="L95" s="4">
        <v>2.3E-5</v>
      </c>
      <c r="M95" s="15">
        <v>8.0154806129918308E-7</v>
      </c>
      <c r="N95" s="13">
        <v>3849</v>
      </c>
      <c r="O95" s="13">
        <v>10547</v>
      </c>
    </row>
    <row r="96" spans="2:25">
      <c r="B96" s="1" t="s">
        <v>99</v>
      </c>
      <c r="C96" s="8" t="s">
        <v>141</v>
      </c>
      <c r="D96" s="1">
        <v>1</v>
      </c>
      <c r="E96" s="1">
        <v>1</v>
      </c>
      <c r="F96" s="2">
        <v>109446.564488826</v>
      </c>
      <c r="G96" s="3">
        <v>0.81220000000000003</v>
      </c>
      <c r="H96" s="1">
        <v>88.93894004406819</v>
      </c>
      <c r="I96" s="2">
        <v>12216</v>
      </c>
      <c r="J96" s="2">
        <f t="shared" si="2"/>
        <v>5.2923668785173052E-2</v>
      </c>
      <c r="K96" s="2">
        <f t="shared" si="3"/>
        <v>4.1147799960253438E-2</v>
      </c>
      <c r="L96" s="4">
        <v>1.3439999999999999E-3</v>
      </c>
      <c r="M96" s="1">
        <v>5.8584258317990174E-5</v>
      </c>
      <c r="N96" s="13">
        <v>230823</v>
      </c>
      <c r="O96" s="13">
        <v>296881</v>
      </c>
      <c r="P96" s="1">
        <f>AVERAGE(F96:F99)</f>
        <v>68075.388432701729</v>
      </c>
      <c r="Q96" s="3">
        <f>AVERAGE(G96:G99)</f>
        <v>0.85314999999999996</v>
      </c>
      <c r="R96" s="1">
        <f>AVERAGE(H96:H99)</f>
        <v>28.730445642977681</v>
      </c>
      <c r="S96" s="1">
        <f>AVERAGE(I96:I99)</f>
        <v>3411.5</v>
      </c>
      <c r="T96" s="1">
        <f>AVERAGE(J96:J99)</f>
        <v>5.1047845295783198E-2</v>
      </c>
      <c r="U96" s="4">
        <f>AVERAGE(L96:L99)</f>
        <v>3.5039999999999995E-4</v>
      </c>
      <c r="V96" s="1">
        <f>AVERAGE(M96:M99)</f>
        <v>1.4993769721407784E-5</v>
      </c>
      <c r="W96" s="6" t="s">
        <v>11</v>
      </c>
      <c r="X96" s="1" t="s">
        <v>100</v>
      </c>
      <c r="Y96" s="1" t="s">
        <v>479</v>
      </c>
    </row>
    <row r="97" spans="1:25">
      <c r="B97" s="1" t="s">
        <v>51</v>
      </c>
      <c r="C97" s="8" t="s">
        <v>72</v>
      </c>
      <c r="D97" s="1">
        <v>4</v>
      </c>
      <c r="E97" s="1">
        <v>0</v>
      </c>
      <c r="F97" s="16">
        <v>3689.26153720202</v>
      </c>
      <c r="G97" s="3">
        <v>0.91500000000000004</v>
      </c>
      <c r="H97" s="16">
        <v>2.8002602952602951</v>
      </c>
      <c r="I97" s="16">
        <v>157</v>
      </c>
      <c r="J97" s="2">
        <f t="shared" si="2"/>
        <v>5.2596314907872699E-2</v>
      </c>
      <c r="K97" s="2">
        <f t="shared" si="3"/>
        <v>1.4132685210189936E-2</v>
      </c>
      <c r="L97" s="4">
        <v>6.9999999999999999E-6</v>
      </c>
      <c r="M97" s="15">
        <v>1.5265619264058756E-7</v>
      </c>
      <c r="N97" s="13">
        <v>2985</v>
      </c>
      <c r="O97" s="13">
        <v>11109</v>
      </c>
    </row>
    <row r="98" spans="1:25">
      <c r="B98" s="1" t="s">
        <v>51</v>
      </c>
      <c r="C98" s="8" t="s">
        <v>69</v>
      </c>
      <c r="D98" s="1">
        <v>4</v>
      </c>
      <c r="E98" s="1">
        <v>0</v>
      </c>
      <c r="F98" s="2">
        <v>128664.64479367706</v>
      </c>
      <c r="G98" s="3">
        <v>0.7843</v>
      </c>
      <c r="H98" s="2">
        <v>2.7327920227920228</v>
      </c>
      <c r="I98" s="2">
        <v>154</v>
      </c>
      <c r="J98" s="2">
        <f t="shared" si="2"/>
        <v>5.1591289782244559E-2</v>
      </c>
      <c r="K98" s="2">
        <f t="shared" si="3"/>
        <v>1.3862633900441084E-2</v>
      </c>
      <c r="L98" s="4">
        <v>5.5999999999999997E-6</v>
      </c>
      <c r="M98" s="15">
        <v>1.4926255604539745E-7</v>
      </c>
      <c r="N98" s="13">
        <v>2985</v>
      </c>
      <c r="O98" s="13">
        <v>11109</v>
      </c>
      <c r="P98" s="1">
        <f>STDEVP(F97:F102)</f>
        <v>54031.140848659998</v>
      </c>
      <c r="Q98" s="3">
        <f>STDEVP(G97:G102)</f>
        <v>0.28288676857862088</v>
      </c>
      <c r="R98" s="1">
        <f>STDEVP(H97:H102)</f>
        <v>19.216949431558806</v>
      </c>
      <c r="S98" s="1">
        <f>STDEVP(I97:I102)</f>
        <v>1027.0973663679604</v>
      </c>
      <c r="T98" s="1">
        <f>STDEVP(J97:J102)</f>
        <v>3.4962449339664414E-3</v>
      </c>
      <c r="U98" s="4">
        <f>STDEVP(L97:L102)</f>
        <v>9.0707251945781916E-5</v>
      </c>
      <c r="V98" s="1">
        <f>STDEVP(M97:M102)</f>
        <v>4.8060441574120589E-6</v>
      </c>
      <c r="W98" s="6" t="s">
        <v>16</v>
      </c>
      <c r="X98" s="1" t="s">
        <v>68</v>
      </c>
      <c r="Y98" s="1" t="s">
        <v>13</v>
      </c>
    </row>
    <row r="99" spans="1:25" ht="31.5">
      <c r="B99" s="1" t="s">
        <v>51</v>
      </c>
      <c r="C99" s="10" t="s">
        <v>153</v>
      </c>
      <c r="D99" s="1">
        <v>4</v>
      </c>
      <c r="E99" s="1">
        <v>1</v>
      </c>
      <c r="F99" s="16">
        <v>30501.082911101854</v>
      </c>
      <c r="G99" s="3">
        <v>0.90110000000000001</v>
      </c>
      <c r="H99" s="16">
        <v>20.449790209790208</v>
      </c>
      <c r="I99" s="16">
        <v>1119</v>
      </c>
      <c r="J99" s="2">
        <f t="shared" si="2"/>
        <v>4.7080107707842475E-2</v>
      </c>
      <c r="K99" s="2">
        <f t="shared" si="3"/>
        <v>0.1007291385363219</v>
      </c>
      <c r="L99" s="4">
        <v>4.5000000000000003E-5</v>
      </c>
      <c r="M99" s="15">
        <v>1.0889018189549728E-6</v>
      </c>
      <c r="N99" s="13">
        <v>23768</v>
      </c>
      <c r="O99" s="13">
        <v>11109</v>
      </c>
    </row>
    <row r="100" spans="1:25">
      <c r="B100" s="1" t="s">
        <v>14</v>
      </c>
      <c r="C100" s="8" t="s">
        <v>135</v>
      </c>
      <c r="D100" s="1">
        <v>3</v>
      </c>
      <c r="E100" s="1">
        <v>1</v>
      </c>
      <c r="F100" s="2">
        <v>680.85638038592015</v>
      </c>
      <c r="G100" s="3">
        <v>0.1795429815016322</v>
      </c>
      <c r="H100" s="2">
        <v>4.0797633297062026</v>
      </c>
      <c r="I100" s="2">
        <v>177</v>
      </c>
      <c r="J100" s="2">
        <f t="shared" si="2"/>
        <v>4.5985970381917381E-2</v>
      </c>
      <c r="K100" s="2">
        <f t="shared" si="3"/>
        <v>1.6782023324168008E-2</v>
      </c>
      <c r="L100" s="4">
        <v>1.5E-5</v>
      </c>
      <c r="M100" s="15">
        <v>6.8428813118377914E-7</v>
      </c>
      <c r="N100" s="13">
        <v>3849</v>
      </c>
      <c r="O100" s="13">
        <v>10547</v>
      </c>
    </row>
    <row r="101" spans="1:25" ht="31.5">
      <c r="A101" s="21" t="s">
        <v>167</v>
      </c>
      <c r="B101" s="1" t="s">
        <v>80</v>
      </c>
      <c r="C101" s="10" t="s">
        <v>170</v>
      </c>
      <c r="D101" s="1">
        <v>4</v>
      </c>
      <c r="E101" s="1">
        <v>1</v>
      </c>
      <c r="F101" s="16">
        <v>25701.223313206639</v>
      </c>
      <c r="G101" s="3">
        <v>0.97827206260941202</v>
      </c>
      <c r="H101" s="16">
        <v>31.216265060240968</v>
      </c>
      <c r="I101" s="16">
        <v>2253</v>
      </c>
      <c r="J101" s="2">
        <f t="shared" si="2"/>
        <v>4.5060000000000003E-2</v>
      </c>
      <c r="K101" s="2">
        <f t="shared" si="3"/>
        <v>1.8684380753346271E-2</v>
      </c>
      <c r="L101" s="4">
        <v>6.7999999999999999E-5</v>
      </c>
      <c r="M101" s="15">
        <v>2.2140832866559231E-6</v>
      </c>
      <c r="N101" s="13">
        <v>50000</v>
      </c>
      <c r="O101" s="13">
        <v>120582</v>
      </c>
    </row>
    <row r="102" spans="1:25">
      <c r="B102" s="1" t="s">
        <v>26</v>
      </c>
      <c r="C102" s="8" t="s">
        <v>49</v>
      </c>
      <c r="D102" s="1">
        <v>2</v>
      </c>
      <c r="E102" s="1">
        <v>0</v>
      </c>
      <c r="F102" s="2">
        <v>126292.54773432223</v>
      </c>
      <c r="G102" s="3">
        <v>1</v>
      </c>
      <c r="H102" s="1">
        <v>55.274333074333079</v>
      </c>
      <c r="I102" s="2">
        <v>2638</v>
      </c>
      <c r="J102" s="2">
        <f t="shared" si="2"/>
        <v>4.2787167093781428E-2</v>
      </c>
      <c r="K102" s="2">
        <f t="shared" si="3"/>
        <v>3.1721600269357032E-2</v>
      </c>
      <c r="L102" s="4">
        <v>2.6400000000000002E-4</v>
      </c>
      <c r="M102" s="1">
        <v>1.3617121643131054E-5</v>
      </c>
      <c r="N102" s="13">
        <v>61654</v>
      </c>
      <c r="O102" s="13">
        <v>83161</v>
      </c>
    </row>
    <row r="103" spans="1:25">
      <c r="B103" s="1" t="s">
        <v>73</v>
      </c>
      <c r="C103" s="8" t="s">
        <v>79</v>
      </c>
      <c r="D103" s="1">
        <v>2</v>
      </c>
      <c r="E103" s="1">
        <v>0</v>
      </c>
      <c r="F103" s="2">
        <v>1.41722406329498</v>
      </c>
      <c r="G103" s="3">
        <v>0.1788693234476367</v>
      </c>
      <c r="H103" s="1">
        <v>0.23490474719390381</v>
      </c>
      <c r="I103" s="2">
        <v>14</v>
      </c>
      <c r="J103" s="2">
        <f t="shared" si="2"/>
        <v>4.1666666666666664E-2</v>
      </c>
      <c r="K103" s="2">
        <f t="shared" si="3"/>
        <v>4.1666666666666664E-2</v>
      </c>
      <c r="L103" s="4">
        <v>9.9999999999999995E-7</v>
      </c>
      <c r="M103" s="1">
        <v>5.0790967819778703E-8</v>
      </c>
      <c r="N103" s="1">
        <v>336</v>
      </c>
      <c r="O103" s="1">
        <v>336</v>
      </c>
    </row>
    <row r="104" spans="1:25" ht="31.5">
      <c r="B104" s="1" t="s">
        <v>73</v>
      </c>
      <c r="C104" s="10" t="s">
        <v>138</v>
      </c>
      <c r="D104" s="1">
        <v>4</v>
      </c>
      <c r="E104" s="1">
        <v>1</v>
      </c>
      <c r="F104" s="16">
        <v>2452.922388906507</v>
      </c>
      <c r="G104" s="3">
        <v>1</v>
      </c>
      <c r="H104" s="16">
        <v>29.8228359592215</v>
      </c>
      <c r="I104" s="16">
        <v>2047</v>
      </c>
      <c r="J104" s="2">
        <f t="shared" si="2"/>
        <v>4.0939999999999997E-2</v>
      </c>
      <c r="K104" s="2">
        <f t="shared" si="3"/>
        <v>1.6975999734620426E-2</v>
      </c>
      <c r="L104" s="4">
        <v>5.8E-5</v>
      </c>
      <c r="M104" s="15">
        <v>2.0021025415118303E-6</v>
      </c>
      <c r="N104" s="13">
        <v>50000</v>
      </c>
      <c r="O104" s="13">
        <v>120582</v>
      </c>
    </row>
    <row r="105" spans="1:25">
      <c r="B105" s="1" t="s">
        <v>51</v>
      </c>
      <c r="C105" s="8" t="s">
        <v>91</v>
      </c>
      <c r="D105" s="1">
        <v>3</v>
      </c>
      <c r="E105" s="1">
        <v>1</v>
      </c>
      <c r="F105" s="16">
        <v>25203.610350857471</v>
      </c>
      <c r="G105" s="3">
        <v>0.84560000000000002</v>
      </c>
      <c r="H105" s="16">
        <v>19.266324786324788</v>
      </c>
      <c r="I105" s="16">
        <v>912</v>
      </c>
      <c r="J105" s="2">
        <f t="shared" si="2"/>
        <v>3.8370918882531135E-2</v>
      </c>
      <c r="K105" s="2">
        <f t="shared" si="3"/>
        <v>1.3730597250869454E-2</v>
      </c>
      <c r="L105" s="4">
        <v>7.7999999999999999E-5</v>
      </c>
      <c r="M105" s="15">
        <v>3.5168951331706218E-6</v>
      </c>
      <c r="N105" s="13">
        <v>23768</v>
      </c>
      <c r="O105" s="13">
        <v>66421</v>
      </c>
    </row>
    <row r="106" spans="1:25" ht="31.5">
      <c r="B106" s="1" t="s">
        <v>73</v>
      </c>
      <c r="C106" s="10" t="s">
        <v>153</v>
      </c>
      <c r="D106" s="1">
        <v>4</v>
      </c>
      <c r="E106" s="1">
        <v>1</v>
      </c>
      <c r="F106" s="16">
        <v>38255.662309444262</v>
      </c>
      <c r="G106" s="3">
        <v>1</v>
      </c>
      <c r="H106" s="16">
        <v>25.518146431881373</v>
      </c>
      <c r="I106" s="16">
        <v>1756</v>
      </c>
      <c r="J106" s="2">
        <f t="shared" si="2"/>
        <v>3.5119999999999998E-2</v>
      </c>
      <c r="K106" s="2">
        <f t="shared" si="3"/>
        <v>1.4562704217876631E-2</v>
      </c>
      <c r="L106" s="4">
        <v>7.1000000000000005E-5</v>
      </c>
      <c r="M106" s="15">
        <v>1.7180450921289574E-6</v>
      </c>
      <c r="N106" s="13">
        <v>50000</v>
      </c>
      <c r="O106" s="13">
        <v>120582</v>
      </c>
    </row>
    <row r="107" spans="1:25">
      <c r="B107" s="1" t="s">
        <v>51</v>
      </c>
      <c r="C107" s="8" t="s">
        <v>61</v>
      </c>
      <c r="D107" s="1">
        <v>3</v>
      </c>
      <c r="E107" s="1">
        <v>0</v>
      </c>
      <c r="F107" s="16">
        <v>184.27531693704552</v>
      </c>
      <c r="G107" s="3">
        <v>0.96579999999999999</v>
      </c>
      <c r="H107" s="16">
        <v>16.511127946127946</v>
      </c>
      <c r="I107" s="16">
        <v>779</v>
      </c>
      <c r="J107" s="2">
        <f t="shared" si="2"/>
        <v>3.2775159878828675E-2</v>
      </c>
      <c r="K107" s="2">
        <f t="shared" si="3"/>
        <v>1.1728218485117658E-2</v>
      </c>
      <c r="L107" s="4">
        <v>7.8999999999999996E-5</v>
      </c>
      <c r="M107" s="15">
        <v>2.9922648951057774E-6</v>
      </c>
      <c r="N107" s="13">
        <v>23768</v>
      </c>
      <c r="O107" s="13">
        <v>66421</v>
      </c>
    </row>
    <row r="108" spans="1:25" ht="31.5">
      <c r="A108" s="21" t="s">
        <v>167</v>
      </c>
      <c r="B108" s="1" t="s">
        <v>161</v>
      </c>
      <c r="C108" s="10" t="s">
        <v>173</v>
      </c>
      <c r="D108" s="1">
        <v>4</v>
      </c>
      <c r="E108" s="1">
        <v>1</v>
      </c>
      <c r="F108" s="2">
        <v>13652.529472397999</v>
      </c>
      <c r="G108" s="3">
        <v>0.86053783614759227</v>
      </c>
      <c r="H108" s="2">
        <v>6.7575609756097563</v>
      </c>
      <c r="I108" s="2">
        <v>312</v>
      </c>
      <c r="J108" s="2">
        <f t="shared" si="2"/>
        <v>3.2345013477088951E-2</v>
      </c>
      <c r="K108" s="2">
        <f t="shared" si="3"/>
        <v>5.5195350853139678E-4</v>
      </c>
      <c r="L108" s="4">
        <v>1.0000000000000001E-5</v>
      </c>
      <c r="M108" s="15">
        <v>2.9704698878659387E-7</v>
      </c>
      <c r="N108" s="13">
        <v>9646</v>
      </c>
      <c r="O108" s="13">
        <v>565265</v>
      </c>
    </row>
    <row r="109" spans="1:25" ht="31.5">
      <c r="A109" s="21" t="s">
        <v>167</v>
      </c>
      <c r="B109" s="1" t="s">
        <v>21</v>
      </c>
      <c r="C109" s="10" t="s">
        <v>170</v>
      </c>
      <c r="D109" s="1">
        <v>4</v>
      </c>
      <c r="E109" s="1">
        <v>1</v>
      </c>
      <c r="F109" s="2">
        <v>3661.4856193118144</v>
      </c>
      <c r="G109" s="3">
        <v>0.17247007616974971</v>
      </c>
      <c r="H109" s="2">
        <v>4.4471776387377586</v>
      </c>
      <c r="I109" s="2">
        <v>243</v>
      </c>
      <c r="J109" s="2">
        <f t="shared" si="2"/>
        <v>3.2011592675536819E-2</v>
      </c>
      <c r="K109" s="2">
        <f t="shared" si="3"/>
        <v>7.7240940877304513E-3</v>
      </c>
      <c r="L109" s="4">
        <v>7.3000000000000004E-6</v>
      </c>
      <c r="M109" s="15">
        <v>2.3768835283218002E-7</v>
      </c>
      <c r="N109" s="13">
        <v>7591</v>
      </c>
      <c r="O109" s="13">
        <v>31460</v>
      </c>
    </row>
    <row r="110" spans="1:25">
      <c r="B110" s="1" t="s">
        <v>120</v>
      </c>
      <c r="C110" s="8" t="s">
        <v>44</v>
      </c>
      <c r="D110" s="1">
        <v>2</v>
      </c>
      <c r="E110" s="1">
        <v>1</v>
      </c>
      <c r="F110" s="16">
        <v>154886.5237034829</v>
      </c>
      <c r="G110" s="3">
        <v>0.18761726078799248</v>
      </c>
      <c r="H110" s="16">
        <v>26.887804878048783</v>
      </c>
      <c r="I110" s="16">
        <v>1060</v>
      </c>
      <c r="J110" s="2">
        <f t="shared" si="2"/>
        <v>3.0902889128596834E-2</v>
      </c>
      <c r="K110" s="2">
        <f t="shared" si="3"/>
        <v>2.9780300050570321E-2</v>
      </c>
      <c r="L110" s="4">
        <v>9.7999999999999997E-5</v>
      </c>
      <c r="M110" s="15">
        <v>5.4736626499761201E-6</v>
      </c>
      <c r="N110" s="13">
        <v>34301</v>
      </c>
      <c r="O110" s="13">
        <v>35594</v>
      </c>
    </row>
    <row r="111" spans="1:25">
      <c r="B111" s="1" t="s">
        <v>14</v>
      </c>
      <c r="C111" s="8" t="s">
        <v>45</v>
      </c>
      <c r="D111" s="1">
        <v>2</v>
      </c>
      <c r="E111" s="1">
        <v>1</v>
      </c>
      <c r="F111" s="2">
        <v>4801.6912767660497</v>
      </c>
      <c r="G111" s="3">
        <v>0.99292709466811757</v>
      </c>
      <c r="H111" s="2">
        <v>17.682219804134931</v>
      </c>
      <c r="I111" s="2">
        <v>682</v>
      </c>
      <c r="J111" s="2">
        <f t="shared" si="2"/>
        <v>3.0622782991334023E-2</v>
      </c>
      <c r="K111" s="2">
        <f t="shared" si="3"/>
        <v>2.9694779466190622E-2</v>
      </c>
      <c r="L111" s="4">
        <v>6.0000000000000002E-5</v>
      </c>
      <c r="M111" s="15">
        <v>3.530729353528704E-6</v>
      </c>
      <c r="N111" s="13">
        <v>22271</v>
      </c>
      <c r="O111" s="13">
        <v>22967</v>
      </c>
      <c r="P111" s="1">
        <f>AVERAGE(F111:F113)</f>
        <v>2467.69707862101</v>
      </c>
      <c r="Q111" s="3">
        <f>AVERAGE(G111:G113)</f>
        <v>0.86918220228774656</v>
      </c>
      <c r="R111" s="1">
        <f>AVERAGE(H111:H113)</f>
        <v>12.062961398884326</v>
      </c>
      <c r="S111" s="1">
        <f>AVERAGE(I111:I113)</f>
        <v>544.66666666666663</v>
      </c>
      <c r="T111" s="1">
        <f>AVERAGE(J111:J113)</f>
        <v>2.9307889279669212E-2</v>
      </c>
      <c r="U111" s="4">
        <f>AVERAGE(L111:L113)</f>
        <v>3.0333333333333333E-5</v>
      </c>
      <c r="V111" s="1">
        <f>AVERAGE(M111:M113)</f>
        <v>1.4905054600611383E-6</v>
      </c>
      <c r="W111" s="6" t="s">
        <v>11</v>
      </c>
      <c r="X111" s="1" t="s">
        <v>145</v>
      </c>
      <c r="Y111" s="1" t="s">
        <v>479</v>
      </c>
    </row>
    <row r="112" spans="1:25" ht="31.5">
      <c r="B112" s="1" t="s">
        <v>161</v>
      </c>
      <c r="C112" s="10" t="s">
        <v>152</v>
      </c>
      <c r="D112" s="1">
        <v>4</v>
      </c>
      <c r="E112" s="1">
        <v>1</v>
      </c>
      <c r="F112" s="2">
        <v>1588.7265777728753</v>
      </c>
      <c r="G112" s="3">
        <v>0.70121951219512191</v>
      </c>
      <c r="H112" s="2">
        <v>6.1944965603502187</v>
      </c>
      <c r="I112" s="2">
        <v>280</v>
      </c>
      <c r="J112" s="2">
        <f t="shared" si="2"/>
        <v>2.9027576197387519E-2</v>
      </c>
      <c r="K112" s="2">
        <f t="shared" si="3"/>
        <v>2.1183234982599487E-2</v>
      </c>
      <c r="L112" s="4">
        <v>1.2E-5</v>
      </c>
      <c r="M112" s="15">
        <v>2.8492584926290503E-7</v>
      </c>
      <c r="N112" s="13">
        <v>9646</v>
      </c>
      <c r="O112" s="13">
        <v>13218</v>
      </c>
    </row>
    <row r="113" spans="1:25" ht="31.5">
      <c r="B113" s="1" t="s">
        <v>51</v>
      </c>
      <c r="C113" s="10" t="s">
        <v>138</v>
      </c>
      <c r="D113" s="1">
        <v>4</v>
      </c>
      <c r="E113" s="1">
        <v>1</v>
      </c>
      <c r="F113" s="19">
        <v>1012.6733813241057</v>
      </c>
      <c r="G113" s="3">
        <v>0.91339999999999999</v>
      </c>
      <c r="H113" s="19">
        <v>12.312167832167832</v>
      </c>
      <c r="I113" s="19">
        <v>672</v>
      </c>
      <c r="J113" s="2">
        <f t="shared" si="2"/>
        <v>2.82733086502861E-2</v>
      </c>
      <c r="K113" s="2">
        <f t="shared" si="3"/>
        <v>6.0491493383742913E-2</v>
      </c>
      <c r="L113" s="4">
        <v>1.9000000000000001E-5</v>
      </c>
      <c r="M113" s="20">
        <v>6.5586117739180656E-7</v>
      </c>
      <c r="N113" s="13">
        <v>23768</v>
      </c>
      <c r="O113" s="13">
        <v>11109</v>
      </c>
    </row>
    <row r="114" spans="1:25">
      <c r="B114" s="1" t="s">
        <v>73</v>
      </c>
      <c r="C114" s="8" t="s">
        <v>44</v>
      </c>
      <c r="D114" s="1">
        <v>2</v>
      </c>
      <c r="E114" s="1">
        <v>0</v>
      </c>
      <c r="F114" s="2">
        <v>866.15332646185027</v>
      </c>
      <c r="G114" s="3">
        <v>0.13386880856760375</v>
      </c>
      <c r="H114" s="1">
        <v>0.15036144578313254</v>
      </c>
      <c r="I114" s="2">
        <v>9</v>
      </c>
      <c r="J114" s="2">
        <f t="shared" si="2"/>
        <v>2.6785714285714284E-2</v>
      </c>
      <c r="K114" s="2">
        <f t="shared" si="3"/>
        <v>2.6785714285714284E-2</v>
      </c>
      <c r="L114" s="4">
        <v>7.9999999999999996E-7</v>
      </c>
      <c r="M114" s="1">
        <v>4.4682960407968335E-8</v>
      </c>
      <c r="N114" s="1">
        <v>336</v>
      </c>
      <c r="O114" s="1">
        <v>336</v>
      </c>
    </row>
    <row r="115" spans="1:25" ht="31.5">
      <c r="A115" s="21" t="s">
        <v>167</v>
      </c>
      <c r="B115" s="1" t="s">
        <v>161</v>
      </c>
      <c r="C115" s="10" t="s">
        <v>168</v>
      </c>
      <c r="D115" s="1">
        <v>4</v>
      </c>
      <c r="E115" s="1">
        <v>1</v>
      </c>
      <c r="F115" s="2">
        <v>381.65224256740754</v>
      </c>
      <c r="G115" s="3">
        <v>0.89634146341463417</v>
      </c>
      <c r="H115" s="2">
        <v>5.4381988742964351</v>
      </c>
      <c r="I115" s="2">
        <v>256</v>
      </c>
      <c r="J115" s="2">
        <f t="shared" si="2"/>
        <v>2.6539498237611446E-2</v>
      </c>
      <c r="K115" s="2">
        <f t="shared" si="3"/>
        <v>4.5288493007704351E-4</v>
      </c>
      <c r="L115" s="4">
        <v>8.8000000000000004E-6</v>
      </c>
      <c r="M115" s="15">
        <v>2.4924624586613107E-7</v>
      </c>
      <c r="N115" s="13">
        <v>9646</v>
      </c>
      <c r="O115" s="13">
        <v>565265</v>
      </c>
      <c r="P115" s="1">
        <f>AVERAGE(F115:F126)</f>
        <v>36515.366808035258</v>
      </c>
      <c r="Q115" s="3">
        <f>AVERAGE(G115:G126)</f>
        <v>0.72536857551372236</v>
      </c>
      <c r="R115" s="1">
        <f>AVERAGE(H115:H126)</f>
        <v>71.660469619614005</v>
      </c>
      <c r="S115" s="1">
        <f>AVERAGE(I115:I126)</f>
        <v>5016</v>
      </c>
      <c r="T115" s="1">
        <f>AVERAGE(J115:J126)</f>
        <v>2.0893447246100465E-2</v>
      </c>
      <c r="U115" s="4">
        <f>AVERAGE(L115:L126)</f>
        <v>3.2004999999999995E-4</v>
      </c>
      <c r="V115" s="1">
        <f>AVERAGE(M115:M126)</f>
        <v>1.4383842765632857E-5</v>
      </c>
      <c r="W115" s="6" t="s">
        <v>11</v>
      </c>
      <c r="X115" s="1" t="s">
        <v>162</v>
      </c>
      <c r="Y115" s="1" t="s">
        <v>480</v>
      </c>
    </row>
    <row r="116" spans="1:25" ht="31.5">
      <c r="A116" s="21" t="s">
        <v>167</v>
      </c>
      <c r="B116" s="1" t="s">
        <v>51</v>
      </c>
      <c r="C116" s="10" t="s">
        <v>170</v>
      </c>
      <c r="D116" s="1">
        <v>4</v>
      </c>
      <c r="E116" s="1">
        <v>1</v>
      </c>
      <c r="F116" s="2">
        <v>8636.2111398114503</v>
      </c>
      <c r="G116" s="3">
        <v>0.95420000000000005</v>
      </c>
      <c r="H116" s="2">
        <v>10.48939393939394</v>
      </c>
      <c r="I116" s="2">
        <v>602</v>
      </c>
      <c r="J116" s="2">
        <f t="shared" si="2"/>
        <v>2.5328172332547964E-2</v>
      </c>
      <c r="K116" s="2">
        <f t="shared" si="3"/>
        <v>5.4190296156269691E-2</v>
      </c>
      <c r="L116" s="4">
        <v>1.8E-5</v>
      </c>
      <c r="M116" s="15">
        <v>5.8608086999715614E-7</v>
      </c>
      <c r="N116" s="13">
        <v>23768</v>
      </c>
      <c r="O116" s="13">
        <v>11109</v>
      </c>
    </row>
    <row r="117" spans="1:25" ht="31.5">
      <c r="B117" s="1" t="s">
        <v>113</v>
      </c>
      <c r="C117" s="10" t="s">
        <v>152</v>
      </c>
      <c r="D117" s="1">
        <v>4</v>
      </c>
      <c r="E117" s="1">
        <v>1</v>
      </c>
      <c r="F117" s="16">
        <v>68832.215278045638</v>
      </c>
      <c r="G117" s="3">
        <v>0.92191844300278036</v>
      </c>
      <c r="H117" s="16">
        <v>268.37904441609646</v>
      </c>
      <c r="I117" s="16">
        <v>16355</v>
      </c>
      <c r="J117" s="2">
        <f t="shared" si="2"/>
        <v>2.4486612088945318E-2</v>
      </c>
      <c r="K117" s="2">
        <f t="shared" si="3"/>
        <v>1.6537023012296346E-2</v>
      </c>
      <c r="L117" s="4">
        <v>6.7500000000000004E-4</v>
      </c>
      <c r="M117" s="15">
        <v>1.6027079021038408E-5</v>
      </c>
      <c r="N117" s="13">
        <v>667916</v>
      </c>
      <c r="O117" s="13">
        <v>988993</v>
      </c>
    </row>
    <row r="118" spans="1:25">
      <c r="B118" s="1" t="s">
        <v>73</v>
      </c>
      <c r="C118" s="8" t="s">
        <v>77</v>
      </c>
      <c r="D118" s="1">
        <v>2</v>
      </c>
      <c r="E118" s="1">
        <v>0</v>
      </c>
      <c r="F118" s="2">
        <v>202.01276427751725</v>
      </c>
      <c r="G118" s="3">
        <v>0.12944084028421377</v>
      </c>
      <c r="H118" s="1">
        <v>0.13447842652661932</v>
      </c>
      <c r="I118" s="2">
        <v>8</v>
      </c>
      <c r="J118" s="2">
        <f t="shared" si="2"/>
        <v>2.3809523809523808E-2</v>
      </c>
      <c r="K118" s="2">
        <f t="shared" si="3"/>
        <v>2.3809523809523808E-2</v>
      </c>
      <c r="L118" s="4">
        <v>7.9999999999999996E-7</v>
      </c>
      <c r="M118" s="1">
        <v>4.1062042589270942E-8</v>
      </c>
      <c r="N118" s="1">
        <v>336</v>
      </c>
      <c r="O118" s="1">
        <v>336</v>
      </c>
      <c r="P118" s="1">
        <f>STDEVP(F117:F124)</f>
        <v>36617.13765956011</v>
      </c>
      <c r="Q118" s="3">
        <f>STDEVP(G117:G124)</f>
        <v>0.37330837911197184</v>
      </c>
      <c r="R118" s="1">
        <f>STDEVP(H117:H124)</f>
        <v>106.14698066222341</v>
      </c>
      <c r="S118" s="1">
        <f>STDEVP(I117:I124)</f>
        <v>7659.6751389582441</v>
      </c>
      <c r="T118" s="1">
        <f>STDEVP(J117:J124)</f>
        <v>2.7850505214503732E-3</v>
      </c>
      <c r="U118" s="4">
        <f>STDEVP(L117:L124)</f>
        <v>5.8429204598385554E-4</v>
      </c>
      <c r="V118" s="1">
        <f>STDEVP(M117:M124)</f>
        <v>3.2266444540500289E-5</v>
      </c>
      <c r="W118" s="6" t="s">
        <v>16</v>
      </c>
      <c r="X118" s="1" t="s">
        <v>76</v>
      </c>
      <c r="Y118" s="1" t="s">
        <v>13</v>
      </c>
    </row>
    <row r="119" spans="1:25">
      <c r="B119" s="1" t="s">
        <v>73</v>
      </c>
      <c r="C119" s="8" t="s">
        <v>135</v>
      </c>
      <c r="D119" s="1">
        <v>3</v>
      </c>
      <c r="E119" s="1">
        <v>1</v>
      </c>
      <c r="F119" s="16">
        <v>36431.839435710121</v>
      </c>
      <c r="G119" s="3">
        <v>1</v>
      </c>
      <c r="H119" s="16">
        <v>218.30342910101947</v>
      </c>
      <c r="I119" s="16">
        <v>12510</v>
      </c>
      <c r="J119" s="2">
        <f t="shared" si="2"/>
        <v>2.304661089546492E-2</v>
      </c>
      <c r="K119" s="2">
        <f t="shared" si="3"/>
        <v>2.1621640306470763E-2</v>
      </c>
      <c r="L119" s="4">
        <v>1.0549999999999999E-3</v>
      </c>
      <c r="M119" s="15">
        <v>4.8128265226592463E-5</v>
      </c>
      <c r="N119" s="13">
        <v>542813</v>
      </c>
      <c r="O119" s="13">
        <v>578587</v>
      </c>
    </row>
    <row r="120" spans="1:25" ht="31.5">
      <c r="A120" s="21" t="s">
        <v>167</v>
      </c>
      <c r="B120" s="1" t="s">
        <v>21</v>
      </c>
      <c r="C120" s="10" t="s">
        <v>176</v>
      </c>
      <c r="D120" s="1">
        <v>4</v>
      </c>
      <c r="E120" s="1">
        <v>1</v>
      </c>
      <c r="F120" s="2">
        <v>17330.403619848668</v>
      </c>
      <c r="G120" s="3">
        <v>9.480413492927095E-2</v>
      </c>
      <c r="H120" s="2">
        <v>3.120905875952122</v>
      </c>
      <c r="I120" s="2">
        <v>165</v>
      </c>
      <c r="J120" s="2">
        <f t="shared" si="2"/>
        <v>2.1736266631537347E-2</v>
      </c>
      <c r="K120" s="2">
        <f t="shared" si="3"/>
        <v>5.244755244755245E-3</v>
      </c>
      <c r="L120" s="4">
        <v>6.0000000000000002E-6</v>
      </c>
      <c r="M120" s="15">
        <v>1.5606011652446528E-7</v>
      </c>
      <c r="N120" s="13">
        <v>7591</v>
      </c>
      <c r="O120" s="13">
        <v>31460</v>
      </c>
    </row>
    <row r="121" spans="1:25" ht="31.5">
      <c r="B121" s="1" t="s">
        <v>51</v>
      </c>
      <c r="C121" s="10" t="s">
        <v>151</v>
      </c>
      <c r="D121" s="1">
        <v>4</v>
      </c>
      <c r="E121" s="1">
        <v>1</v>
      </c>
      <c r="F121" s="16">
        <v>93.028689356182525</v>
      </c>
      <c r="G121" s="3">
        <v>0.94679999999999997</v>
      </c>
      <c r="H121" s="16">
        <v>8.5952965552965548</v>
      </c>
      <c r="I121" s="16">
        <v>488</v>
      </c>
      <c r="J121" s="2">
        <f t="shared" si="2"/>
        <v>2.0531807472231572E-2</v>
      </c>
      <c r="K121" s="2">
        <f t="shared" si="3"/>
        <v>4.3928346385813305E-2</v>
      </c>
      <c r="L121" s="4">
        <v>1.6500000000000001E-5</v>
      </c>
      <c r="M121" s="15">
        <v>4.7809357515912055E-7</v>
      </c>
      <c r="N121" s="13">
        <v>23768</v>
      </c>
      <c r="O121" s="13">
        <v>11109</v>
      </c>
    </row>
    <row r="122" spans="1:25">
      <c r="B122" s="1" t="s">
        <v>99</v>
      </c>
      <c r="C122" s="8" t="s">
        <v>45</v>
      </c>
      <c r="D122" s="1">
        <v>2</v>
      </c>
      <c r="E122" s="1">
        <v>0</v>
      </c>
      <c r="F122" s="16">
        <v>109767.98370218571</v>
      </c>
      <c r="G122" s="3">
        <v>0.81178244230546215</v>
      </c>
      <c r="H122" s="16">
        <v>159.74308709265918</v>
      </c>
      <c r="I122" s="16">
        <v>18286</v>
      </c>
      <c r="J122" s="2">
        <f t="shared" si="2"/>
        <v>1.8286E-2</v>
      </c>
      <c r="K122" s="2">
        <f t="shared" si="3"/>
        <v>1.7103930274779699E-2</v>
      </c>
      <c r="L122" s="4">
        <v>1.6069999999999999E-3</v>
      </c>
      <c r="M122" s="15">
        <v>9.4564701185343781E-5</v>
      </c>
      <c r="N122" s="13">
        <v>1000000</v>
      </c>
      <c r="O122" s="13">
        <v>1069111</v>
      </c>
    </row>
    <row r="123" spans="1:25" ht="31.5">
      <c r="A123" s="21" t="s">
        <v>167</v>
      </c>
      <c r="B123" s="1" t="s">
        <v>161</v>
      </c>
      <c r="C123" s="10" t="s">
        <v>176</v>
      </c>
      <c r="D123" s="1">
        <v>4</v>
      </c>
      <c r="E123" s="1">
        <v>1</v>
      </c>
      <c r="F123" s="2">
        <v>20645.142596362108</v>
      </c>
      <c r="G123" s="3">
        <v>0.93808630393996251</v>
      </c>
      <c r="H123" s="2">
        <v>3.7178330206378991</v>
      </c>
      <c r="I123" s="2">
        <v>171</v>
      </c>
      <c r="J123" s="2">
        <f t="shared" si="2"/>
        <v>1.7727555463404519E-2</v>
      </c>
      <c r="K123" s="2">
        <f t="shared" si="3"/>
        <v>3.0251298063740017E-4</v>
      </c>
      <c r="L123" s="4">
        <v>6.0000000000000002E-6</v>
      </c>
      <c r="M123" s="15">
        <v>1.5606011652446528E-7</v>
      </c>
      <c r="N123" s="13">
        <v>9646</v>
      </c>
      <c r="O123" s="13">
        <v>565265</v>
      </c>
    </row>
    <row r="124" spans="1:25" ht="31.5">
      <c r="A124" s="21" t="s">
        <v>167</v>
      </c>
      <c r="B124" s="1" t="s">
        <v>21</v>
      </c>
      <c r="C124" s="10" t="s">
        <v>169</v>
      </c>
      <c r="D124" s="1">
        <v>4</v>
      </c>
      <c r="E124" s="1">
        <v>1</v>
      </c>
      <c r="F124" s="2">
        <v>1515.8494329375699</v>
      </c>
      <c r="G124" s="3">
        <v>0.27203482045701849</v>
      </c>
      <c r="H124" s="2">
        <v>2.3373068552774758</v>
      </c>
      <c r="I124" s="2">
        <v>126</v>
      </c>
      <c r="J124" s="2">
        <f t="shared" si="2"/>
        <v>1.6598603609537611E-2</v>
      </c>
      <c r="K124" s="2">
        <f t="shared" si="3"/>
        <v>4.0050858232676418E-3</v>
      </c>
      <c r="L124" s="4">
        <v>4.5000000000000001E-6</v>
      </c>
      <c r="M124" s="15">
        <v>1.230082691507007E-7</v>
      </c>
      <c r="N124" s="13">
        <v>7591</v>
      </c>
      <c r="O124" s="13">
        <v>31460</v>
      </c>
      <c r="P124" s="1">
        <f>STDEVP(F123:F134)</f>
        <v>43059.037386736789</v>
      </c>
      <c r="Q124" s="3">
        <f>STDEVP(G123:G134)</f>
        <v>0.23504403927674661</v>
      </c>
      <c r="R124" s="1">
        <f>STDEVP(H123:H134)</f>
        <v>62.896397898034266</v>
      </c>
      <c r="S124" s="1">
        <f>STDEVP(I123:I134)</f>
        <v>3841.555742252523</v>
      </c>
      <c r="T124" s="1">
        <f>STDEVP(J123:J134)</f>
        <v>1.9297427191485256E-3</v>
      </c>
      <c r="U124" s="4">
        <f>STDEVP(L123:L134)</f>
        <v>2.9272789839712921E-4</v>
      </c>
      <c r="V124" s="1">
        <f>STDEVP(M123:M134)</f>
        <v>1.1437740924275376E-5</v>
      </c>
      <c r="W124" s="6" t="s">
        <v>16</v>
      </c>
      <c r="X124" s="1" t="s">
        <v>148</v>
      </c>
      <c r="Y124" s="1" t="s">
        <v>480</v>
      </c>
    </row>
    <row r="125" spans="1:25">
      <c r="B125" s="1" t="s">
        <v>51</v>
      </c>
      <c r="C125" s="8" t="s">
        <v>22</v>
      </c>
      <c r="D125" s="1">
        <v>3</v>
      </c>
      <c r="E125" s="1">
        <v>0</v>
      </c>
      <c r="F125" s="2">
        <v>63210.326038861705</v>
      </c>
      <c r="G125" s="3">
        <v>0.83540000000000003</v>
      </c>
      <c r="H125" s="2">
        <v>8.3020202020202021</v>
      </c>
      <c r="I125" s="2">
        <v>390</v>
      </c>
      <c r="J125" s="2">
        <f t="shared" si="2"/>
        <v>1.6408616627398183E-2</v>
      </c>
      <c r="K125" s="2">
        <f t="shared" si="3"/>
        <v>5.8716369822797007E-3</v>
      </c>
      <c r="L125" s="4">
        <v>5.5000000000000002E-5</v>
      </c>
      <c r="M125" s="15">
        <v>1.4904102009257159E-6</v>
      </c>
      <c r="N125" s="13">
        <v>23768</v>
      </c>
      <c r="O125" s="13">
        <v>66421</v>
      </c>
    </row>
    <row r="126" spans="1:25" ht="31.5">
      <c r="A126" s="21" t="s">
        <v>167</v>
      </c>
      <c r="B126" s="1" t="s">
        <v>113</v>
      </c>
      <c r="C126" s="10" t="s">
        <v>169</v>
      </c>
      <c r="D126" s="1">
        <v>4</v>
      </c>
      <c r="E126" s="1">
        <v>1</v>
      </c>
      <c r="F126" s="16">
        <v>111137.73675645905</v>
      </c>
      <c r="G126" s="3">
        <v>0.90361445783132532</v>
      </c>
      <c r="H126" s="16">
        <v>171.36464107619159</v>
      </c>
      <c r="I126" s="16">
        <v>10835</v>
      </c>
      <c r="J126" s="2">
        <f t="shared" si="2"/>
        <v>1.6222099785002903E-2</v>
      </c>
      <c r="K126" s="2">
        <f t="shared" si="3"/>
        <v>1.0955588158864623E-2</v>
      </c>
      <c r="L126" s="4">
        <v>3.88E-4</v>
      </c>
      <c r="M126" s="15">
        <v>1.0606046317882638E-5</v>
      </c>
      <c r="N126" s="13">
        <v>667916</v>
      </c>
      <c r="O126" s="13">
        <v>988993</v>
      </c>
      <c r="P126" s="1">
        <f>STDEVP(F125:F136)</f>
        <v>42216.634092223081</v>
      </c>
      <c r="Q126" s="3">
        <f>STDEVP(G125:G136)</f>
        <v>0.18068115404480917</v>
      </c>
      <c r="R126" s="1">
        <f>STDEVP(H125:H136)</f>
        <v>61.989902756794926</v>
      </c>
      <c r="S126" s="1">
        <f>STDEVP(I125:I136)</f>
        <v>3760.9681119213028</v>
      </c>
      <c r="T126" s="1">
        <f>STDEVP(J125:J136)</f>
        <v>1.883200675917921E-3</v>
      </c>
      <c r="U126" s="4">
        <f>STDEVP(L125:L136)</f>
        <v>3.0111795810173467E-4</v>
      </c>
      <c r="V126" s="1">
        <f>STDEVP(M125:M136)</f>
        <v>1.1275825883058641E-5</v>
      </c>
      <c r="W126" s="6" t="s">
        <v>16</v>
      </c>
      <c r="X126" s="1" t="s">
        <v>119</v>
      </c>
      <c r="Y126" s="1" t="s">
        <v>480</v>
      </c>
    </row>
    <row r="127" spans="1:25">
      <c r="B127" s="1" t="s">
        <v>73</v>
      </c>
      <c r="C127" s="8" t="s">
        <v>134</v>
      </c>
      <c r="D127" s="1">
        <v>3</v>
      </c>
      <c r="E127" s="1">
        <v>1</v>
      </c>
      <c r="F127" s="16">
        <v>18591.976801149827</v>
      </c>
      <c r="G127" s="3">
        <v>0.87529605601894755</v>
      </c>
      <c r="H127" s="16">
        <v>150.86703223149007</v>
      </c>
      <c r="I127" s="16">
        <v>8765</v>
      </c>
      <c r="J127" s="2">
        <f t="shared" si="2"/>
        <v>1.6147365667366111E-2</v>
      </c>
      <c r="K127" s="2">
        <f t="shared" si="3"/>
        <v>1.5148975002894983E-2</v>
      </c>
      <c r="L127" s="4">
        <v>9.68E-4</v>
      </c>
      <c r="M127" s="15">
        <v>3.373471840598301E-5</v>
      </c>
      <c r="N127" s="13">
        <v>542813</v>
      </c>
      <c r="O127" s="13">
        <v>578587</v>
      </c>
    </row>
    <row r="128" spans="1:25">
      <c r="B128" s="1" t="s">
        <v>51</v>
      </c>
      <c r="C128" s="8" t="s">
        <v>54</v>
      </c>
      <c r="D128" s="1">
        <v>3</v>
      </c>
      <c r="E128" s="1">
        <v>0</v>
      </c>
      <c r="F128" s="2">
        <v>126497.22794650331</v>
      </c>
      <c r="G128" s="3">
        <v>0.91500000000000004</v>
      </c>
      <c r="H128" s="2">
        <v>7.2300945350945343</v>
      </c>
      <c r="I128" s="2">
        <v>337</v>
      </c>
      <c r="J128" s="2">
        <f t="shared" si="2"/>
        <v>1.4178727701110738E-2</v>
      </c>
      <c r="K128" s="2">
        <f t="shared" si="3"/>
        <v>5.0736965718673312E-3</v>
      </c>
      <c r="L128" s="4">
        <v>3.1999999999999999E-5</v>
      </c>
      <c r="M128" s="15">
        <v>1.2902311380958304E-6</v>
      </c>
      <c r="N128" s="13">
        <v>23768</v>
      </c>
      <c r="O128" s="13">
        <v>66421</v>
      </c>
      <c r="P128" s="1">
        <f>STDEVP(F127:F141)</f>
        <v>37615.7742989408</v>
      </c>
      <c r="Q128" s="3">
        <f>STDEVP(G127:G141)</f>
        <v>0.25105343435240868</v>
      </c>
      <c r="R128" s="1">
        <f>STDEVP(H127:H141)</f>
        <v>49.566017945449225</v>
      </c>
      <c r="S128" s="1">
        <f>STDEVP(I127:I141)</f>
        <v>2963.3556084652114</v>
      </c>
      <c r="T128" s="1">
        <f>STDEVP(J127:J141)</f>
        <v>2.0146698586274913E-3</v>
      </c>
      <c r="U128" s="4">
        <f>STDEVP(L127:L141)</f>
        <v>2.6395728018732288E-4</v>
      </c>
      <c r="V128" s="1">
        <f>STDEVP(M127:M141)</f>
        <v>1.036552392623669E-5</v>
      </c>
      <c r="W128" s="6" t="s">
        <v>16</v>
      </c>
      <c r="X128" s="1" t="s">
        <v>53</v>
      </c>
      <c r="Y128" s="1" t="s">
        <v>13</v>
      </c>
    </row>
    <row r="129" spans="1:25">
      <c r="B129" s="1" t="s">
        <v>73</v>
      </c>
      <c r="C129" s="8" t="s">
        <v>64</v>
      </c>
      <c r="D129" s="1">
        <v>3</v>
      </c>
      <c r="E129" s="1">
        <v>1</v>
      </c>
      <c r="F129" s="17">
        <v>102827.27548850866</v>
      </c>
      <c r="G129" s="3">
        <v>1</v>
      </c>
      <c r="H129" s="17">
        <v>127.7210843373494</v>
      </c>
      <c r="I129" s="2">
        <v>7605</v>
      </c>
      <c r="J129" s="2">
        <f t="shared" si="2"/>
        <v>1.4010349788969681E-2</v>
      </c>
      <c r="K129" s="2">
        <f t="shared" si="3"/>
        <v>1.3144090689904889E-2</v>
      </c>
      <c r="L129" s="4" t="s">
        <v>158</v>
      </c>
      <c r="M129" s="15">
        <v>2.9187303598177191E-5</v>
      </c>
      <c r="N129" s="13">
        <v>542813</v>
      </c>
      <c r="O129" s="13">
        <v>578587</v>
      </c>
    </row>
    <row r="130" spans="1:25" ht="31.5">
      <c r="A130" s="21" t="s">
        <v>167</v>
      </c>
      <c r="B130" s="1" t="s">
        <v>51</v>
      </c>
      <c r="C130" s="10" t="s">
        <v>176</v>
      </c>
      <c r="D130" s="1">
        <v>4</v>
      </c>
      <c r="E130" s="1">
        <v>1</v>
      </c>
      <c r="F130" s="2">
        <v>33000.033000033</v>
      </c>
      <c r="G130" s="3">
        <v>0.81159999999999999</v>
      </c>
      <c r="H130" s="2">
        <v>5.9427350427350429</v>
      </c>
      <c r="I130" s="2">
        <v>330</v>
      </c>
      <c r="J130" s="2">
        <f t="shared" ref="J130:J193" si="4">I130/N130</f>
        <v>1.3884214069336924E-2</v>
      </c>
      <c r="K130" s="2">
        <f t="shared" ref="K130:K193" si="5">I130/O130</f>
        <v>2.9705644072373753E-2</v>
      </c>
      <c r="L130" s="4">
        <v>1.2E-5</v>
      </c>
      <c r="M130" s="15">
        <v>3.1212023304893057E-7</v>
      </c>
      <c r="N130" s="13">
        <v>23768</v>
      </c>
      <c r="O130" s="13">
        <v>11109</v>
      </c>
    </row>
    <row r="131" spans="1:25" ht="31.5">
      <c r="A131" s="21" t="s">
        <v>167</v>
      </c>
      <c r="B131" s="1" t="s">
        <v>80</v>
      </c>
      <c r="C131" s="10" t="s">
        <v>168</v>
      </c>
      <c r="D131" s="1">
        <v>4</v>
      </c>
      <c r="E131" s="1">
        <v>1</v>
      </c>
      <c r="F131" s="2">
        <v>665.7360089664154</v>
      </c>
      <c r="G131" s="3">
        <v>0.25867572855524662</v>
      </c>
      <c r="H131" s="2">
        <v>9.48613531047266</v>
      </c>
      <c r="I131" s="2">
        <v>678</v>
      </c>
      <c r="J131" s="2">
        <f t="shared" si="4"/>
        <v>1.3559999999999999E-2</v>
      </c>
      <c r="K131" s="2">
        <f t="shared" si="5"/>
        <v>5.6227297606607956E-3</v>
      </c>
      <c r="L131" s="4">
        <v>2.3E-5</v>
      </c>
      <c r="M131" s="15">
        <v>6.5143905169556992E-7</v>
      </c>
      <c r="N131" s="13">
        <v>50000</v>
      </c>
      <c r="O131" s="13">
        <v>120582</v>
      </c>
      <c r="P131" s="1">
        <f>AVERAGE(F131:F141)</f>
        <v>29246.91099765983</v>
      </c>
      <c r="Q131" s="3">
        <f>AVERAGE(G131:G141)</f>
        <v>0.68927919319462094</v>
      </c>
      <c r="R131" s="1">
        <f>AVERAGE(H131:H141)</f>
        <v>18.669448260865135</v>
      </c>
      <c r="S131" s="1">
        <f>AVERAGE(I131:I141)</f>
        <v>1380.6363636363637</v>
      </c>
      <c r="T131" s="1">
        <f>AVERAGE(J131:J141)</f>
        <v>1.1015506390266657E-2</v>
      </c>
      <c r="U131" s="4">
        <f>AVERAGE(L131:L141)</f>
        <v>1.0014444444444445E-4</v>
      </c>
      <c r="V131" s="1">
        <f>AVERAGE(M131:M141)</f>
        <v>3.500948563861936E-6</v>
      </c>
      <c r="W131" s="6" t="s">
        <v>11</v>
      </c>
      <c r="X131" s="1" t="s">
        <v>96</v>
      </c>
      <c r="Y131" s="1" t="s">
        <v>480</v>
      </c>
    </row>
    <row r="132" spans="1:25">
      <c r="B132" s="1" t="s">
        <v>51</v>
      </c>
      <c r="C132" s="8" t="s">
        <v>55</v>
      </c>
      <c r="D132" s="1">
        <v>3</v>
      </c>
      <c r="E132" s="1">
        <v>0</v>
      </c>
      <c r="F132" s="2">
        <v>54564.661306234339</v>
      </c>
      <c r="G132" s="3">
        <v>0.67379999999999995</v>
      </c>
      <c r="H132" s="2">
        <v>6.4001554001554002</v>
      </c>
      <c r="I132" s="2">
        <v>300</v>
      </c>
      <c r="J132" s="2">
        <f t="shared" si="4"/>
        <v>1.2622012790306295E-2</v>
      </c>
      <c r="K132" s="2">
        <f t="shared" si="5"/>
        <v>4.5166438325228465E-3</v>
      </c>
      <c r="L132" s="4">
        <v>4.1999999999999998E-5</v>
      </c>
      <c r="M132" s="15">
        <v>1.1472708557873627E-6</v>
      </c>
      <c r="N132" s="13">
        <v>23768</v>
      </c>
      <c r="O132" s="13">
        <v>66421</v>
      </c>
    </row>
    <row r="133" spans="1:25" ht="31.5">
      <c r="A133" s="21" t="s">
        <v>167</v>
      </c>
      <c r="B133" s="1" t="s">
        <v>51</v>
      </c>
      <c r="C133" s="10" t="s">
        <v>168</v>
      </c>
      <c r="D133" s="1">
        <v>4</v>
      </c>
      <c r="E133" s="1">
        <v>1</v>
      </c>
      <c r="F133" s="2">
        <v>356.86532687667392</v>
      </c>
      <c r="G133" s="3">
        <v>0.81159999999999999</v>
      </c>
      <c r="H133" s="2">
        <v>5.0850077700077705</v>
      </c>
      <c r="I133" s="2">
        <v>289</v>
      </c>
      <c r="J133" s="2">
        <f t="shared" si="4"/>
        <v>1.215920565466173E-2</v>
      </c>
      <c r="K133" s="2">
        <f t="shared" si="5"/>
        <v>2.6014942839139438E-2</v>
      </c>
      <c r="L133" s="4">
        <v>1.0000000000000001E-5</v>
      </c>
      <c r="M133" s="15">
        <v>2.8323437030242168E-7</v>
      </c>
      <c r="N133" s="13">
        <v>23768</v>
      </c>
      <c r="O133" s="13">
        <v>11109</v>
      </c>
      <c r="P133" s="1">
        <f>AVERAGE(F133:F143)</f>
        <v>40400.529759504461</v>
      </c>
      <c r="Q133" s="3">
        <f>AVERAGE(G133:G143)</f>
        <v>0.77168787875270406</v>
      </c>
      <c r="R133" s="1">
        <f>AVERAGE(H133:H143)</f>
        <v>32.715014903420204</v>
      </c>
      <c r="S133" s="1">
        <f>AVERAGE(I133:I143)</f>
        <v>2249.2727272727275</v>
      </c>
      <c r="T133" s="1">
        <f>AVERAGE(J133:J143)</f>
        <v>1.021551170220748E-2</v>
      </c>
      <c r="U133" s="4">
        <f>AVERAGE(L133:L143)</f>
        <v>1.2653750000000001E-4</v>
      </c>
      <c r="V133" s="1">
        <f>AVERAGE(M133:M143)</f>
        <v>5.4910258871754485E-6</v>
      </c>
      <c r="W133" s="6" t="s">
        <v>11</v>
      </c>
      <c r="X133" s="1" t="s">
        <v>68</v>
      </c>
      <c r="Y133" s="1" t="s">
        <v>480</v>
      </c>
    </row>
    <row r="134" spans="1:25">
      <c r="B134" s="1" t="s">
        <v>113</v>
      </c>
      <c r="C134" s="8" t="s">
        <v>55</v>
      </c>
      <c r="D134" s="1">
        <v>3</v>
      </c>
      <c r="E134" s="1">
        <v>0</v>
      </c>
      <c r="F134" s="17">
        <v>66942.733504724107</v>
      </c>
      <c r="G134" s="3">
        <v>0.84866055897019599</v>
      </c>
      <c r="H134" s="17">
        <v>7.8520398933085929</v>
      </c>
      <c r="I134" s="2">
        <v>411</v>
      </c>
      <c r="J134" s="2">
        <f t="shared" si="4"/>
        <v>1.1338869423676443E-2</v>
      </c>
      <c r="K134" s="2">
        <f t="shared" si="5"/>
        <v>6.8452083541520933E-3</v>
      </c>
      <c r="L134" s="4" t="s">
        <v>115</v>
      </c>
      <c r="M134" s="15">
        <v>1.5843264198968343E-6</v>
      </c>
      <c r="N134" s="13">
        <v>36247</v>
      </c>
      <c r="O134" s="13">
        <v>60042</v>
      </c>
      <c r="P134" s="1">
        <f>STDEVP(F133:F142)</f>
        <v>29044.528705904428</v>
      </c>
      <c r="Q134" s="3">
        <f>STDEVP(G133:G142)</f>
        <v>0.24437394822976968</v>
      </c>
      <c r="R134" s="1">
        <f>STDEVP(H133:H142)</f>
        <v>38.08771878289496</v>
      </c>
      <c r="S134" s="1">
        <f>STDEVP(I133:I142)</f>
        <v>2441.0104465159507</v>
      </c>
      <c r="T134" s="1">
        <f>STDEVP(J133:J142)</f>
        <v>1.1219002588089807E-3</v>
      </c>
      <c r="U134" s="4">
        <f>STDEVP(L133:L142)</f>
        <v>1.1376410832837393E-4</v>
      </c>
      <c r="V134" s="1">
        <f>STDEVP(M133:M142)</f>
        <v>4.2270323292213646E-6</v>
      </c>
      <c r="W134" s="6" t="s">
        <v>16</v>
      </c>
      <c r="X134" s="1" t="s">
        <v>114</v>
      </c>
      <c r="Y134" s="1" t="s">
        <v>13</v>
      </c>
    </row>
    <row r="135" spans="1:25">
      <c r="B135" s="1" t="s">
        <v>99</v>
      </c>
      <c r="C135" s="8" t="s">
        <v>144</v>
      </c>
      <c r="D135" s="1">
        <v>1</v>
      </c>
      <c r="E135" s="1">
        <v>1</v>
      </c>
      <c r="F135" s="2">
        <v>1051.2316616968842</v>
      </c>
      <c r="G135" s="3">
        <v>0.69610000000000005</v>
      </c>
      <c r="H135" s="1">
        <v>18.691592253276124</v>
      </c>
      <c r="I135" s="2">
        <v>2560</v>
      </c>
      <c r="J135" s="2">
        <f t="shared" si="4"/>
        <v>1.1090749188772349E-2</v>
      </c>
      <c r="K135" s="2">
        <f t="shared" si="5"/>
        <v>8.6229836196994748E-3</v>
      </c>
      <c r="L135" s="4">
        <v>3.19E-4</v>
      </c>
      <c r="M135" s="1">
        <v>1.2268577757005824E-5</v>
      </c>
      <c r="N135" s="13">
        <v>230823</v>
      </c>
      <c r="O135" s="13">
        <v>296881</v>
      </c>
    </row>
    <row r="136" spans="1:25">
      <c r="B136" s="1" t="s">
        <v>113</v>
      </c>
      <c r="C136" s="8" t="s">
        <v>22</v>
      </c>
      <c r="D136" s="1">
        <v>3</v>
      </c>
      <c r="E136" s="1">
        <v>0</v>
      </c>
      <c r="F136" s="17">
        <v>58347.316611263326</v>
      </c>
      <c r="G136" s="3">
        <v>0.74973906992925898</v>
      </c>
      <c r="H136" s="17">
        <v>7.663314391743012</v>
      </c>
      <c r="I136" s="2">
        <v>402</v>
      </c>
      <c r="J136" s="2">
        <f t="shared" si="4"/>
        <v>1.1090573012939002E-2</v>
      </c>
      <c r="K136" s="2">
        <f t="shared" si="5"/>
        <v>6.6953132807035078E-3</v>
      </c>
      <c r="L136" s="4" t="s">
        <v>116</v>
      </c>
      <c r="M136" s="15">
        <v>1.544606935504833E-6</v>
      </c>
      <c r="N136" s="13">
        <v>36247</v>
      </c>
      <c r="O136" s="13">
        <v>60042</v>
      </c>
    </row>
    <row r="137" spans="1:25" ht="31.5">
      <c r="B137" s="1" t="s">
        <v>113</v>
      </c>
      <c r="C137" s="10" t="s">
        <v>149</v>
      </c>
      <c r="D137" s="1">
        <v>4</v>
      </c>
      <c r="E137" s="1">
        <v>1</v>
      </c>
      <c r="F137" s="16">
        <v>50012.625958410681</v>
      </c>
      <c r="G137" s="3">
        <v>0.85310472659870251</v>
      </c>
      <c r="H137" s="16">
        <v>114.23226255363564</v>
      </c>
      <c r="I137" s="16">
        <v>7290</v>
      </c>
      <c r="J137" s="2">
        <f t="shared" si="4"/>
        <v>1.0914546140532642E-2</v>
      </c>
      <c r="K137" s="2">
        <f t="shared" si="5"/>
        <v>7.3711340727386342E-3</v>
      </c>
      <c r="L137" s="4">
        <v>2.2499999999999999E-4</v>
      </c>
      <c r="M137" s="15">
        <v>7.1263006755812881E-6</v>
      </c>
      <c r="N137" s="13">
        <v>667916</v>
      </c>
      <c r="O137" s="13">
        <v>988993</v>
      </c>
      <c r="P137" s="1">
        <f>STDEVP(F136:F142)</f>
        <v>26603.241810944943</v>
      </c>
      <c r="Q137" s="3">
        <f>STDEVP(G136:G142)</f>
        <v>0.28754712949972527</v>
      </c>
      <c r="R137" s="1">
        <f>STDEVP(H136:H142)</f>
        <v>43.232390686760695</v>
      </c>
      <c r="S137" s="1">
        <f>STDEVP(I136:I142)</f>
        <v>2743.6095545385283</v>
      </c>
      <c r="T137" s="1">
        <f>STDEVP(J136:J142)</f>
        <v>9.45766816852354E-4</v>
      </c>
      <c r="U137" s="4">
        <f>STDEVP(L136:L142)</f>
        <v>9.3054292694581741E-5</v>
      </c>
      <c r="V137" s="1">
        <f>STDEVP(M136:M142)</f>
        <v>3.6103404817528799E-6</v>
      </c>
      <c r="W137" s="6" t="s">
        <v>16</v>
      </c>
      <c r="X137" s="1" t="s">
        <v>119</v>
      </c>
      <c r="Y137" s="1" t="s">
        <v>479</v>
      </c>
    </row>
    <row r="138" spans="1:25">
      <c r="B138" s="1" t="s">
        <v>26</v>
      </c>
      <c r="C138" s="8" t="s">
        <v>39</v>
      </c>
      <c r="D138" s="1">
        <v>1</v>
      </c>
      <c r="E138" s="1">
        <v>0</v>
      </c>
      <c r="F138" s="2">
        <v>49207.814522741181</v>
      </c>
      <c r="G138" s="3">
        <v>0.90110000000000001</v>
      </c>
      <c r="H138" s="1">
        <v>18.05913752913753</v>
      </c>
      <c r="I138" s="2">
        <v>2202</v>
      </c>
      <c r="J138" s="2">
        <f t="shared" si="4"/>
        <v>1.0478828198612341E-2</v>
      </c>
      <c r="K138" s="2">
        <f t="shared" si="5"/>
        <v>4.4977511244377807E-3</v>
      </c>
      <c r="L138" s="4">
        <v>2.13E-4</v>
      </c>
      <c r="M138" s="1">
        <v>1.0561545919669357E-5</v>
      </c>
      <c r="N138" s="13">
        <v>210138</v>
      </c>
      <c r="O138" s="13">
        <v>489578</v>
      </c>
    </row>
    <row r="139" spans="1:25" ht="31.5">
      <c r="A139" s="21" t="s">
        <v>167</v>
      </c>
      <c r="B139" s="1" t="s">
        <v>80</v>
      </c>
      <c r="C139" s="10" t="s">
        <v>176</v>
      </c>
      <c r="D139" s="1">
        <v>4</v>
      </c>
      <c r="E139" s="1">
        <v>1</v>
      </c>
      <c r="F139" s="2">
        <v>40474.739269919992</v>
      </c>
      <c r="G139" s="3">
        <v>0.96797446195036552</v>
      </c>
      <c r="H139" s="2">
        <v>7.2888003295232222</v>
      </c>
      <c r="I139" s="2">
        <v>509</v>
      </c>
      <c r="J139" s="2">
        <f t="shared" si="4"/>
        <v>1.018E-2</v>
      </c>
      <c r="K139" s="2">
        <f t="shared" si="5"/>
        <v>4.2211938763662901E-3</v>
      </c>
      <c r="L139" s="4">
        <v>2.0000000000000002E-5</v>
      </c>
      <c r="M139" s="15">
        <v>5.202003884148844E-7</v>
      </c>
      <c r="N139" s="13">
        <v>50000</v>
      </c>
      <c r="O139" s="13">
        <v>120582</v>
      </c>
    </row>
    <row r="140" spans="1:25">
      <c r="B140" s="1" t="s">
        <v>73</v>
      </c>
      <c r="C140" s="8" t="s">
        <v>41</v>
      </c>
      <c r="D140" s="1">
        <v>2</v>
      </c>
      <c r="E140" s="1">
        <v>0</v>
      </c>
      <c r="F140" s="2">
        <v>4.464793903506088</v>
      </c>
      <c r="G140" s="3">
        <v>4.9016579137061062E-2</v>
      </c>
      <c r="H140" s="1">
        <v>4.9261662032746373E-2</v>
      </c>
      <c r="I140" s="2">
        <v>3</v>
      </c>
      <c r="J140" s="2">
        <f t="shared" si="4"/>
        <v>8.9285714285714281E-3</v>
      </c>
      <c r="K140" s="2">
        <f t="shared" si="5"/>
        <v>8.9285714285714281E-3</v>
      </c>
      <c r="L140" s="4">
        <v>2.9999999999999999E-7</v>
      </c>
      <c r="M140" s="1">
        <v>1.6150030610532347E-8</v>
      </c>
      <c r="N140" s="1">
        <v>336</v>
      </c>
      <c r="O140" s="1">
        <v>336</v>
      </c>
    </row>
    <row r="141" spans="1:25">
      <c r="B141" s="1" t="s">
        <v>26</v>
      </c>
      <c r="C141" s="8" t="s">
        <v>48</v>
      </c>
      <c r="D141" s="1">
        <v>2</v>
      </c>
      <c r="E141" s="1">
        <v>0</v>
      </c>
      <c r="F141" s="2">
        <v>87.832009521036412</v>
      </c>
      <c r="G141" s="3">
        <v>0.77229999999999999</v>
      </c>
      <c r="H141" s="1">
        <v>10.556223776223776</v>
      </c>
      <c r="I141" s="2">
        <v>543</v>
      </c>
      <c r="J141" s="2">
        <f t="shared" si="4"/>
        <v>8.8072144548609985E-3</v>
      </c>
      <c r="K141" s="2">
        <f t="shared" si="5"/>
        <v>6.5295030122292904E-3</v>
      </c>
      <c r="L141" s="4">
        <v>4.8999999999999998E-5</v>
      </c>
      <c r="M141" s="1">
        <v>2.8067817980123948E-6</v>
      </c>
      <c r="N141" s="13">
        <v>61654</v>
      </c>
      <c r="O141" s="13">
        <v>83161</v>
      </c>
    </row>
    <row r="142" spans="1:25" ht="31.5">
      <c r="A142" s="21" t="s">
        <v>167</v>
      </c>
      <c r="B142" s="1" t="s">
        <v>113</v>
      </c>
      <c r="C142" s="10" t="s">
        <v>170</v>
      </c>
      <c r="D142" s="1">
        <v>4</v>
      </c>
      <c r="E142" s="1">
        <v>1</v>
      </c>
      <c r="F142" s="16">
        <v>75295.651052434972</v>
      </c>
      <c r="G142" s="3">
        <v>0.83897126969416125</v>
      </c>
      <c r="H142" s="16">
        <v>91.452806447871978</v>
      </c>
      <c r="I142" s="16">
        <v>5861</v>
      </c>
      <c r="J142" s="2">
        <f t="shared" si="4"/>
        <v>8.775055545906971E-3</v>
      </c>
      <c r="K142" s="2">
        <f t="shared" si="5"/>
        <v>5.9262300137614722E-3</v>
      </c>
      <c r="L142" s="4">
        <v>1.76E-4</v>
      </c>
      <c r="M142" s="15">
        <v>5.7305685066388599E-6</v>
      </c>
      <c r="N142" s="13">
        <v>667916</v>
      </c>
      <c r="O142" s="13">
        <v>988993</v>
      </c>
    </row>
    <row r="143" spans="1:25">
      <c r="B143" s="1" t="s">
        <v>73</v>
      </c>
      <c r="C143" s="8" t="s">
        <v>62</v>
      </c>
      <c r="D143" s="1">
        <v>3</v>
      </c>
      <c r="E143" s="1">
        <v>1</v>
      </c>
      <c r="F143" s="17">
        <v>102624.5526430567</v>
      </c>
      <c r="G143" s="3">
        <v>1</v>
      </c>
      <c r="H143" s="17">
        <v>78.934717330861901</v>
      </c>
      <c r="I143" s="2">
        <v>4672</v>
      </c>
      <c r="J143" s="2">
        <f t="shared" si="4"/>
        <v>8.6070156757483696E-3</v>
      </c>
      <c r="K143" s="2">
        <f t="shared" si="5"/>
        <v>8.0748444054221744E-3</v>
      </c>
      <c r="L143" s="4" t="s">
        <v>156</v>
      </c>
      <c r="M143" s="15">
        <v>1.7958991957292697E-5</v>
      </c>
      <c r="N143" s="13">
        <v>542813</v>
      </c>
      <c r="O143" s="13">
        <v>578587</v>
      </c>
      <c r="P143" s="1">
        <f>STDEVP(F142:F147)</f>
        <v>49577.199151427616</v>
      </c>
      <c r="Q143" s="3">
        <f>STDEVP(G142:G147)</f>
        <v>0.28151498124614732</v>
      </c>
      <c r="R143" s="1">
        <f>STDEVP(H142:H147)</f>
        <v>39.110966175826746</v>
      </c>
      <c r="S143" s="1">
        <f>STDEVP(I142:I147)</f>
        <v>2454.8812202539566</v>
      </c>
      <c r="T143" s="1">
        <f>STDEVP(J142:J147)</f>
        <v>8.105402927357896E-4</v>
      </c>
      <c r="U143" s="4">
        <f>STDEVP(L142:L147)</f>
        <v>6.7817519860283895E-5</v>
      </c>
      <c r="V143" s="1">
        <f>STDEVP(M142:M147)</f>
        <v>6.4799128437257417E-6</v>
      </c>
      <c r="W143" s="6" t="s">
        <v>16</v>
      </c>
      <c r="X143" s="1" t="s">
        <v>83</v>
      </c>
      <c r="Y143" s="1" t="s">
        <v>479</v>
      </c>
    </row>
    <row r="144" spans="1:25" ht="31.5">
      <c r="B144" s="1" t="s">
        <v>161</v>
      </c>
      <c r="C144" s="10" t="s">
        <v>147</v>
      </c>
      <c r="D144" s="1">
        <v>4</v>
      </c>
      <c r="E144" s="1">
        <v>1</v>
      </c>
      <c r="F144" s="2">
        <v>77.805777483568193</v>
      </c>
      <c r="G144" s="3">
        <v>0.54721701063164474</v>
      </c>
      <c r="H144" s="2">
        <v>1.6620731707317071</v>
      </c>
      <c r="I144" s="2">
        <v>78</v>
      </c>
      <c r="J144" s="2">
        <f t="shared" si="4"/>
        <v>8.0862533692722376E-3</v>
      </c>
      <c r="K144" s="2">
        <f t="shared" si="5"/>
        <v>5.9010440308669993E-3</v>
      </c>
      <c r="L144" s="4">
        <v>3.1999999999999999E-6</v>
      </c>
      <c r="M144" s="15">
        <v>7.6497692213699645E-8</v>
      </c>
      <c r="N144" s="13">
        <v>9646</v>
      </c>
      <c r="O144" s="13">
        <v>13218</v>
      </c>
      <c r="P144" s="1">
        <f>AVERAGE(F144:F149)</f>
        <v>39089.346382363321</v>
      </c>
      <c r="Q144" s="3">
        <f>AVERAGE(G144:G149)</f>
        <v>0.6257129154516754</v>
      </c>
      <c r="R144" s="1">
        <f>AVERAGE(H144:H149)</f>
        <v>4.3341679408330149</v>
      </c>
      <c r="S144" s="1">
        <f>AVERAGE(I144:I149)</f>
        <v>353.33333333333331</v>
      </c>
      <c r="T144" s="1">
        <f>AVERAGE(J144:J149)</f>
        <v>6.9936235249615309E-3</v>
      </c>
      <c r="U144" s="4">
        <f>AVERAGE(L144:L149)</f>
        <v>3.4633333333333333E-5</v>
      </c>
      <c r="V144" s="1">
        <f>AVERAGE(M144:M149)</f>
        <v>1.3593936297083397E-6</v>
      </c>
      <c r="W144" s="6" t="s">
        <v>11</v>
      </c>
      <c r="X144" s="1" t="s">
        <v>162</v>
      </c>
      <c r="Y144" s="1" t="s">
        <v>479</v>
      </c>
    </row>
    <row r="145" spans="1:25" ht="31.5">
      <c r="A145" s="21" t="s">
        <v>167</v>
      </c>
      <c r="B145" s="1" t="s">
        <v>161</v>
      </c>
      <c r="C145" s="10" t="s">
        <v>170</v>
      </c>
      <c r="D145" s="1">
        <v>4</v>
      </c>
      <c r="E145" s="1">
        <v>1</v>
      </c>
      <c r="F145" s="2">
        <v>1177.7605824732736</v>
      </c>
      <c r="G145" s="3">
        <v>0.78173858661663542</v>
      </c>
      <c r="H145" s="2">
        <v>1.4304878048780489</v>
      </c>
      <c r="I145" s="2">
        <v>68</v>
      </c>
      <c r="J145" s="2">
        <f t="shared" si="4"/>
        <v>7.04955421936554E-3</v>
      </c>
      <c r="K145" s="2">
        <f t="shared" si="5"/>
        <v>1.2029755955171469E-4</v>
      </c>
      <c r="L145" s="4">
        <v>1.9999999999999999E-6</v>
      </c>
      <c r="M145" s="15">
        <v>6.5120096666350676E-8</v>
      </c>
      <c r="N145" s="13">
        <v>9646</v>
      </c>
      <c r="O145" s="13">
        <v>565265</v>
      </c>
    </row>
    <row r="146" spans="1:25" ht="47.25">
      <c r="A146" s="21" t="s">
        <v>167</v>
      </c>
      <c r="B146" s="1" t="s">
        <v>161</v>
      </c>
      <c r="C146" s="10" t="s">
        <v>177</v>
      </c>
      <c r="D146" s="1">
        <v>4</v>
      </c>
      <c r="E146" s="1">
        <v>1</v>
      </c>
      <c r="F146" s="2">
        <v>19877.224024028299</v>
      </c>
      <c r="G146" s="3">
        <v>0.46982489055659787</v>
      </c>
      <c r="H146" s="2">
        <v>1.5408114446529082</v>
      </c>
      <c r="I146" s="2">
        <v>67</v>
      </c>
      <c r="J146" s="2">
        <f t="shared" si="4"/>
        <v>6.9458843043748702E-3</v>
      </c>
      <c r="K146" s="2">
        <f t="shared" si="5"/>
        <v>1.1852847779360123E-4</v>
      </c>
      <c r="L146" s="4">
        <v>2.3E-6</v>
      </c>
      <c r="M146" s="15">
        <v>6.601760442541467E-8</v>
      </c>
      <c r="N146" s="13">
        <v>9646</v>
      </c>
      <c r="O146" s="13">
        <v>565265</v>
      </c>
    </row>
    <row r="147" spans="1:25">
      <c r="B147" s="1" t="s">
        <v>120</v>
      </c>
      <c r="C147" s="8" t="s">
        <v>78</v>
      </c>
      <c r="D147" s="1">
        <v>2</v>
      </c>
      <c r="E147" s="1">
        <v>1</v>
      </c>
      <c r="F147" s="2">
        <v>125185.62933448526</v>
      </c>
      <c r="G147" s="3">
        <v>0.14071294559099437</v>
      </c>
      <c r="H147" s="2">
        <v>5.9597873671044397</v>
      </c>
      <c r="I147" s="2">
        <v>233</v>
      </c>
      <c r="J147" s="2">
        <f t="shared" si="4"/>
        <v>6.7928048744934546E-3</v>
      </c>
      <c r="K147" s="2">
        <f t="shared" si="5"/>
        <v>6.546047086587627E-3</v>
      </c>
      <c r="L147" s="4">
        <v>2.3E-5</v>
      </c>
      <c r="M147" s="15">
        <v>1.1841825694000854E-6</v>
      </c>
      <c r="N147" s="13">
        <v>34301</v>
      </c>
      <c r="O147" s="13">
        <v>35594</v>
      </c>
      <c r="P147" s="1">
        <f>STDEVP(F146:F148)</f>
        <v>53712.789459733111</v>
      </c>
      <c r="Q147" s="3">
        <f>STDEVP(G146:G148)</f>
        <v>0.3223238795684778</v>
      </c>
      <c r="R147" s="1">
        <f>STDEVP(H146:H148)</f>
        <v>1.847238859855296</v>
      </c>
      <c r="S147" s="1">
        <f>STDEVP(I146:I148)</f>
        <v>110.81816938871832</v>
      </c>
      <c r="T147" s="1">
        <f>STDEVP(J146:J148)</f>
        <v>9.4137948757097798E-5</v>
      </c>
      <c r="U147" s="4">
        <f>STDEVP(L146:L148)</f>
        <v>8.4864598037108495E-6</v>
      </c>
      <c r="V147" s="1">
        <f>STDEVP(M146:M148)</f>
        <v>4.7726879340324862E-7</v>
      </c>
      <c r="W147" s="6" t="s">
        <v>16</v>
      </c>
      <c r="X147" s="1" t="s">
        <v>121</v>
      </c>
      <c r="Y147" s="1" t="s">
        <v>479</v>
      </c>
    </row>
    <row r="148" spans="1:25">
      <c r="B148" s="1" t="s">
        <v>80</v>
      </c>
      <c r="C148" s="8" t="s">
        <v>71</v>
      </c>
      <c r="D148" s="1">
        <v>4</v>
      </c>
      <c r="E148" s="1">
        <v>0</v>
      </c>
      <c r="F148" s="2">
        <v>4227.7539362654015</v>
      </c>
      <c r="G148" s="3">
        <v>0.92678405931417984</v>
      </c>
      <c r="H148" s="2">
        <v>4.5927957985789307</v>
      </c>
      <c r="I148" s="2">
        <v>336</v>
      </c>
      <c r="J148" s="2">
        <f t="shared" si="4"/>
        <v>6.7200000000000003E-3</v>
      </c>
      <c r="K148" s="2">
        <f t="shared" si="5"/>
        <v>2.7864855451062349E-3</v>
      </c>
      <c r="L148" s="4">
        <v>1.43E-5</v>
      </c>
      <c r="M148" s="15">
        <v>3.2960882049009846E-7</v>
      </c>
      <c r="N148" s="13">
        <v>50000</v>
      </c>
      <c r="O148" s="13">
        <v>120582</v>
      </c>
    </row>
    <row r="149" spans="1:25">
      <c r="B149" s="1" t="s">
        <v>26</v>
      </c>
      <c r="C149" s="8" t="s">
        <v>101</v>
      </c>
      <c r="D149" s="1">
        <v>1</v>
      </c>
      <c r="E149" s="1">
        <v>1</v>
      </c>
      <c r="F149" s="2">
        <v>83989.904639444139</v>
      </c>
      <c r="G149" s="3">
        <v>0.88800000000000001</v>
      </c>
      <c r="H149" s="1">
        <v>10.819052059052058</v>
      </c>
      <c r="I149" s="2">
        <v>1338</v>
      </c>
      <c r="J149" s="2">
        <f t="shared" si="4"/>
        <v>6.3672443822630842E-3</v>
      </c>
      <c r="K149" s="2">
        <f t="shared" si="5"/>
        <v>2.7329659420970713E-3</v>
      </c>
      <c r="L149" s="4">
        <v>1.63E-4</v>
      </c>
      <c r="M149" s="1">
        <v>6.4349349950543905E-6</v>
      </c>
      <c r="N149" s="13">
        <v>210138</v>
      </c>
      <c r="O149" s="13">
        <v>489578</v>
      </c>
      <c r="P149" s="1">
        <f>AVERAGE(F149:F157)</f>
        <v>47058.019722976409</v>
      </c>
      <c r="Q149" s="3">
        <f>AVERAGE(G149:G157)</f>
        <v>0.40862905859399512</v>
      </c>
      <c r="R149" s="1">
        <f>AVERAGE(H149:H157)</f>
        <v>3.62793780931485</v>
      </c>
      <c r="S149" s="1">
        <f>AVERAGE(I149:I157)</f>
        <v>356.77777777777777</v>
      </c>
      <c r="T149" s="1">
        <f>AVERAGE(J149:J157)</f>
        <v>5.8136405501784559E-3</v>
      </c>
      <c r="U149" s="4">
        <f>AVERAGE(L149:L157)</f>
        <v>3.6588888888888896E-5</v>
      </c>
      <c r="V149" s="1">
        <f>AVERAGE(M149:M157)</f>
        <v>1.4096229819392736E-6</v>
      </c>
      <c r="W149" s="6" t="s">
        <v>11</v>
      </c>
      <c r="X149" s="1" t="s">
        <v>28</v>
      </c>
      <c r="Y149" s="1" t="s">
        <v>479</v>
      </c>
    </row>
    <row r="150" spans="1:25" ht="47.25">
      <c r="A150" s="21" t="s">
        <v>167</v>
      </c>
      <c r="B150" s="1" t="s">
        <v>80</v>
      </c>
      <c r="C150" s="10" t="s">
        <v>177</v>
      </c>
      <c r="D150" s="1">
        <v>4</v>
      </c>
      <c r="E150" s="1">
        <v>1</v>
      </c>
      <c r="F150" s="2">
        <v>58620.117603679937</v>
      </c>
      <c r="G150" s="3">
        <v>0.92678405931417984</v>
      </c>
      <c r="H150" s="2">
        <v>4.544022242817424</v>
      </c>
      <c r="I150" s="2">
        <v>300</v>
      </c>
      <c r="J150" s="2">
        <f t="shared" si="4"/>
        <v>6.0000000000000001E-3</v>
      </c>
      <c r="K150" s="2">
        <f t="shared" si="5"/>
        <v>2.4879335224162811E-3</v>
      </c>
      <c r="L150" s="4">
        <v>1.0000000000000001E-5</v>
      </c>
      <c r="M150" s="15">
        <v>2.8703306271919422E-7</v>
      </c>
      <c r="N150" s="13">
        <v>50000</v>
      </c>
      <c r="O150" s="13">
        <v>120582</v>
      </c>
    </row>
    <row r="151" spans="1:25">
      <c r="B151" s="1" t="s">
        <v>73</v>
      </c>
      <c r="C151" s="8" t="s">
        <v>43</v>
      </c>
      <c r="D151" s="1">
        <v>2</v>
      </c>
      <c r="E151" s="1">
        <v>0</v>
      </c>
      <c r="F151" s="2">
        <v>3550.896778981532</v>
      </c>
      <c r="G151" s="3">
        <v>3.4805890227576977E-2</v>
      </c>
      <c r="H151" s="1">
        <v>3.273607249510864E-2</v>
      </c>
      <c r="I151" s="2">
        <v>2</v>
      </c>
      <c r="J151" s="2">
        <f t="shared" si="4"/>
        <v>5.9523809523809521E-3</v>
      </c>
      <c r="K151" s="2">
        <f t="shared" si="5"/>
        <v>5.9523809523809521E-3</v>
      </c>
      <c r="L151" s="4">
        <v>1.9999999999999999E-7</v>
      </c>
      <c r="M151" s="1">
        <v>1.0367284086890865E-8</v>
      </c>
      <c r="N151" s="1">
        <v>336</v>
      </c>
      <c r="O151" s="1">
        <v>336</v>
      </c>
    </row>
    <row r="152" spans="1:25">
      <c r="B152" s="1" t="s">
        <v>73</v>
      </c>
      <c r="C152" s="8" t="s">
        <v>20</v>
      </c>
      <c r="D152" s="1">
        <v>2</v>
      </c>
      <c r="E152" s="1">
        <v>0</v>
      </c>
      <c r="F152" s="2">
        <v>9807.238722901373</v>
      </c>
      <c r="G152" s="3">
        <v>3.1098753990320256E-2</v>
      </c>
      <c r="H152" s="1">
        <v>3.3333333333333333E-2</v>
      </c>
      <c r="I152" s="2">
        <v>2</v>
      </c>
      <c r="J152" s="2">
        <f t="shared" si="4"/>
        <v>5.9523809523809521E-3</v>
      </c>
      <c r="K152" s="2">
        <f t="shared" si="5"/>
        <v>5.9523809523809521E-3</v>
      </c>
      <c r="L152" s="4">
        <v>1.9999999999999999E-7</v>
      </c>
      <c r="M152" s="1">
        <v>1.1107645988989103E-8</v>
      </c>
      <c r="N152" s="1">
        <v>336</v>
      </c>
      <c r="O152" s="1">
        <v>336</v>
      </c>
    </row>
    <row r="153" spans="1:25">
      <c r="B153" s="1" t="s">
        <v>51</v>
      </c>
      <c r="C153" s="8" t="s">
        <v>52</v>
      </c>
      <c r="D153" s="1">
        <v>3</v>
      </c>
      <c r="E153" s="1">
        <v>0</v>
      </c>
      <c r="F153" s="2">
        <v>123333.45666679001</v>
      </c>
      <c r="G153" s="3">
        <v>0.5292</v>
      </c>
      <c r="H153" s="2">
        <v>2.9586376586376586</v>
      </c>
      <c r="I153" s="2">
        <v>140</v>
      </c>
      <c r="J153" s="2">
        <f t="shared" si="4"/>
        <v>5.8902726354762708E-3</v>
      </c>
      <c r="K153" s="2">
        <f t="shared" si="5"/>
        <v>2.1077671218439949E-3</v>
      </c>
      <c r="L153" s="4">
        <v>1.1E-5</v>
      </c>
      <c r="M153" s="15">
        <v>5.2095211317761921E-7</v>
      </c>
      <c r="N153" s="13">
        <v>23768</v>
      </c>
      <c r="O153" s="13">
        <v>66421</v>
      </c>
      <c r="P153" s="1">
        <f>AVERAGE(F153:F167)</f>
        <v>43518.5244515089</v>
      </c>
      <c r="Q153" s="3">
        <f>AVERAGE(G153:G167)</f>
        <v>0.4670854333640751</v>
      </c>
      <c r="R153" s="1">
        <f>AVERAGE(H153:H167)</f>
        <v>7.7873014109175349</v>
      </c>
      <c r="S153" s="1">
        <f>AVERAGE(I153:I167)</f>
        <v>501.2</v>
      </c>
      <c r="T153" s="1">
        <f>AVERAGE(J153:J167)</f>
        <v>4.6034440542077528E-3</v>
      </c>
      <c r="U153" s="4">
        <f>AVERAGE(L153:L167)</f>
        <v>2.157142857142857E-5</v>
      </c>
      <c r="V153" s="1">
        <f>AVERAGE(M153:M167)</f>
        <v>1.2845355086922544E-6</v>
      </c>
      <c r="W153" s="6" t="s">
        <v>11</v>
      </c>
      <c r="X153" s="1" t="s">
        <v>53</v>
      </c>
      <c r="Y153" s="1" t="s">
        <v>13</v>
      </c>
    </row>
    <row r="154" spans="1:25" ht="47.25">
      <c r="A154" s="21" t="s">
        <v>167</v>
      </c>
      <c r="B154" s="1" t="s">
        <v>21</v>
      </c>
      <c r="C154" s="10" t="s">
        <v>177</v>
      </c>
      <c r="D154" s="1">
        <v>4</v>
      </c>
      <c r="E154" s="1">
        <v>1</v>
      </c>
      <c r="F154" s="2">
        <v>11356.292315093751</v>
      </c>
      <c r="G154" s="3">
        <v>8.9091403699673555E-2</v>
      </c>
      <c r="H154" s="2">
        <v>0.88029923830250267</v>
      </c>
      <c r="I154" s="2">
        <v>44</v>
      </c>
      <c r="J154" s="2">
        <f t="shared" si="4"/>
        <v>5.7963377684099593E-3</v>
      </c>
      <c r="K154" s="2">
        <f t="shared" si="5"/>
        <v>1.3986013986013986E-3</v>
      </c>
      <c r="L154" s="4">
        <v>1.5E-6</v>
      </c>
      <c r="M154" s="15">
        <v>4.3054959407879135E-8</v>
      </c>
      <c r="N154" s="13">
        <v>7591</v>
      </c>
      <c r="O154" s="13">
        <v>31460</v>
      </c>
    </row>
    <row r="155" spans="1:25" ht="31.5">
      <c r="A155" s="21" t="s">
        <v>167</v>
      </c>
      <c r="B155" s="1" t="s">
        <v>21</v>
      </c>
      <c r="C155" s="10" t="s">
        <v>173</v>
      </c>
      <c r="D155" s="1">
        <v>4</v>
      </c>
      <c r="E155" s="1">
        <v>1</v>
      </c>
      <c r="F155" s="2">
        <v>1636.929370228351</v>
      </c>
      <c r="G155" s="3">
        <v>0.13601741022850924</v>
      </c>
      <c r="H155" s="2">
        <v>0.81022714907508164</v>
      </c>
      <c r="I155" s="2">
        <v>43</v>
      </c>
      <c r="J155" s="2">
        <f t="shared" si="4"/>
        <v>5.6646028191279143E-3</v>
      </c>
      <c r="K155" s="2">
        <f t="shared" si="5"/>
        <v>1.3668150031786396E-3</v>
      </c>
      <c r="L155" s="4">
        <v>1.3999999999999999E-6</v>
      </c>
      <c r="M155" s="15">
        <v>4.158657843012313E-8</v>
      </c>
      <c r="N155" s="13">
        <v>7591</v>
      </c>
      <c r="O155" s="13">
        <v>31460</v>
      </c>
    </row>
    <row r="156" spans="1:25" ht="31.5">
      <c r="A156" s="21" t="s">
        <v>167</v>
      </c>
      <c r="B156" s="1" t="s">
        <v>80</v>
      </c>
      <c r="C156" s="10" t="s">
        <v>169</v>
      </c>
      <c r="D156" s="1">
        <v>4</v>
      </c>
      <c r="E156" s="1">
        <v>1</v>
      </c>
      <c r="F156" s="2">
        <v>2577.5879944367089</v>
      </c>
      <c r="G156" s="3">
        <v>0.15446400988569664</v>
      </c>
      <c r="H156" s="2">
        <v>3.9744145814025331</v>
      </c>
      <c r="I156" s="2">
        <v>283</v>
      </c>
      <c r="J156" s="2">
        <f t="shared" si="4"/>
        <v>5.6600000000000001E-3</v>
      </c>
      <c r="K156" s="2">
        <f t="shared" si="5"/>
        <v>2.3469506228126916E-3</v>
      </c>
      <c r="L156" s="4">
        <v>1.0000000000000001E-5</v>
      </c>
      <c r="M156" s="15">
        <v>2.7335170922377933E-7</v>
      </c>
      <c r="N156" s="13">
        <v>50000</v>
      </c>
      <c r="O156" s="13">
        <v>120582</v>
      </c>
      <c r="P156" s="1">
        <f>STDEVP(F155:F165)</f>
        <v>47135.707892680839</v>
      </c>
      <c r="Q156" s="3">
        <f>STDEVP(G155:G165)</f>
        <v>0.31496403679278545</v>
      </c>
      <c r="R156" s="1">
        <f>STDEVP(H155:H165)</f>
        <v>15.943553526632497</v>
      </c>
      <c r="S156" s="1">
        <f>STDEVP(I155:I165)</f>
        <v>984.04640252076001</v>
      </c>
      <c r="T156" s="1">
        <f>STDEVP(J155:J165)</f>
        <v>7.0171123959618983E-4</v>
      </c>
      <c r="U156" s="4">
        <f>STDEVP(L155:L165)</f>
        <v>4.5111378830623218E-5</v>
      </c>
      <c r="V156" s="1">
        <f>STDEVP(M155:M165)</f>
        <v>2.6674012356791345E-6</v>
      </c>
      <c r="W156" s="6" t="s">
        <v>16</v>
      </c>
      <c r="X156" s="1" t="s">
        <v>96</v>
      </c>
      <c r="Y156" s="1" t="s">
        <v>480</v>
      </c>
    </row>
    <row r="157" spans="1:25">
      <c r="B157" s="1" t="s">
        <v>26</v>
      </c>
      <c r="C157" s="8" t="s">
        <v>17</v>
      </c>
      <c r="D157" s="1">
        <v>1</v>
      </c>
      <c r="E157" s="1">
        <v>0</v>
      </c>
      <c r="F157" s="2">
        <v>128649.75341523184</v>
      </c>
      <c r="G157" s="3">
        <v>0.88819999999999999</v>
      </c>
      <c r="H157" s="1">
        <v>8.5987179487179493</v>
      </c>
      <c r="I157" s="2">
        <v>1059</v>
      </c>
      <c r="J157" s="2">
        <f t="shared" si="4"/>
        <v>5.0395454415669699E-3</v>
      </c>
      <c r="K157" s="2">
        <f t="shared" si="5"/>
        <v>2.1630873936328838E-3</v>
      </c>
      <c r="L157" s="4">
        <v>1.3200000000000001E-4</v>
      </c>
      <c r="M157" s="1">
        <v>5.0642184893645971E-6</v>
      </c>
      <c r="N157" s="13">
        <v>210138</v>
      </c>
      <c r="O157" s="13">
        <v>489578</v>
      </c>
    </row>
    <row r="158" spans="1:25" ht="31.5">
      <c r="B158" s="1" t="s">
        <v>21</v>
      </c>
      <c r="C158" s="10" t="s">
        <v>150</v>
      </c>
      <c r="D158" s="1">
        <v>4</v>
      </c>
      <c r="E158" s="1">
        <v>1</v>
      </c>
      <c r="F158" s="2">
        <v>108.57620344263826</v>
      </c>
      <c r="G158" s="3">
        <v>4.6109902067464632E-2</v>
      </c>
      <c r="H158" s="2">
        <v>0.71156964091403685</v>
      </c>
      <c r="I158" s="2">
        <v>38</v>
      </c>
      <c r="J158" s="2">
        <f t="shared" si="4"/>
        <v>5.0059280727176919E-3</v>
      </c>
      <c r="K158" s="2">
        <f t="shared" si="5"/>
        <v>1.2078830260648442E-3</v>
      </c>
      <c r="L158" s="4">
        <v>1.7E-6</v>
      </c>
      <c r="M158" s="15">
        <v>3.783197212672881E-8</v>
      </c>
      <c r="N158" s="13">
        <v>7591</v>
      </c>
      <c r="O158" s="13">
        <v>31460</v>
      </c>
    </row>
    <row r="159" spans="1:25" ht="31.5">
      <c r="A159" s="21" t="s">
        <v>167</v>
      </c>
      <c r="B159" s="1" t="s">
        <v>161</v>
      </c>
      <c r="C159" s="10" t="s">
        <v>174</v>
      </c>
      <c r="D159" s="1">
        <v>4</v>
      </c>
      <c r="E159" s="1">
        <v>1</v>
      </c>
      <c r="F159" s="2">
        <v>42231.854679289499</v>
      </c>
      <c r="G159" s="3">
        <v>0.31269543464665417</v>
      </c>
      <c r="H159" s="2">
        <v>1.0041510318949343</v>
      </c>
      <c r="I159" s="2">
        <v>47</v>
      </c>
      <c r="J159" s="2">
        <f t="shared" si="4"/>
        <v>4.8724860045614759E-3</v>
      </c>
      <c r="K159" s="2">
        <f t="shared" si="5"/>
        <v>8.3146842631332202E-5</v>
      </c>
      <c r="L159" s="4">
        <v>1.7E-6</v>
      </c>
      <c r="M159" s="15">
        <v>4.5071861533282322E-8</v>
      </c>
      <c r="N159" s="13">
        <v>9646</v>
      </c>
      <c r="O159" s="13">
        <v>565265</v>
      </c>
    </row>
    <row r="160" spans="1:25" ht="31.5">
      <c r="B160" s="1" t="s">
        <v>161</v>
      </c>
      <c r="C160" s="10" t="s">
        <v>149</v>
      </c>
      <c r="D160" s="1">
        <v>4</v>
      </c>
      <c r="E160" s="1">
        <v>1</v>
      </c>
      <c r="F160" s="2">
        <v>406.96282313218126</v>
      </c>
      <c r="G160" s="3">
        <v>0.46904315196998125</v>
      </c>
      <c r="H160" s="2">
        <v>0.92953095684803011</v>
      </c>
      <c r="I160" s="2">
        <v>44</v>
      </c>
      <c r="J160" s="2">
        <f t="shared" si="4"/>
        <v>4.5614762595894672E-3</v>
      </c>
      <c r="K160" s="2">
        <f t="shared" si="5"/>
        <v>3.3287940686942048E-3</v>
      </c>
      <c r="L160" s="4">
        <v>1.3999999999999999E-6</v>
      </c>
      <c r="M160" s="15">
        <v>4.4341426425839127E-8</v>
      </c>
      <c r="N160" s="13">
        <v>9646</v>
      </c>
      <c r="O160" s="13">
        <v>13218</v>
      </c>
      <c r="P160" s="1">
        <f>STDEVP(F159:F164)</f>
        <v>42474.26170892176</v>
      </c>
      <c r="Q160" s="3">
        <f>STDEVP(G159:G164)</f>
        <v>0.27894378932861708</v>
      </c>
      <c r="R160" s="1">
        <f>STDEVP(H159:H164)</f>
        <v>20.032337094868772</v>
      </c>
      <c r="S160" s="1">
        <f>STDEVP(I159:I164)</f>
        <v>1227.0800594183829</v>
      </c>
      <c r="T160" s="1">
        <f>STDEVP(J159:J164)</f>
        <v>4.276462923557337E-4</v>
      </c>
      <c r="U160" s="4">
        <f>STDEVP(L159:L164)</f>
        <v>3.8867847895143358E-5</v>
      </c>
      <c r="V160" s="1">
        <f>STDEVP(M159:M164)</f>
        <v>3.1287751487987009E-6</v>
      </c>
      <c r="W160" s="6" t="s">
        <v>16</v>
      </c>
      <c r="X160" s="1" t="s">
        <v>162</v>
      </c>
      <c r="Y160" s="1" t="s">
        <v>479</v>
      </c>
    </row>
    <row r="161" spans="1:25" ht="31.5">
      <c r="A161" s="21" t="s">
        <v>167</v>
      </c>
      <c r="B161" s="1" t="s">
        <v>113</v>
      </c>
      <c r="C161" s="10" t="s">
        <v>173</v>
      </c>
      <c r="D161" s="1">
        <v>4</v>
      </c>
      <c r="E161" s="1">
        <v>1</v>
      </c>
      <c r="F161" s="16">
        <v>97371.049814736965</v>
      </c>
      <c r="G161" s="3">
        <v>0.81093605189990736</v>
      </c>
      <c r="H161" s="16">
        <v>48.19552359967529</v>
      </c>
      <c r="I161" s="16">
        <v>3000</v>
      </c>
      <c r="J161" s="2">
        <f t="shared" si="4"/>
        <v>4.4915827738817452E-3</v>
      </c>
      <c r="K161" s="2">
        <f t="shared" si="5"/>
        <v>3.0333885072998494E-3</v>
      </c>
      <c r="L161" s="4">
        <v>9.8999999999999994E-5</v>
      </c>
      <c r="M161" s="15">
        <v>2.9407651889872785E-6</v>
      </c>
      <c r="N161" s="13">
        <v>667916</v>
      </c>
      <c r="O161" s="13">
        <v>988993</v>
      </c>
    </row>
    <row r="162" spans="1:25">
      <c r="B162" s="1" t="s">
        <v>73</v>
      </c>
      <c r="C162" s="8" t="s">
        <v>63</v>
      </c>
      <c r="D162" s="1">
        <v>3</v>
      </c>
      <c r="E162" s="1">
        <v>1</v>
      </c>
      <c r="F162" s="17">
        <v>101110.33435440209</v>
      </c>
      <c r="G162" s="3">
        <v>0.92678405931417984</v>
      </c>
      <c r="H162" s="17">
        <v>37.838753990320257</v>
      </c>
      <c r="I162" s="2">
        <v>2222</v>
      </c>
      <c r="J162" s="2">
        <f t="shared" si="4"/>
        <v>4.0934907601697084E-3</v>
      </c>
      <c r="K162" s="2">
        <f t="shared" si="5"/>
        <v>3.8403904685034404E-3</v>
      </c>
      <c r="L162" s="4" t="s">
        <v>157</v>
      </c>
      <c r="M162" s="15">
        <v>8.5323298935818468E-6</v>
      </c>
      <c r="N162" s="13">
        <v>542813</v>
      </c>
      <c r="O162" s="13">
        <v>578587</v>
      </c>
    </row>
    <row r="163" spans="1:25" ht="31.5">
      <c r="A163" s="21" t="s">
        <v>167</v>
      </c>
      <c r="B163" s="1" t="s">
        <v>51</v>
      </c>
      <c r="C163" s="10" t="s">
        <v>171</v>
      </c>
      <c r="D163" s="1">
        <v>4</v>
      </c>
      <c r="E163" s="1">
        <v>1</v>
      </c>
      <c r="F163" s="2">
        <v>9877.1285211963186</v>
      </c>
      <c r="G163" s="3">
        <v>0.54100000000000004</v>
      </c>
      <c r="H163" s="2">
        <v>1.566783216783217</v>
      </c>
      <c r="I163" s="2">
        <v>90</v>
      </c>
      <c r="J163" s="2">
        <f t="shared" si="4"/>
        <v>3.7866038370918884E-3</v>
      </c>
      <c r="K163" s="2">
        <f t="shared" si="5"/>
        <v>8.1015392924655687E-3</v>
      </c>
      <c r="L163" s="4">
        <v>3.3000000000000002E-6</v>
      </c>
      <c r="M163" s="15">
        <v>8.7945282499920065E-8</v>
      </c>
      <c r="N163" s="13">
        <v>23768</v>
      </c>
      <c r="O163" s="13">
        <v>11109</v>
      </c>
    </row>
    <row r="164" spans="1:25" ht="31.5">
      <c r="A164" s="21" t="s">
        <v>167</v>
      </c>
      <c r="B164" s="1" t="s">
        <v>21</v>
      </c>
      <c r="C164" s="10" t="s">
        <v>171</v>
      </c>
      <c r="D164" s="1">
        <v>4</v>
      </c>
      <c r="E164" s="1">
        <v>1</v>
      </c>
      <c r="F164" s="2">
        <v>3227.5317681341176</v>
      </c>
      <c r="G164" s="3">
        <v>0.10636561479869423</v>
      </c>
      <c r="H164" s="2">
        <v>0.51197497279651794</v>
      </c>
      <c r="I164" s="2">
        <v>28</v>
      </c>
      <c r="J164" s="2">
        <f t="shared" si="4"/>
        <v>3.6885785798972466E-3</v>
      </c>
      <c r="K164" s="2">
        <f t="shared" si="5"/>
        <v>8.9001907183725363E-4</v>
      </c>
      <c r="L164" s="4">
        <v>9.9999999999999995E-7</v>
      </c>
      <c r="M164" s="15">
        <v>2.6650085606036385E-8</v>
      </c>
      <c r="N164" s="13">
        <v>7591</v>
      </c>
      <c r="O164" s="13">
        <v>31460</v>
      </c>
    </row>
    <row r="165" spans="1:25">
      <c r="B165" s="1" t="s">
        <v>26</v>
      </c>
      <c r="C165" s="8" t="s">
        <v>125</v>
      </c>
      <c r="D165" s="1">
        <v>2</v>
      </c>
      <c r="E165" s="1">
        <v>1</v>
      </c>
      <c r="F165" s="16">
        <v>1261.7874286070205</v>
      </c>
      <c r="G165" s="3">
        <v>0.66930000000000001</v>
      </c>
      <c r="H165" s="16">
        <v>4.6078580678580678</v>
      </c>
      <c r="I165" s="16">
        <v>223</v>
      </c>
      <c r="J165" s="2">
        <f t="shared" si="4"/>
        <v>3.6169591591786419E-3</v>
      </c>
      <c r="K165" s="2">
        <f t="shared" si="5"/>
        <v>2.6815454359615685E-3</v>
      </c>
      <c r="L165" s="4">
        <v>2.1999999999999999E-5</v>
      </c>
      <c r="M165" s="15">
        <v>1.1342484048242566E-6</v>
      </c>
      <c r="N165" s="13">
        <v>61654</v>
      </c>
      <c r="O165" s="13">
        <v>83161</v>
      </c>
      <c r="P165" s="1">
        <f>STDEVP(F164:F167)</f>
        <v>53568.9080377844</v>
      </c>
      <c r="Q165" s="3">
        <f>STDEVP(G164:G167)</f>
        <v>0.32396934477197992</v>
      </c>
      <c r="R165" s="1">
        <f>STDEVP(H164:H167)</f>
        <v>1.4943965402265029</v>
      </c>
      <c r="S165" s="1">
        <f>STDEVP(I164:I167)</f>
        <v>77.333692527901448</v>
      </c>
      <c r="T165" s="1">
        <f>STDEVP(J164:J167)</f>
        <v>1.3686402516788427E-4</v>
      </c>
      <c r="U165" s="4">
        <f>STDEVP(L164:L167)</f>
        <v>7.6280731511961783E-6</v>
      </c>
      <c r="V165" s="1">
        <f>STDEVP(M164:M167)</f>
        <v>4.2976740372354303E-7</v>
      </c>
      <c r="W165" s="6" t="s">
        <v>16</v>
      </c>
      <c r="X165" s="1" t="s">
        <v>42</v>
      </c>
      <c r="Y165" s="1" t="s">
        <v>479</v>
      </c>
    </row>
    <row r="166" spans="1:25">
      <c r="B166" s="1" t="s">
        <v>80</v>
      </c>
      <c r="C166" s="8" t="s">
        <v>72</v>
      </c>
      <c r="D166" s="1">
        <v>4</v>
      </c>
      <c r="E166" s="1">
        <v>0</v>
      </c>
      <c r="F166" s="2">
        <v>3326.0259795141837</v>
      </c>
      <c r="G166" s="3">
        <v>0.96797446195036552</v>
      </c>
      <c r="H166" s="2">
        <v>2.5245535990114303</v>
      </c>
      <c r="I166" s="2">
        <v>178</v>
      </c>
      <c r="J166" s="2">
        <f t="shared" si="4"/>
        <v>3.5599999999999998E-3</v>
      </c>
      <c r="K166" s="2">
        <f t="shared" si="5"/>
        <v>1.4761738899669934E-3</v>
      </c>
      <c r="L166" s="4">
        <v>7.9999999999999996E-6</v>
      </c>
      <c r="M166" s="15">
        <v>1.7446422016067148E-7</v>
      </c>
      <c r="N166" s="13">
        <v>50000</v>
      </c>
      <c r="O166" s="13">
        <v>120582</v>
      </c>
    </row>
    <row r="167" spans="1:25">
      <c r="B167" s="1" t="s">
        <v>51</v>
      </c>
      <c r="C167" s="8" t="s">
        <v>60</v>
      </c>
      <c r="D167" s="1">
        <v>3</v>
      </c>
      <c r="E167" s="1">
        <v>0</v>
      </c>
      <c r="F167" s="2">
        <v>126302.59543839791</v>
      </c>
      <c r="G167" s="3">
        <v>0.35909999999999997</v>
      </c>
      <c r="H167" s="2">
        <v>1.6965255115255118</v>
      </c>
      <c r="I167" s="2">
        <v>79</v>
      </c>
      <c r="J167" s="2">
        <f t="shared" si="4"/>
        <v>3.3237967014473242E-3</v>
      </c>
      <c r="K167" s="2">
        <f t="shared" si="5"/>
        <v>1.1893828758976831E-3</v>
      </c>
      <c r="L167" s="4">
        <v>7.9999999999999996E-6</v>
      </c>
      <c r="M167" s="15">
        <v>3.0122044503395932E-7</v>
      </c>
      <c r="N167" s="13">
        <v>23768</v>
      </c>
      <c r="O167" s="13">
        <v>66421</v>
      </c>
    </row>
    <row r="168" spans="1:25">
      <c r="B168" s="1" t="s">
        <v>26</v>
      </c>
      <c r="C168" s="8" t="s">
        <v>50</v>
      </c>
      <c r="D168" s="1">
        <v>2</v>
      </c>
      <c r="E168" s="1">
        <v>0</v>
      </c>
      <c r="F168" s="2">
        <v>89792.772719601984</v>
      </c>
      <c r="G168" s="3">
        <v>0.77229999999999999</v>
      </c>
      <c r="H168" s="1">
        <v>4.179206164206164</v>
      </c>
      <c r="I168" s="2">
        <v>199</v>
      </c>
      <c r="J168" s="2">
        <f t="shared" si="4"/>
        <v>3.2276900120024655E-3</v>
      </c>
      <c r="K168" s="2">
        <f t="shared" si="5"/>
        <v>2.3929486177414892E-3</v>
      </c>
      <c r="L168" s="4">
        <v>1.8E-5</v>
      </c>
      <c r="M168" s="1">
        <v>1.001547204090663E-6</v>
      </c>
      <c r="N168" s="13">
        <v>61654</v>
      </c>
      <c r="O168" s="13">
        <v>83161</v>
      </c>
    </row>
    <row r="169" spans="1:25">
      <c r="B169" s="1" t="s">
        <v>51</v>
      </c>
      <c r="C169" s="8" t="s">
        <v>58</v>
      </c>
      <c r="D169" s="1">
        <v>3</v>
      </c>
      <c r="E169" s="1">
        <v>0</v>
      </c>
      <c r="F169" s="2">
        <v>18184.078905141523</v>
      </c>
      <c r="G169" s="3">
        <v>0.4572</v>
      </c>
      <c r="H169" s="2">
        <v>1.5833048433048433</v>
      </c>
      <c r="I169" s="2">
        <v>74</v>
      </c>
      <c r="J169" s="2">
        <f t="shared" si="4"/>
        <v>3.113429821608886E-3</v>
      </c>
      <c r="K169" s="2">
        <f t="shared" si="5"/>
        <v>1.1141054786889689E-3</v>
      </c>
      <c r="L169" s="4">
        <v>7.9999999999999996E-6</v>
      </c>
      <c r="M169" s="15">
        <v>2.9771081049033785E-7</v>
      </c>
      <c r="N169" s="13">
        <v>23768</v>
      </c>
      <c r="O169" s="13">
        <v>66421</v>
      </c>
    </row>
    <row r="170" spans="1:25" ht="31.5">
      <c r="A170" s="21" t="s">
        <v>167</v>
      </c>
      <c r="B170" s="1" t="s">
        <v>80</v>
      </c>
      <c r="C170" s="10" t="s">
        <v>173</v>
      </c>
      <c r="D170" s="1">
        <v>4</v>
      </c>
      <c r="E170" s="1">
        <v>1</v>
      </c>
      <c r="F170" s="2">
        <v>4380.7313187099335</v>
      </c>
      <c r="G170" s="3">
        <v>0.92678405931417984</v>
      </c>
      <c r="H170" s="2">
        <v>2.1683204613325096</v>
      </c>
      <c r="I170" s="2">
        <v>152</v>
      </c>
      <c r="J170" s="2">
        <f t="shared" si="4"/>
        <v>3.0400000000000002E-3</v>
      </c>
      <c r="K170" s="2">
        <f t="shared" si="5"/>
        <v>1.2605529846909157E-3</v>
      </c>
      <c r="L170" s="4">
        <v>5.0000000000000004E-6</v>
      </c>
      <c r="M170" s="15">
        <v>1.4852349439329694E-7</v>
      </c>
      <c r="N170" s="13">
        <v>50000</v>
      </c>
      <c r="O170" s="13">
        <v>120582</v>
      </c>
    </row>
    <row r="171" spans="1:25" ht="31.5">
      <c r="A171" s="21" t="s">
        <v>167</v>
      </c>
      <c r="B171" s="1" t="s">
        <v>80</v>
      </c>
      <c r="C171" s="10" t="s">
        <v>171</v>
      </c>
      <c r="D171" s="1">
        <v>4</v>
      </c>
      <c r="E171" s="1">
        <v>1</v>
      </c>
      <c r="F171" s="2">
        <v>13090.170329296325</v>
      </c>
      <c r="G171" s="3">
        <v>0.82380805272371538</v>
      </c>
      <c r="H171" s="2">
        <v>2.07645968489342</v>
      </c>
      <c r="I171" s="2">
        <v>150</v>
      </c>
      <c r="J171" s="2">
        <f t="shared" si="4"/>
        <v>3.0000000000000001E-3</v>
      </c>
      <c r="K171" s="2">
        <f t="shared" si="5"/>
        <v>1.2439667612081406E-3</v>
      </c>
      <c r="L171" s="4">
        <v>5.4999999999999999E-6</v>
      </c>
      <c r="M171" s="15">
        <v>1.4657547083320009E-7</v>
      </c>
      <c r="N171" s="13">
        <v>50000</v>
      </c>
      <c r="O171" s="13">
        <v>120582</v>
      </c>
    </row>
    <row r="172" spans="1:25">
      <c r="B172" s="1" t="s">
        <v>73</v>
      </c>
      <c r="C172" s="8" t="s">
        <v>75</v>
      </c>
      <c r="D172" s="1">
        <v>2</v>
      </c>
      <c r="E172" s="1">
        <v>0</v>
      </c>
      <c r="F172" s="2">
        <v>3.001953374062456</v>
      </c>
      <c r="G172" s="3">
        <v>2.3169601482854494E-2</v>
      </c>
      <c r="H172" s="1">
        <v>1.7207290701266604E-2</v>
      </c>
      <c r="I172" s="2">
        <v>1</v>
      </c>
      <c r="J172" s="2">
        <f t="shared" si="4"/>
        <v>2.976190476190476E-3</v>
      </c>
      <c r="K172" s="2">
        <f t="shared" si="5"/>
        <v>2.976190476190476E-3</v>
      </c>
      <c r="L172" s="4">
        <v>9.9999999999999995E-8</v>
      </c>
      <c r="M172" s="1">
        <v>5.5644758920739022E-9</v>
      </c>
      <c r="N172" s="1">
        <v>336</v>
      </c>
      <c r="O172" s="1">
        <v>336</v>
      </c>
      <c r="P172" s="1">
        <f>AVERAGE(F172:F179)</f>
        <v>60264.063770056382</v>
      </c>
      <c r="Q172" s="3">
        <f>AVERAGE(G172:G179)</f>
        <v>0.45623479622052937</v>
      </c>
      <c r="R172" s="1">
        <f>AVERAGE(H172:H179)</f>
        <v>4.4092142260288743</v>
      </c>
      <c r="S172" s="1">
        <f>AVERAGE(I172:I179)</f>
        <v>292.5</v>
      </c>
      <c r="T172" s="1">
        <f>AVERAGE(J172:J179)</f>
        <v>2.602427784155491E-3</v>
      </c>
      <c r="U172" s="4">
        <f>AVERAGE(L172:L179)</f>
        <v>1.8025000000000001E-5</v>
      </c>
      <c r="V172" s="1">
        <f>AVERAGE(M172:M179)</f>
        <v>6.0215578814388586E-7</v>
      </c>
      <c r="W172" s="6" t="s">
        <v>11</v>
      </c>
      <c r="X172" s="1" t="s">
        <v>76</v>
      </c>
      <c r="Y172" s="1" t="s">
        <v>13</v>
      </c>
    </row>
    <row r="173" spans="1:25" ht="31.5">
      <c r="B173" s="1" t="s">
        <v>51</v>
      </c>
      <c r="C173" s="10" t="s">
        <v>150</v>
      </c>
      <c r="D173" s="1">
        <v>4</v>
      </c>
      <c r="E173" s="1">
        <v>1</v>
      </c>
      <c r="F173" s="2">
        <v>190.425364780461</v>
      </c>
      <c r="G173" s="3">
        <v>0.40579999999999999</v>
      </c>
      <c r="H173" s="2">
        <v>1.247979797979798</v>
      </c>
      <c r="I173" s="2">
        <v>70</v>
      </c>
      <c r="J173" s="2">
        <f t="shared" si="4"/>
        <v>2.9451363177381354E-3</v>
      </c>
      <c r="K173" s="2">
        <f t="shared" si="5"/>
        <v>6.3011972274732196E-3</v>
      </c>
      <c r="L173" s="4">
        <v>3.1E-6</v>
      </c>
      <c r="M173" s="15">
        <v>6.8987713878152541E-8</v>
      </c>
      <c r="N173" s="13">
        <v>23768</v>
      </c>
      <c r="O173" s="13">
        <v>11109</v>
      </c>
    </row>
    <row r="174" spans="1:25" ht="31.5">
      <c r="A174" s="21" t="s">
        <v>167</v>
      </c>
      <c r="B174" s="1" t="s">
        <v>161</v>
      </c>
      <c r="C174" s="10" t="s">
        <v>169</v>
      </c>
      <c r="D174" s="1">
        <v>4</v>
      </c>
      <c r="E174" s="1">
        <v>1</v>
      </c>
      <c r="F174" s="2">
        <v>387.2046776095134</v>
      </c>
      <c r="G174" s="3">
        <v>0.46904315196998125</v>
      </c>
      <c r="H174" s="2">
        <v>0.59703564727954972</v>
      </c>
      <c r="I174" s="2">
        <v>28</v>
      </c>
      <c r="J174" s="2">
        <f t="shared" si="4"/>
        <v>2.9027576197387518E-3</v>
      </c>
      <c r="K174" s="2">
        <f t="shared" si="5"/>
        <v>4.9534289227176636E-5</v>
      </c>
      <c r="L174" s="4">
        <v>9.9999999999999995E-7</v>
      </c>
      <c r="M174" s="15">
        <v>2.7335170922377928E-8</v>
      </c>
      <c r="N174" s="13">
        <v>9646</v>
      </c>
      <c r="O174" s="13">
        <v>565265</v>
      </c>
      <c r="P174" s="1">
        <f>STDEVP(F173:F184)</f>
        <v>59733.780234703641</v>
      </c>
      <c r="Q174" s="3">
        <f>STDEVP(G173:G184)</f>
        <v>0.33709333938046615</v>
      </c>
      <c r="R174" s="1">
        <f>STDEVP(H173:H184)</f>
        <v>6.1023769468782172</v>
      </c>
      <c r="S174" s="1">
        <f>STDEVP(I173:I184)</f>
        <v>394.86597585622502</v>
      </c>
      <c r="T174" s="1">
        <f>STDEVP(J173:J184)</f>
        <v>4.1884217384652604E-4</v>
      </c>
      <c r="U174" s="4">
        <f>STDEVP(L173:L184)</f>
        <v>2.4765280075586107E-5</v>
      </c>
      <c r="V174" s="1">
        <f>STDEVP(M173:M184)</f>
        <v>9.2752182216274836E-7</v>
      </c>
      <c r="W174" s="6" t="s">
        <v>16</v>
      </c>
      <c r="X174" s="1" t="s">
        <v>162</v>
      </c>
      <c r="Y174" s="1" t="s">
        <v>480</v>
      </c>
    </row>
    <row r="175" spans="1:25">
      <c r="B175" s="1" t="s">
        <v>26</v>
      </c>
      <c r="C175" s="8" t="s">
        <v>47</v>
      </c>
      <c r="D175" s="1">
        <v>2</v>
      </c>
      <c r="E175" s="1">
        <v>0</v>
      </c>
      <c r="F175" s="2">
        <v>107086.64554818401</v>
      </c>
      <c r="G175" s="3">
        <v>0.91379999999999995</v>
      </c>
      <c r="H175" s="1">
        <v>3.617078477078477</v>
      </c>
      <c r="I175" s="2">
        <v>172</v>
      </c>
      <c r="J175" s="2">
        <f t="shared" si="4"/>
        <v>2.7897622214292667E-3</v>
      </c>
      <c r="K175" s="2">
        <f t="shared" si="5"/>
        <v>2.0682771972439003E-3</v>
      </c>
      <c r="L175" s="4">
        <v>1.8E-5</v>
      </c>
      <c r="M175" s="1">
        <v>8.9636667827832501E-7</v>
      </c>
      <c r="N175" s="13">
        <v>61654</v>
      </c>
      <c r="O175" s="13">
        <v>83161</v>
      </c>
    </row>
    <row r="176" spans="1:25" ht="31.5">
      <c r="A176" s="21" t="s">
        <v>167</v>
      </c>
      <c r="B176" s="1" t="s">
        <v>51</v>
      </c>
      <c r="C176" s="10" t="s">
        <v>173</v>
      </c>
      <c r="D176" s="1">
        <v>4</v>
      </c>
      <c r="E176" s="1">
        <v>1</v>
      </c>
      <c r="F176" s="2">
        <v>2392.1098648218717</v>
      </c>
      <c r="G176" s="3">
        <v>0.67630000000000001</v>
      </c>
      <c r="H176" s="2">
        <v>1.184017094017094</v>
      </c>
      <c r="I176" s="2">
        <v>66</v>
      </c>
      <c r="J176" s="2">
        <f t="shared" si="4"/>
        <v>2.7768428138673848E-3</v>
      </c>
      <c r="K176" s="2">
        <f t="shared" si="5"/>
        <v>5.9411288144747502E-3</v>
      </c>
      <c r="L176" s="4">
        <v>1.9999999999999999E-6</v>
      </c>
      <c r="M176" s="15">
        <v>5.9409397757318761E-8</v>
      </c>
      <c r="N176" s="13">
        <v>23768</v>
      </c>
      <c r="O176" s="13">
        <v>11109</v>
      </c>
    </row>
    <row r="177" spans="1:25" ht="31.5">
      <c r="A177" s="21" t="s">
        <v>167</v>
      </c>
      <c r="B177" s="1" t="s">
        <v>113</v>
      </c>
      <c r="C177" s="10" t="s">
        <v>139</v>
      </c>
      <c r="D177" s="1">
        <v>4</v>
      </c>
      <c r="E177" s="1">
        <v>1</v>
      </c>
      <c r="F177" s="16">
        <v>113345.18910018088</v>
      </c>
      <c r="G177" s="3">
        <v>0.87986561631139948</v>
      </c>
      <c r="H177" s="16">
        <v>23.969662530441841</v>
      </c>
      <c r="I177" s="16">
        <v>1512</v>
      </c>
      <c r="J177" s="2">
        <f t="shared" si="4"/>
        <v>2.2637577180363998E-3</v>
      </c>
      <c r="K177" s="2">
        <f t="shared" si="5"/>
        <v>1.5288278076791241E-3</v>
      </c>
      <c r="L177" s="4">
        <v>6.0000000000000002E-5</v>
      </c>
      <c r="M177" s="15">
        <v>1.472215850807634E-6</v>
      </c>
      <c r="N177" s="13">
        <v>667916</v>
      </c>
      <c r="O177" s="13">
        <v>988993</v>
      </c>
    </row>
    <row r="178" spans="1:25">
      <c r="B178" s="1" t="s">
        <v>26</v>
      </c>
      <c r="C178" s="8" t="s">
        <v>15</v>
      </c>
      <c r="D178" s="1">
        <v>1</v>
      </c>
      <c r="E178" s="1">
        <v>0</v>
      </c>
      <c r="F178" s="2">
        <v>129207.80415137074</v>
      </c>
      <c r="G178" s="3">
        <v>7.4499999999999997E-2</v>
      </c>
      <c r="H178" s="1">
        <v>3.5946127946127944</v>
      </c>
      <c r="I178" s="2">
        <v>442</v>
      </c>
      <c r="J178" s="2">
        <f t="shared" si="4"/>
        <v>2.1033796838268184E-3</v>
      </c>
      <c r="K178" s="2">
        <f t="shared" si="5"/>
        <v>9.0281834559559457E-4</v>
      </c>
      <c r="L178" s="4">
        <v>5.3999999999999998E-5</v>
      </c>
      <c r="M178" s="1">
        <v>2.103530871761985E-6</v>
      </c>
      <c r="N178" s="13">
        <v>210138</v>
      </c>
      <c r="O178" s="13">
        <v>489578</v>
      </c>
    </row>
    <row r="179" spans="1:25">
      <c r="B179" s="1" t="s">
        <v>51</v>
      </c>
      <c r="C179" s="8" t="s">
        <v>56</v>
      </c>
      <c r="D179" s="1">
        <v>3</v>
      </c>
      <c r="E179" s="1">
        <v>0</v>
      </c>
      <c r="F179" s="2">
        <v>129500.12950012949</v>
      </c>
      <c r="G179" s="3">
        <v>0.2074</v>
      </c>
      <c r="H179" s="2">
        <v>1.0461201761201762</v>
      </c>
      <c r="I179" s="2">
        <v>49</v>
      </c>
      <c r="J179" s="2">
        <f t="shared" si="4"/>
        <v>2.0615954224166948E-3</v>
      </c>
      <c r="K179" s="2">
        <f t="shared" si="5"/>
        <v>7.3771849264539827E-4</v>
      </c>
      <c r="L179" s="4">
        <v>6.0000000000000002E-6</v>
      </c>
      <c r="M179" s="15">
        <v>1.8383614585321925E-7</v>
      </c>
      <c r="N179" s="13">
        <v>23768</v>
      </c>
      <c r="O179" s="13">
        <v>66421</v>
      </c>
    </row>
    <row r="180" spans="1:25">
      <c r="B180" s="1" t="s">
        <v>73</v>
      </c>
      <c r="C180" s="8" t="s">
        <v>141</v>
      </c>
      <c r="D180" s="1">
        <v>1</v>
      </c>
      <c r="E180" s="1">
        <v>1</v>
      </c>
      <c r="F180" s="2">
        <v>4136.8605861435026</v>
      </c>
      <c r="G180" s="3">
        <v>0.97829999999999995</v>
      </c>
      <c r="H180" s="1">
        <v>3.3617135207496656</v>
      </c>
      <c r="I180" s="2">
        <v>520</v>
      </c>
      <c r="J180" s="2">
        <f t="shared" si="4"/>
        <v>2.0166372573733301E-3</v>
      </c>
      <c r="K180" s="2">
        <f t="shared" si="5"/>
        <v>9.1893410712297634E-4</v>
      </c>
      <c r="L180" s="4">
        <v>5.7000000000000003E-5</v>
      </c>
      <c r="M180" s="1">
        <v>2.4846002411647621E-6</v>
      </c>
      <c r="N180" s="13">
        <v>257855</v>
      </c>
      <c r="O180" s="13">
        <v>565873</v>
      </c>
      <c r="P180" s="1">
        <f>AVERAGE(F180:F183)</f>
        <v>68610.184050778014</v>
      </c>
      <c r="Q180" s="3">
        <f>AVERAGE(G180:G183)</f>
        <v>0.41707499999999997</v>
      </c>
      <c r="R180" s="1">
        <f>AVERAGE(H180:H183)</f>
        <v>2.7098925734016093</v>
      </c>
      <c r="S180" s="1">
        <f>AVERAGE(I180:I183)</f>
        <v>343.25</v>
      </c>
      <c r="T180" s="1">
        <f>AVERAGE(J180:J183)</f>
        <v>1.9480865117546832E-3</v>
      </c>
      <c r="U180" s="4">
        <f>AVERAGE(L180:L183)</f>
        <v>4.015E-5</v>
      </c>
      <c r="V180" s="1">
        <f>AVERAGE(M180:M183)</f>
        <v>1.6062022901067889E-6</v>
      </c>
      <c r="W180" s="6" t="s">
        <v>11</v>
      </c>
      <c r="X180" s="1" t="s">
        <v>74</v>
      </c>
      <c r="Y180" s="1" t="s">
        <v>479</v>
      </c>
    </row>
    <row r="181" spans="1:25">
      <c r="B181" s="1" t="s">
        <v>26</v>
      </c>
      <c r="C181" s="8" t="s">
        <v>30</v>
      </c>
      <c r="D181" s="1">
        <v>1</v>
      </c>
      <c r="E181" s="1">
        <v>0</v>
      </c>
      <c r="F181" s="2">
        <v>129500.12950012949</v>
      </c>
      <c r="G181" s="3">
        <v>7.4499999999999997E-2</v>
      </c>
      <c r="H181" s="1">
        <v>3.4406617456617452</v>
      </c>
      <c r="I181" s="2">
        <v>419</v>
      </c>
      <c r="J181" s="2">
        <f t="shared" si="4"/>
        <v>1.9939277998267807E-3</v>
      </c>
      <c r="K181" s="2">
        <f t="shared" si="5"/>
        <v>8.5583911041754322E-4</v>
      </c>
      <c r="L181" s="4">
        <v>5.1E-5</v>
      </c>
      <c r="M181" s="1">
        <v>2.0221455402393687E-6</v>
      </c>
      <c r="N181" s="13">
        <v>210138</v>
      </c>
      <c r="O181" s="13">
        <v>489578</v>
      </c>
    </row>
    <row r="182" spans="1:25" ht="47.25">
      <c r="A182" s="21" t="s">
        <v>167</v>
      </c>
      <c r="B182" s="1" t="s">
        <v>51</v>
      </c>
      <c r="C182" s="10" t="s">
        <v>177</v>
      </c>
      <c r="D182" s="1">
        <v>4</v>
      </c>
      <c r="E182" s="1">
        <v>1</v>
      </c>
      <c r="F182" s="2">
        <v>11303.616616709596</v>
      </c>
      <c r="G182" s="3">
        <v>0.54100000000000004</v>
      </c>
      <c r="H182" s="2">
        <v>0.87621600621600626</v>
      </c>
      <c r="I182" s="2">
        <v>46</v>
      </c>
      <c r="J182" s="2">
        <f t="shared" si="4"/>
        <v>1.9353752945136318E-3</v>
      </c>
      <c r="K182" s="2">
        <f t="shared" si="5"/>
        <v>4.140786749482402E-3</v>
      </c>
      <c r="L182" s="4">
        <v>1.5999999999999999E-6</v>
      </c>
      <c r="M182" s="15">
        <v>4.5925290035071071E-8</v>
      </c>
      <c r="N182" s="13">
        <v>23768</v>
      </c>
      <c r="O182" s="13">
        <v>11109</v>
      </c>
    </row>
    <row r="183" spans="1:25">
      <c r="B183" s="1" t="s">
        <v>26</v>
      </c>
      <c r="C183" s="8" t="s">
        <v>29</v>
      </c>
      <c r="D183" s="1">
        <v>1</v>
      </c>
      <c r="E183" s="1">
        <v>0</v>
      </c>
      <c r="F183" s="2">
        <v>129500.12950012949</v>
      </c>
      <c r="G183" s="3">
        <v>7.4499999999999997E-2</v>
      </c>
      <c r="H183" s="1">
        <v>3.1609790209790209</v>
      </c>
      <c r="I183" s="2">
        <v>388</v>
      </c>
      <c r="J183" s="2">
        <f t="shared" si="4"/>
        <v>1.84640569530499E-3</v>
      </c>
      <c r="K183" s="2">
        <f t="shared" si="5"/>
        <v>7.925192716993002E-4</v>
      </c>
      <c r="L183" s="4">
        <v>5.1E-5</v>
      </c>
      <c r="M183" s="1">
        <v>1.8721380889879529E-6</v>
      </c>
      <c r="N183" s="13">
        <v>210138</v>
      </c>
      <c r="O183" s="13">
        <v>489578</v>
      </c>
      <c r="P183" s="1">
        <f>STDEVP(F183:F196)</f>
        <v>56487.611734591374</v>
      </c>
      <c r="Q183" s="3">
        <f>STDEVP(G183:G196)</f>
        <v>0.21146435928442303</v>
      </c>
      <c r="R183" s="1">
        <f>STDEVP(H183:H196)</f>
        <v>3.3189229879426732</v>
      </c>
      <c r="S183" s="1">
        <f>STDEVP(I183:I196)</f>
        <v>228.23788163283697</v>
      </c>
      <c r="T183" s="1">
        <f>STDEVP(J183:J196)</f>
        <v>3.1431876254834918E-4</v>
      </c>
      <c r="U183" s="4">
        <f>STDEVP(L183:L196)</f>
        <v>1.8509133156473906E-5</v>
      </c>
      <c r="V183" s="1">
        <f>STDEVP(M183:M196)</f>
        <v>6.811878722727592E-7</v>
      </c>
      <c r="W183" s="6" t="s">
        <v>16</v>
      </c>
      <c r="X183" s="1" t="s">
        <v>28</v>
      </c>
      <c r="Y183" s="1" t="s">
        <v>13</v>
      </c>
    </row>
    <row r="184" spans="1:25">
      <c r="B184" s="1" t="s">
        <v>26</v>
      </c>
      <c r="C184" s="8" t="s">
        <v>31</v>
      </c>
      <c r="D184" s="1">
        <v>1</v>
      </c>
      <c r="E184" s="1">
        <v>0</v>
      </c>
      <c r="F184" s="2">
        <v>129500.12950012949</v>
      </c>
      <c r="G184" s="3">
        <v>7.4499999999999997E-2</v>
      </c>
      <c r="H184" s="1">
        <v>3.0569930069930074</v>
      </c>
      <c r="I184" s="2">
        <v>378</v>
      </c>
      <c r="J184" s="2">
        <f t="shared" si="4"/>
        <v>1.7988179196527995E-3</v>
      </c>
      <c r="K184" s="2">
        <f t="shared" si="5"/>
        <v>7.7209351727406056E-4</v>
      </c>
      <c r="L184" s="4">
        <v>5.0000000000000002E-5</v>
      </c>
      <c r="M184" s="1">
        <v>1.8263070688305687E-6</v>
      </c>
      <c r="N184" s="13">
        <v>210138</v>
      </c>
      <c r="O184" s="13">
        <v>489578</v>
      </c>
    </row>
    <row r="185" spans="1:25">
      <c r="B185" s="1" t="s">
        <v>26</v>
      </c>
      <c r="C185" s="8" t="s">
        <v>45</v>
      </c>
      <c r="D185" s="1">
        <v>2</v>
      </c>
      <c r="E185" s="1">
        <v>0</v>
      </c>
      <c r="F185" s="2">
        <v>730.65449120110338</v>
      </c>
      <c r="G185" s="3">
        <v>0.3861</v>
      </c>
      <c r="H185" s="1">
        <v>2.3465630665630663</v>
      </c>
      <c r="I185" s="2">
        <v>109</v>
      </c>
      <c r="J185" s="2">
        <f t="shared" si="4"/>
        <v>1.7679307100918027E-3</v>
      </c>
      <c r="K185" s="2">
        <f t="shared" si="5"/>
        <v>1.3107105494161927E-3</v>
      </c>
      <c r="L185" s="4">
        <v>1.0000000000000001E-5</v>
      </c>
      <c r="M185" s="1">
        <v>5.8845489225478393E-7</v>
      </c>
      <c r="N185" s="13">
        <v>61654</v>
      </c>
      <c r="O185" s="13">
        <v>83161</v>
      </c>
    </row>
    <row r="186" spans="1:25">
      <c r="B186" s="1" t="s">
        <v>26</v>
      </c>
      <c r="C186" s="8" t="s">
        <v>36</v>
      </c>
      <c r="D186" s="1">
        <v>1</v>
      </c>
      <c r="E186" s="1">
        <v>0</v>
      </c>
      <c r="F186" s="2">
        <v>128736.11693670691</v>
      </c>
      <c r="G186" s="3">
        <v>7.4499999999999997E-2</v>
      </c>
      <c r="H186" s="1">
        <v>2.7485444185444186</v>
      </c>
      <c r="I186" s="2">
        <v>337</v>
      </c>
      <c r="J186" s="2">
        <f t="shared" si="4"/>
        <v>1.6037080394788188E-3</v>
      </c>
      <c r="K186" s="2">
        <f t="shared" si="5"/>
        <v>6.883479241305778E-4</v>
      </c>
      <c r="L186" s="4">
        <v>4.1999999999999998E-5</v>
      </c>
      <c r="M186" s="1">
        <v>1.6218946399619429E-6</v>
      </c>
      <c r="N186" s="13">
        <v>210138</v>
      </c>
      <c r="O186" s="13">
        <v>489578</v>
      </c>
    </row>
    <row r="187" spans="1:25" ht="31.5">
      <c r="A187" s="21" t="s">
        <v>167</v>
      </c>
      <c r="B187" s="1" t="s">
        <v>161</v>
      </c>
      <c r="C187" s="10" t="s">
        <v>171</v>
      </c>
      <c r="D187" s="1">
        <v>4</v>
      </c>
      <c r="E187" s="1">
        <v>1</v>
      </c>
      <c r="F187" s="2">
        <v>1987.4709829236492</v>
      </c>
      <c r="G187" s="3">
        <v>0.31269543464665417</v>
      </c>
      <c r="H187" s="2">
        <v>0.31526735459662292</v>
      </c>
      <c r="I187" s="2">
        <v>15</v>
      </c>
      <c r="J187" s="2">
        <f t="shared" si="4"/>
        <v>1.5550487248600455E-3</v>
      </c>
      <c r="K187" s="2">
        <f t="shared" si="5"/>
        <v>2.6536226371701767E-5</v>
      </c>
      <c r="L187" s="4">
        <v>5.9999999999999997E-7</v>
      </c>
      <c r="M187" s="15">
        <v>1.5990051363621827E-8</v>
      </c>
      <c r="N187" s="13">
        <v>9646</v>
      </c>
      <c r="O187" s="13">
        <v>565265</v>
      </c>
    </row>
    <row r="188" spans="1:25">
      <c r="B188" s="1" t="s">
        <v>26</v>
      </c>
      <c r="C188" s="8" t="s">
        <v>27</v>
      </c>
      <c r="D188" s="1">
        <v>1</v>
      </c>
      <c r="E188" s="1">
        <v>0</v>
      </c>
      <c r="F188" s="2">
        <v>128650.94832307947</v>
      </c>
      <c r="G188" s="3">
        <v>7.4499999999999997E-2</v>
      </c>
      <c r="H188" s="1">
        <v>2.47987567987568</v>
      </c>
      <c r="I188" s="2">
        <v>303</v>
      </c>
      <c r="J188" s="2">
        <f t="shared" si="4"/>
        <v>1.4419096022613711E-3</v>
      </c>
      <c r="K188" s="2">
        <f t="shared" si="5"/>
        <v>6.1890035908476282E-4</v>
      </c>
      <c r="L188" s="4">
        <v>3.4E-5</v>
      </c>
      <c r="M188" s="1">
        <v>1.436505318057663E-6</v>
      </c>
      <c r="N188" s="13">
        <v>210138</v>
      </c>
      <c r="O188" s="13">
        <v>489578</v>
      </c>
      <c r="P188" s="1">
        <f>AVERAGE(F188:F202)</f>
        <v>61409.411412108035</v>
      </c>
      <c r="Q188" s="3">
        <f>AVERAGE(G188:G202)</f>
        <v>0.27052903250698912</v>
      </c>
      <c r="R188" s="1">
        <f>AVERAGE(H188:H202)</f>
        <v>2.0129234737472457</v>
      </c>
      <c r="S188" s="1">
        <f>AVERAGE(I188:I202)</f>
        <v>164.2</v>
      </c>
      <c r="T188" s="1">
        <f>AVERAGE(J188:J202)</f>
        <v>1.0052677889348181E-3</v>
      </c>
      <c r="U188" s="4">
        <f>AVERAGE(L188:L202)</f>
        <v>1.4059999999999999E-5</v>
      </c>
      <c r="V188" s="1">
        <f>AVERAGE(M188:M202)</f>
        <v>5.3133012999119565E-7</v>
      </c>
      <c r="W188" s="6" t="s">
        <v>11</v>
      </c>
      <c r="X188" s="1" t="s">
        <v>28</v>
      </c>
      <c r="Y188" s="1" t="s">
        <v>13</v>
      </c>
    </row>
    <row r="189" spans="1:25" ht="31.5">
      <c r="A189" s="21" t="s">
        <v>167</v>
      </c>
      <c r="B189" s="1" t="s">
        <v>51</v>
      </c>
      <c r="C189" s="10" t="s">
        <v>169</v>
      </c>
      <c r="D189" s="1">
        <v>4</v>
      </c>
      <c r="E189" s="1">
        <v>1</v>
      </c>
      <c r="F189" s="2">
        <v>389.43962524362314</v>
      </c>
      <c r="G189" s="3">
        <v>0.40579999999999999</v>
      </c>
      <c r="H189" s="2">
        <v>0.60048174048174052</v>
      </c>
      <c r="I189" s="2">
        <v>34</v>
      </c>
      <c r="J189" s="2">
        <f t="shared" si="4"/>
        <v>1.43049478290138E-3</v>
      </c>
      <c r="K189" s="2">
        <f t="shared" si="5"/>
        <v>3.0605815104869927E-3</v>
      </c>
      <c r="L189" s="4">
        <v>1.1999999999999999E-6</v>
      </c>
      <c r="M189" s="15">
        <v>3.2802205106853518E-8</v>
      </c>
      <c r="N189" s="13">
        <v>23768</v>
      </c>
      <c r="O189" s="13">
        <v>11109</v>
      </c>
      <c r="P189" s="1">
        <f>STDEVP(F188:F198)</f>
        <v>51627.150919335138</v>
      </c>
      <c r="Q189" s="3">
        <f>STDEVP(G188:G198)</f>
        <v>0.22604475128096513</v>
      </c>
      <c r="R189" s="1">
        <f>STDEVP(H188:H198)</f>
        <v>3.7769867332712908</v>
      </c>
      <c r="S189" s="1">
        <f>STDEVP(I188:I198)</f>
        <v>247.98673651549049</v>
      </c>
      <c r="T189" s="1">
        <f>STDEVP(J188:J198)</f>
        <v>2.561172237872641E-4</v>
      </c>
      <c r="U189" s="4">
        <f>STDEVP(L188:L198)</f>
        <v>1.4849431633389566E-5</v>
      </c>
      <c r="V189" s="1">
        <f>STDEVP(M188:M198)</f>
        <v>5.4460654596299045E-7</v>
      </c>
      <c r="W189" s="6" t="s">
        <v>16</v>
      </c>
      <c r="X189" s="1" t="s">
        <v>68</v>
      </c>
      <c r="Y189" s="1" t="s">
        <v>480</v>
      </c>
    </row>
    <row r="190" spans="1:25" ht="31.5">
      <c r="A190" s="21" t="s">
        <v>167</v>
      </c>
      <c r="B190" s="1" t="s">
        <v>80</v>
      </c>
      <c r="C190" s="10" t="s">
        <v>172</v>
      </c>
      <c r="D190" s="1">
        <v>4</v>
      </c>
      <c r="E190" s="1">
        <v>1</v>
      </c>
      <c r="F190" s="2">
        <v>47635.159511235244</v>
      </c>
      <c r="G190" s="3">
        <v>0.41190402636185769</v>
      </c>
      <c r="H190" s="2">
        <v>0.96191535372258263</v>
      </c>
      <c r="I190" s="2">
        <v>68</v>
      </c>
      <c r="J190" s="2">
        <f t="shared" si="4"/>
        <v>1.3600000000000001E-3</v>
      </c>
      <c r="K190" s="2">
        <f t="shared" si="5"/>
        <v>5.6393159841435707E-4</v>
      </c>
      <c r="L190" s="4">
        <v>2.3E-6</v>
      </c>
      <c r="M190" s="15">
        <v>6.6151452010219922E-8</v>
      </c>
      <c r="N190" s="13">
        <v>50000</v>
      </c>
      <c r="O190" s="13">
        <v>120582</v>
      </c>
    </row>
    <row r="191" spans="1:25" ht="31.5">
      <c r="A191" s="21" t="s">
        <v>167</v>
      </c>
      <c r="B191" s="1" t="s">
        <v>113</v>
      </c>
      <c r="C191" s="10" t="s">
        <v>171</v>
      </c>
      <c r="D191" s="1">
        <v>4</v>
      </c>
      <c r="E191" s="1">
        <v>1</v>
      </c>
      <c r="F191" s="2">
        <v>88156.035199515682</v>
      </c>
      <c r="G191" s="3">
        <v>0.69508804448563488</v>
      </c>
      <c r="H191" s="2">
        <v>13.983962658007655</v>
      </c>
      <c r="I191" s="2">
        <v>897</v>
      </c>
      <c r="J191" s="2">
        <f t="shared" si="4"/>
        <v>1.3429832493906419E-3</v>
      </c>
      <c r="K191" s="2">
        <f t="shared" si="5"/>
        <v>9.0698316368265498E-4</v>
      </c>
      <c r="L191" s="4">
        <v>3.3000000000000003E-5</v>
      </c>
      <c r="M191" s="15">
        <v>8.794528249992007E-7</v>
      </c>
      <c r="N191" s="13">
        <v>667916</v>
      </c>
      <c r="O191" s="13">
        <v>988993</v>
      </c>
    </row>
    <row r="192" spans="1:25">
      <c r="B192" s="1" t="s">
        <v>26</v>
      </c>
      <c r="C192" s="8" t="s">
        <v>34</v>
      </c>
      <c r="D192" s="1">
        <v>1</v>
      </c>
      <c r="E192" s="1">
        <v>0</v>
      </c>
      <c r="F192" s="2">
        <v>31207.811093959102</v>
      </c>
      <c r="G192" s="3">
        <v>0.14299999999999999</v>
      </c>
      <c r="H192" s="1">
        <v>2.4847397047397046</v>
      </c>
      <c r="I192" s="2">
        <v>254</v>
      </c>
      <c r="J192" s="2">
        <f t="shared" si="4"/>
        <v>1.2087295015656377E-3</v>
      </c>
      <c r="K192" s="2">
        <f t="shared" si="5"/>
        <v>5.1881416240108827E-4</v>
      </c>
      <c r="L192" s="4">
        <v>3.6000000000000001E-5</v>
      </c>
      <c r="M192" s="1">
        <v>1.23032456626881E-6</v>
      </c>
      <c r="N192" s="13">
        <v>210138</v>
      </c>
      <c r="O192" s="13">
        <v>489578</v>
      </c>
    </row>
    <row r="193" spans="1:25">
      <c r="B193" s="1" t="s">
        <v>26</v>
      </c>
      <c r="C193" s="8" t="s">
        <v>37</v>
      </c>
      <c r="D193" s="1">
        <v>1</v>
      </c>
      <c r="E193" s="1">
        <v>0</v>
      </c>
      <c r="F193" s="2">
        <v>126341.5897562239</v>
      </c>
      <c r="G193" s="3">
        <v>7.4499999999999997E-2</v>
      </c>
      <c r="H193" s="1">
        <v>1.9397047397047396</v>
      </c>
      <c r="I193" s="2">
        <v>240</v>
      </c>
      <c r="J193" s="2">
        <f t="shared" si="4"/>
        <v>1.1421066156525712E-3</v>
      </c>
      <c r="K193" s="2">
        <f t="shared" si="5"/>
        <v>4.9021810620575269E-4</v>
      </c>
      <c r="L193" s="4">
        <v>3.0000000000000001E-5</v>
      </c>
      <c r="M193" s="1">
        <v>1.1626990541142597E-6</v>
      </c>
      <c r="N193" s="13">
        <v>210138</v>
      </c>
      <c r="O193" s="13">
        <v>489578</v>
      </c>
    </row>
    <row r="194" spans="1:25">
      <c r="B194" s="1" t="s">
        <v>51</v>
      </c>
      <c r="C194" s="8" t="s">
        <v>59</v>
      </c>
      <c r="D194" s="1">
        <v>3</v>
      </c>
      <c r="E194" s="1">
        <v>0</v>
      </c>
      <c r="F194" s="2">
        <v>111000.11100011101</v>
      </c>
      <c r="G194" s="3">
        <v>0.16339999999999999</v>
      </c>
      <c r="H194" s="2">
        <v>0.5161771561771562</v>
      </c>
      <c r="I194" s="2">
        <v>24</v>
      </c>
      <c r="J194" s="2">
        <f t="shared" ref="J194:J257" si="6">I194/N194</f>
        <v>1.0097610232245036E-3</v>
      </c>
      <c r="K194" s="2">
        <f t="shared" ref="K194:K257" si="7">I194/O194</f>
        <v>3.6133150660182776E-4</v>
      </c>
      <c r="L194" s="4">
        <v>3.0000000000000001E-6</v>
      </c>
      <c r="M194" s="15">
        <v>1.0601491366918598E-7</v>
      </c>
      <c r="N194" s="13">
        <v>23768</v>
      </c>
      <c r="O194" s="13">
        <v>66421</v>
      </c>
    </row>
    <row r="195" spans="1:25">
      <c r="B195" s="1" t="s">
        <v>26</v>
      </c>
      <c r="C195" s="8" t="s">
        <v>141</v>
      </c>
      <c r="D195" s="1">
        <v>1</v>
      </c>
      <c r="E195" s="1">
        <v>1</v>
      </c>
      <c r="F195" s="2">
        <v>2040.9476528141547</v>
      </c>
      <c r="G195" s="3">
        <v>0.63160000000000005</v>
      </c>
      <c r="H195" s="1">
        <v>1.6585236985236986</v>
      </c>
      <c r="I195" s="2">
        <v>204</v>
      </c>
      <c r="J195" s="2">
        <f t="shared" si="6"/>
        <v>9.7079062330468545E-4</v>
      </c>
      <c r="K195" s="2">
        <f t="shared" si="7"/>
        <v>4.166853902748898E-4</v>
      </c>
      <c r="L195" s="4">
        <v>2.1999999999999999E-5</v>
      </c>
      <c r="M195" s="1">
        <v>9.5896851413376765E-7</v>
      </c>
      <c r="N195" s="13">
        <v>210138</v>
      </c>
      <c r="O195" s="13">
        <v>489578</v>
      </c>
    </row>
    <row r="196" spans="1:25">
      <c r="B196" s="1" t="s">
        <v>21</v>
      </c>
      <c r="C196" s="8" t="s">
        <v>22</v>
      </c>
      <c r="D196" s="1">
        <v>3</v>
      </c>
      <c r="E196" s="1">
        <v>0</v>
      </c>
      <c r="F196" s="2">
        <v>510.70366794183695</v>
      </c>
      <c r="G196" s="3">
        <v>5.7943416757344941E-2</v>
      </c>
      <c r="H196" s="1">
        <v>6.7075625680087056E-2</v>
      </c>
      <c r="I196" s="2">
        <v>3</v>
      </c>
      <c r="J196" s="2">
        <f t="shared" si="6"/>
        <v>7.7942322681215901E-4</v>
      </c>
      <c r="K196" s="2">
        <f t="shared" si="7"/>
        <v>2.8444107329098322E-4</v>
      </c>
      <c r="L196" s="4">
        <v>3.9999999999999998E-7</v>
      </c>
      <c r="M196" s="1">
        <v>1.0839346915823388E-8</v>
      </c>
      <c r="N196" s="13">
        <v>3849</v>
      </c>
      <c r="O196" s="13">
        <v>10547</v>
      </c>
      <c r="P196" s="2">
        <v>510.70366794183695</v>
      </c>
      <c r="Q196" s="3">
        <v>5.7943416757344941E-2</v>
      </c>
      <c r="R196" s="1">
        <v>6.7075625680087056E-2</v>
      </c>
      <c r="S196" s="2">
        <v>3</v>
      </c>
      <c r="T196" s="2">
        <v>7.7942322681215901E-4</v>
      </c>
      <c r="U196" s="4">
        <v>3.9999999999999998E-7</v>
      </c>
      <c r="V196" s="1">
        <v>1.0839346915823388E-8</v>
      </c>
      <c r="W196" s="6" t="s">
        <v>11</v>
      </c>
      <c r="X196" s="1" t="s">
        <v>23</v>
      </c>
      <c r="Y196" s="1" t="s">
        <v>13</v>
      </c>
    </row>
    <row r="197" spans="1:25">
      <c r="B197" s="1" t="s">
        <v>14</v>
      </c>
      <c r="C197" s="8" t="s">
        <v>141</v>
      </c>
      <c r="D197" s="1">
        <v>1</v>
      </c>
      <c r="E197" s="1">
        <v>1</v>
      </c>
      <c r="F197" s="2">
        <v>42.032574236251314</v>
      </c>
      <c r="G197" s="3">
        <v>2.01E-2</v>
      </c>
      <c r="H197" s="1">
        <v>3.415669205658324E-2</v>
      </c>
      <c r="I197" s="2">
        <v>4</v>
      </c>
      <c r="J197" s="2">
        <f t="shared" si="6"/>
        <v>7.7836154893948239E-4</v>
      </c>
      <c r="K197" s="2">
        <f t="shared" si="7"/>
        <v>3.1809145129224652E-4</v>
      </c>
      <c r="L197" s="4">
        <v>9.9999999999999995E-7</v>
      </c>
      <c r="M197" s="1">
        <v>4.3589477915171259E-8</v>
      </c>
      <c r="N197" s="13">
        <v>5139</v>
      </c>
      <c r="O197" s="13">
        <v>12575</v>
      </c>
    </row>
    <row r="198" spans="1:25">
      <c r="B198" s="1" t="s">
        <v>26</v>
      </c>
      <c r="C198" s="8" t="s">
        <v>43</v>
      </c>
      <c r="D198" s="1">
        <v>2</v>
      </c>
      <c r="E198" s="1">
        <v>0</v>
      </c>
      <c r="F198" s="2">
        <v>102706.9992587234</v>
      </c>
      <c r="G198" s="3">
        <v>0.29599999999999999</v>
      </c>
      <c r="H198" s="1">
        <v>0.9468660968660968</v>
      </c>
      <c r="I198" s="2">
        <v>46</v>
      </c>
      <c r="J198" s="2">
        <f t="shared" si="6"/>
        <v>7.4609919875433868E-4</v>
      </c>
      <c r="K198" s="2">
        <f t="shared" si="7"/>
        <v>5.5314390158848494E-4</v>
      </c>
      <c r="L198" s="4">
        <v>3.9999999999999998E-6</v>
      </c>
      <c r="M198" s="1">
        <v>2.073456817378173E-7</v>
      </c>
      <c r="N198" s="13">
        <v>61654</v>
      </c>
      <c r="O198" s="13">
        <v>83161</v>
      </c>
      <c r="P198" s="1">
        <f>STDEVP(F197:F206)</f>
        <v>52053.640205740383</v>
      </c>
      <c r="Q198" s="3">
        <f>STDEVP(G197:G206)</f>
        <v>0.18951023503745476</v>
      </c>
      <c r="R198" s="1">
        <f>STDEVP(H197:H206)</f>
        <v>1.1460629134866811</v>
      </c>
      <c r="S198" s="1">
        <f>STDEVP(I197:I206)</f>
        <v>56.922403322417793</v>
      </c>
      <c r="T198" s="1">
        <f>STDEVP(J197:J206)</f>
        <v>5.7643447985210929E-5</v>
      </c>
      <c r="U198" s="4">
        <f>STDEVP(L197:L206)</f>
        <v>6.7002119000948654E-6</v>
      </c>
      <c r="V198" s="1">
        <f>STDEVP(M197:M206)</f>
        <v>2.6370956272233749E-7</v>
      </c>
      <c r="W198" s="6" t="s">
        <v>16</v>
      </c>
      <c r="X198" s="1" t="s">
        <v>42</v>
      </c>
      <c r="Y198" s="1" t="s">
        <v>13</v>
      </c>
    </row>
    <row r="199" spans="1:25">
      <c r="B199" s="1" t="s">
        <v>26</v>
      </c>
      <c r="C199" s="8" t="s">
        <v>46</v>
      </c>
      <c r="D199" s="1">
        <v>2</v>
      </c>
      <c r="E199" s="1">
        <v>0</v>
      </c>
      <c r="F199" s="2">
        <v>30238.608918811966</v>
      </c>
      <c r="G199" s="3">
        <v>0.3861</v>
      </c>
      <c r="H199" s="1">
        <v>0.95764827764827753</v>
      </c>
      <c r="I199" s="2">
        <v>46</v>
      </c>
      <c r="J199" s="2">
        <f t="shared" si="6"/>
        <v>7.4609919875433868E-4</v>
      </c>
      <c r="K199" s="2">
        <f t="shared" si="7"/>
        <v>5.5314390158848494E-4</v>
      </c>
      <c r="L199" s="4">
        <v>3.9999999999999998E-6</v>
      </c>
      <c r="M199" s="1">
        <v>2.0964348071782616E-7</v>
      </c>
      <c r="N199" s="13">
        <v>61654</v>
      </c>
      <c r="O199" s="13">
        <v>83161</v>
      </c>
    </row>
    <row r="200" spans="1:25">
      <c r="B200" s="1" t="s">
        <v>26</v>
      </c>
      <c r="C200" s="8" t="s">
        <v>33</v>
      </c>
      <c r="D200" s="1">
        <v>1</v>
      </c>
      <c r="E200" s="1">
        <v>0</v>
      </c>
      <c r="F200" s="2">
        <v>127818.30963649145</v>
      </c>
      <c r="G200" s="3">
        <v>0.32179999999999997</v>
      </c>
      <c r="H200" s="1">
        <v>1.4871276871276873</v>
      </c>
      <c r="I200" s="2">
        <v>152</v>
      </c>
      <c r="J200" s="2">
        <f t="shared" si="6"/>
        <v>7.2333418991329512E-4</v>
      </c>
      <c r="K200" s="2">
        <f t="shared" si="7"/>
        <v>3.104714672636434E-4</v>
      </c>
      <c r="L200" s="4">
        <v>1.8E-5</v>
      </c>
      <c r="M200" s="1">
        <v>7.2508285054529418E-7</v>
      </c>
      <c r="N200" s="13">
        <v>210138</v>
      </c>
      <c r="O200" s="13">
        <v>489578</v>
      </c>
    </row>
    <row r="201" spans="1:25">
      <c r="B201" s="1" t="s">
        <v>26</v>
      </c>
      <c r="C201" s="8" t="s">
        <v>41</v>
      </c>
      <c r="D201" s="1">
        <v>2</v>
      </c>
      <c r="E201" s="1">
        <v>0</v>
      </c>
      <c r="F201" s="2">
        <v>82.350643109112298</v>
      </c>
      <c r="G201" s="3">
        <v>0.30170000000000002</v>
      </c>
      <c r="H201" s="1">
        <v>0.90860398860398872</v>
      </c>
      <c r="I201" s="2">
        <v>44</v>
      </c>
      <c r="J201" s="2">
        <f t="shared" si="6"/>
        <v>7.1366010315632405E-4</v>
      </c>
      <c r="K201" s="2">
        <f t="shared" si="7"/>
        <v>5.2909416673681178E-4</v>
      </c>
      <c r="L201" s="4">
        <v>3.9999999999999998E-6</v>
      </c>
      <c r="M201" s="1">
        <v>2.1533374147376467E-7</v>
      </c>
      <c r="N201" s="13">
        <v>61654</v>
      </c>
      <c r="O201" s="13">
        <v>83161</v>
      </c>
      <c r="P201" s="1">
        <f>AVERAGE(F201:F210)</f>
        <v>19742.464156341553</v>
      </c>
      <c r="Q201" s="3">
        <f>AVERAGE(G201:G210)</f>
        <v>0.24238827420851838</v>
      </c>
      <c r="R201" s="1">
        <f>AVERAGE(H201:H210)</f>
        <v>0.81486456912900085</v>
      </c>
      <c r="S201" s="1">
        <f>AVERAGE(I201:I210)</f>
        <v>43.3</v>
      </c>
      <c r="T201" s="1">
        <f>AVERAGE(J201:J210)</f>
        <v>6.1023376895123251E-4</v>
      </c>
      <c r="U201" s="4">
        <f>AVERAGE(L201:L210)</f>
        <v>2.9677777777777774E-6</v>
      </c>
      <c r="V201" s="1">
        <f>AVERAGE(M201:M210)</f>
        <v>1.6344169360016688E-7</v>
      </c>
      <c r="W201" s="6" t="s">
        <v>11</v>
      </c>
      <c r="X201" s="1" t="s">
        <v>42</v>
      </c>
      <c r="Y201" s="1" t="s">
        <v>13</v>
      </c>
    </row>
    <row r="202" spans="1:25">
      <c r="B202" s="1" t="s">
        <v>26</v>
      </c>
      <c r="C202" s="8" t="s">
        <v>38</v>
      </c>
      <c r="D202" s="1">
        <v>1</v>
      </c>
      <c r="E202" s="1">
        <v>0</v>
      </c>
      <c r="F202" s="2">
        <v>124320.12432012432</v>
      </c>
      <c r="G202" s="3">
        <v>7.4499999999999997E-2</v>
      </c>
      <c r="H202" s="1">
        <v>1.166993006993007</v>
      </c>
      <c r="I202" s="2">
        <v>144</v>
      </c>
      <c r="J202" s="2">
        <f t="shared" si="6"/>
        <v>6.8526396939154271E-4</v>
      </c>
      <c r="K202" s="2">
        <f t="shared" si="7"/>
        <v>2.9413086372345162E-4</v>
      </c>
      <c r="L202" s="4">
        <v>1.8E-5</v>
      </c>
      <c r="M202" s="1">
        <v>6.851985222022765E-7</v>
      </c>
      <c r="N202" s="13">
        <v>210138</v>
      </c>
      <c r="O202" s="13">
        <v>489578</v>
      </c>
    </row>
    <row r="203" spans="1:25">
      <c r="B203" s="1" t="s">
        <v>127</v>
      </c>
      <c r="C203" s="8" t="s">
        <v>131</v>
      </c>
      <c r="D203" s="1">
        <v>3</v>
      </c>
      <c r="E203" s="1">
        <v>0</v>
      </c>
      <c r="F203" s="17">
        <v>7479.6056521758464</v>
      </c>
      <c r="G203" s="3">
        <v>0.74898856640281442</v>
      </c>
      <c r="H203" s="17">
        <v>4.2329006156552333</v>
      </c>
      <c r="I203" s="2">
        <v>143</v>
      </c>
      <c r="J203" s="2">
        <f t="shared" si="6"/>
        <v>6.8240818508055279E-4</v>
      </c>
      <c r="K203" s="2">
        <f t="shared" si="7"/>
        <v>6.8240818508055279E-4</v>
      </c>
      <c r="L203" s="4" t="s">
        <v>132</v>
      </c>
      <c r="M203" s="15">
        <v>5.6884234430032563E-7</v>
      </c>
      <c r="N203" s="13">
        <v>209552</v>
      </c>
      <c r="O203" s="13">
        <v>209552</v>
      </c>
    </row>
    <row r="204" spans="1:25" ht="31.5">
      <c r="A204" s="21" t="s">
        <v>167</v>
      </c>
      <c r="B204" s="1" t="s">
        <v>51</v>
      </c>
      <c r="C204" s="10" t="s">
        <v>174</v>
      </c>
      <c r="D204" s="1">
        <v>4</v>
      </c>
      <c r="E204" s="1">
        <v>1</v>
      </c>
      <c r="F204" s="2">
        <v>11163.804267252543</v>
      </c>
      <c r="G204" s="3">
        <v>0.1623</v>
      </c>
      <c r="H204" s="2">
        <v>0.26544289044289043</v>
      </c>
      <c r="I204" s="2">
        <v>15</v>
      </c>
      <c r="J204" s="2">
        <f t="shared" si="6"/>
        <v>6.3110063951531473E-4</v>
      </c>
      <c r="K204" s="2">
        <f t="shared" si="7"/>
        <v>1.3502565487442614E-3</v>
      </c>
      <c r="L204" s="4">
        <v>5.5000000000000003E-7</v>
      </c>
      <c r="M204" s="15">
        <v>1.4582072849003104E-8</v>
      </c>
      <c r="N204" s="13">
        <v>23768</v>
      </c>
      <c r="O204" s="13">
        <v>11109</v>
      </c>
    </row>
    <row r="205" spans="1:25">
      <c r="B205" s="1" t="s">
        <v>14</v>
      </c>
      <c r="C205" s="8" t="s">
        <v>79</v>
      </c>
      <c r="D205" s="1">
        <v>2</v>
      </c>
      <c r="E205" s="1">
        <v>1</v>
      </c>
      <c r="F205" s="2">
        <v>1.87196176260304</v>
      </c>
      <c r="G205" s="3">
        <v>0.23626224156692058</v>
      </c>
      <c r="H205" s="2">
        <v>0.31027747551686613</v>
      </c>
      <c r="I205" s="2">
        <v>14</v>
      </c>
      <c r="J205" s="2">
        <f t="shared" si="6"/>
        <v>6.2862017870773652E-4</v>
      </c>
      <c r="K205" s="2">
        <f t="shared" si="7"/>
        <v>6.0957025297165494E-4</v>
      </c>
      <c r="L205" s="4">
        <v>9.9999999999999995E-7</v>
      </c>
      <c r="M205" s="15">
        <v>5.0790967819778703E-8</v>
      </c>
      <c r="N205" s="13">
        <v>22271</v>
      </c>
      <c r="O205" s="13">
        <v>22967</v>
      </c>
    </row>
    <row r="206" spans="1:25">
      <c r="B206" s="1" t="s">
        <v>51</v>
      </c>
      <c r="C206" s="8" t="s">
        <v>62</v>
      </c>
      <c r="D206" s="1">
        <v>3</v>
      </c>
      <c r="E206" s="1">
        <v>0</v>
      </c>
      <c r="F206" s="2">
        <v>386.73246864373147</v>
      </c>
      <c r="G206" s="3">
        <v>0.28220000000000001</v>
      </c>
      <c r="H206" s="2">
        <v>0.29745920745920745</v>
      </c>
      <c r="I206" s="2">
        <v>14</v>
      </c>
      <c r="J206" s="2">
        <f t="shared" si="6"/>
        <v>5.8902726354762708E-4</v>
      </c>
      <c r="K206" s="2">
        <f t="shared" si="7"/>
        <v>2.1077671218439951E-4</v>
      </c>
      <c r="L206" s="4">
        <v>9.9999999999999995E-7</v>
      </c>
      <c r="M206" s="15">
        <v>4.2157258115710551E-8</v>
      </c>
      <c r="N206" s="13">
        <v>23768</v>
      </c>
      <c r="O206" s="13">
        <v>66421</v>
      </c>
    </row>
    <row r="207" spans="1:25" ht="31.5">
      <c r="A207" s="21" t="s">
        <v>167</v>
      </c>
      <c r="B207" s="1" t="s">
        <v>80</v>
      </c>
      <c r="C207" s="10" t="s">
        <v>139</v>
      </c>
      <c r="D207" s="1">
        <v>4</v>
      </c>
      <c r="E207" s="1">
        <v>1</v>
      </c>
      <c r="F207" s="2">
        <v>1863.8191238093109</v>
      </c>
      <c r="G207" s="3">
        <v>0.15817114612295335</v>
      </c>
      <c r="H207" s="2">
        <v>0.39415096282566159</v>
      </c>
      <c r="I207" s="2">
        <v>28</v>
      </c>
      <c r="J207" s="2">
        <f t="shared" si="6"/>
        <v>5.5999999999999995E-4</v>
      </c>
      <c r="K207" s="2">
        <f t="shared" si="7"/>
        <v>2.322071287588529E-4</v>
      </c>
      <c r="L207" s="4">
        <v>1.1000000000000001E-6</v>
      </c>
      <c r="M207" s="15">
        <v>2.6990623931473293E-8</v>
      </c>
      <c r="N207" s="13">
        <v>50000</v>
      </c>
      <c r="O207" s="13">
        <v>120582</v>
      </c>
    </row>
    <row r="208" spans="1:25" ht="31.5">
      <c r="A208" s="21" t="s">
        <v>167</v>
      </c>
      <c r="B208" s="1" t="s">
        <v>51</v>
      </c>
      <c r="C208" s="10" t="s">
        <v>172</v>
      </c>
      <c r="D208" s="1">
        <v>4</v>
      </c>
      <c r="E208" s="1">
        <v>1</v>
      </c>
      <c r="F208" s="2">
        <v>11452.392404773356</v>
      </c>
      <c r="G208" s="3">
        <v>0.19600000000000001</v>
      </c>
      <c r="H208" s="2">
        <v>0.23126262626262625</v>
      </c>
      <c r="I208" s="2">
        <v>13</v>
      </c>
      <c r="J208" s="2">
        <f t="shared" si="6"/>
        <v>5.4695388757993943E-4</v>
      </c>
      <c r="K208" s="2">
        <f t="shared" si="7"/>
        <v>1.1702223422450266E-3</v>
      </c>
      <c r="L208" s="4">
        <v>4.4000000000000002E-7</v>
      </c>
      <c r="M208" s="15">
        <v>1.2655060384563811E-8</v>
      </c>
      <c r="N208" s="13">
        <v>23768</v>
      </c>
      <c r="O208" s="13">
        <v>11109</v>
      </c>
    </row>
    <row r="209" spans="1:25" ht="47.25">
      <c r="A209" s="21" t="s">
        <v>167</v>
      </c>
      <c r="B209" s="1" t="s">
        <v>51</v>
      </c>
      <c r="C209" s="10" t="s">
        <v>178</v>
      </c>
      <c r="D209" s="1">
        <v>4</v>
      </c>
      <c r="E209" s="1">
        <v>1</v>
      </c>
      <c r="F209" s="2">
        <v>33009.83693140556</v>
      </c>
      <c r="G209" s="3">
        <v>0.14649999999999999</v>
      </c>
      <c r="H209" s="2">
        <v>0.23264309764309765</v>
      </c>
      <c r="I209" s="2">
        <v>13</v>
      </c>
      <c r="J209" s="2">
        <f t="shared" si="6"/>
        <v>5.4695388757993943E-4</v>
      </c>
      <c r="K209" s="2">
        <f t="shared" si="7"/>
        <v>1.1702223422450266E-3</v>
      </c>
      <c r="L209" s="4">
        <v>4.7999999999999996E-7</v>
      </c>
      <c r="M209" s="15">
        <v>1.2811793249337028E-8</v>
      </c>
      <c r="N209" s="13">
        <v>23768</v>
      </c>
      <c r="O209" s="13">
        <v>11109</v>
      </c>
    </row>
    <row r="210" spans="1:25" ht="31.5">
      <c r="A210" s="21" t="s">
        <v>167</v>
      </c>
      <c r="B210" s="1" t="s">
        <v>161</v>
      </c>
      <c r="C210" s="10" t="s">
        <v>175</v>
      </c>
      <c r="D210" s="1">
        <v>4</v>
      </c>
      <c r="E210" s="1">
        <v>1</v>
      </c>
      <c r="F210" s="2">
        <v>7664.1037903591705</v>
      </c>
      <c r="G210" s="3">
        <v>0.11726078799249531</v>
      </c>
      <c r="H210" s="2">
        <v>0.10891181988742962</v>
      </c>
      <c r="I210" s="2">
        <v>5</v>
      </c>
      <c r="J210" s="2">
        <f t="shared" si="6"/>
        <v>5.1834957495334858E-4</v>
      </c>
      <c r="K210" s="2">
        <f t="shared" si="7"/>
        <v>8.8454087905672562E-6</v>
      </c>
      <c r="L210" s="4">
        <v>1.4000000000000001E-7</v>
      </c>
      <c r="M210" s="15">
        <v>5.054551675434945E-9</v>
      </c>
      <c r="N210" s="13">
        <v>9646</v>
      </c>
      <c r="O210" s="13">
        <v>565265</v>
      </c>
    </row>
    <row r="211" spans="1:25" ht="47.25">
      <c r="A211" s="21" t="s">
        <v>167</v>
      </c>
      <c r="B211" s="1" t="s">
        <v>161</v>
      </c>
      <c r="C211" s="10" t="s">
        <v>178</v>
      </c>
      <c r="D211" s="1">
        <v>4</v>
      </c>
      <c r="E211" s="1">
        <v>1</v>
      </c>
      <c r="F211" s="2">
        <v>15328.207580718341</v>
      </c>
      <c r="G211" s="3">
        <v>0.11694809255784866</v>
      </c>
      <c r="H211" s="2">
        <v>0.10802845528455285</v>
      </c>
      <c r="I211" s="2">
        <v>5</v>
      </c>
      <c r="J211" s="2">
        <f t="shared" si="6"/>
        <v>5.1834957495334858E-4</v>
      </c>
      <c r="K211" s="2">
        <f t="shared" si="7"/>
        <v>8.8454087905672562E-6</v>
      </c>
      <c r="L211" s="4">
        <v>1.9999999999999999E-7</v>
      </c>
      <c r="M211" s="15">
        <v>5.3382471872237618E-9</v>
      </c>
      <c r="N211" s="13">
        <v>9646</v>
      </c>
      <c r="O211" s="13">
        <v>565265</v>
      </c>
    </row>
    <row r="212" spans="1:25" ht="31.5">
      <c r="B212" s="1" t="s">
        <v>113</v>
      </c>
      <c r="C212" s="10" t="s">
        <v>150</v>
      </c>
      <c r="D212" s="1">
        <v>4</v>
      </c>
      <c r="E212" s="1">
        <v>1</v>
      </c>
      <c r="F212" s="2">
        <v>767.37689907877063</v>
      </c>
      <c r="G212" s="3">
        <v>0.74849397590361444</v>
      </c>
      <c r="H212" s="2">
        <v>5.0291139974486834</v>
      </c>
      <c r="I212" s="2">
        <v>315</v>
      </c>
      <c r="J212" s="2">
        <f t="shared" si="6"/>
        <v>4.7161619125758329E-4</v>
      </c>
      <c r="K212" s="2">
        <f t="shared" si="7"/>
        <v>3.185057932664842E-4</v>
      </c>
      <c r="L212" s="4">
        <v>1.4E-5</v>
      </c>
      <c r="M212" s="15">
        <v>3.1155741751423727E-7</v>
      </c>
      <c r="N212" s="13">
        <v>667916</v>
      </c>
      <c r="O212" s="13">
        <v>988993</v>
      </c>
    </row>
    <row r="213" spans="1:25" ht="31.5">
      <c r="A213" s="21" t="s">
        <v>167</v>
      </c>
      <c r="B213" s="1" t="s">
        <v>161</v>
      </c>
      <c r="C213" s="10" t="s">
        <v>172</v>
      </c>
      <c r="D213" s="1">
        <v>4</v>
      </c>
      <c r="E213" s="1">
        <v>1</v>
      </c>
      <c r="F213" s="2">
        <v>4254.3596550565189</v>
      </c>
      <c r="G213" s="3">
        <v>5.8786741713570984E-2</v>
      </c>
      <c r="H213" s="2">
        <v>8.590994371482176E-2</v>
      </c>
      <c r="I213" s="2">
        <v>4</v>
      </c>
      <c r="J213" s="2">
        <f t="shared" si="6"/>
        <v>4.1467965996267884E-4</v>
      </c>
      <c r="K213" s="2">
        <f t="shared" si="7"/>
        <v>7.0763270324538048E-6</v>
      </c>
      <c r="L213" s="4">
        <v>1.4000000000000001E-7</v>
      </c>
      <c r="M213" s="15">
        <v>4.0266101223612124E-9</v>
      </c>
      <c r="N213" s="13">
        <v>9646</v>
      </c>
      <c r="O213" s="13">
        <v>565265</v>
      </c>
    </row>
    <row r="214" spans="1:25" ht="47.25">
      <c r="A214" s="21" t="s">
        <v>167</v>
      </c>
      <c r="B214" s="1" t="s">
        <v>80</v>
      </c>
      <c r="C214" s="10" t="s">
        <v>178</v>
      </c>
      <c r="D214" s="1">
        <v>4</v>
      </c>
      <c r="E214" s="1">
        <v>1</v>
      </c>
      <c r="F214" s="2">
        <v>40382.747682535068</v>
      </c>
      <c r="G214" s="3">
        <v>0.30892801977139328</v>
      </c>
      <c r="H214" s="2">
        <v>0.28460508701472559</v>
      </c>
      <c r="I214" s="2">
        <v>20</v>
      </c>
      <c r="J214" s="2">
        <f t="shared" si="6"/>
        <v>4.0000000000000002E-4</v>
      </c>
      <c r="K214" s="2">
        <f t="shared" si="7"/>
        <v>1.6586223482775207E-4</v>
      </c>
      <c r="L214" s="4">
        <v>6.9999999999999997E-7</v>
      </c>
      <c r="M214" s="15">
        <v>1.8683865155283166E-8</v>
      </c>
      <c r="N214" s="13">
        <v>50000</v>
      </c>
      <c r="O214" s="13">
        <v>120582</v>
      </c>
    </row>
    <row r="215" spans="1:25" ht="31.5">
      <c r="A215" s="21" t="s">
        <v>167</v>
      </c>
      <c r="B215" s="1" t="s">
        <v>21</v>
      </c>
      <c r="C215" s="10" t="s">
        <v>139</v>
      </c>
      <c r="D215" s="1">
        <v>4</v>
      </c>
      <c r="E215" s="1">
        <v>1</v>
      </c>
      <c r="F215" s="2">
        <v>263.7700262996301</v>
      </c>
      <c r="G215" s="3">
        <v>6.2840043525571279E-2</v>
      </c>
      <c r="H215" s="2">
        <v>5.5780739934711637E-2</v>
      </c>
      <c r="I215" s="2">
        <v>3</v>
      </c>
      <c r="J215" s="2">
        <f t="shared" si="6"/>
        <v>3.952048478461336E-4</v>
      </c>
      <c r="K215" s="2">
        <f t="shared" si="7"/>
        <v>9.5359186268277176E-5</v>
      </c>
      <c r="L215" s="4">
        <v>1.1999999999999999E-7</v>
      </c>
      <c r="M215" s="15">
        <v>2.9444317016152675E-9</v>
      </c>
      <c r="N215" s="13">
        <v>7591</v>
      </c>
      <c r="O215" s="13">
        <v>31460</v>
      </c>
    </row>
    <row r="216" spans="1:25" ht="47.25">
      <c r="A216" s="21" t="s">
        <v>167</v>
      </c>
      <c r="B216" s="1" t="s">
        <v>21</v>
      </c>
      <c r="C216" s="10" t="s">
        <v>178</v>
      </c>
      <c r="D216" s="1">
        <v>4</v>
      </c>
      <c r="E216" s="1">
        <v>1</v>
      </c>
      <c r="F216" s="2">
        <v>8001.0241310887795</v>
      </c>
      <c r="G216" s="3">
        <v>3.0875952121871601E-2</v>
      </c>
      <c r="H216" s="2">
        <v>5.6388737758433082E-2</v>
      </c>
      <c r="I216" s="2">
        <v>3</v>
      </c>
      <c r="J216" s="2">
        <f t="shared" si="6"/>
        <v>3.952048478461336E-4</v>
      </c>
      <c r="K216" s="2">
        <f t="shared" si="7"/>
        <v>9.5359186268277176E-5</v>
      </c>
      <c r="L216" s="4">
        <v>1.1000000000000001E-7</v>
      </c>
      <c r="M216" s="15">
        <v>2.9360359529730692E-9</v>
      </c>
      <c r="N216" s="13">
        <v>7591</v>
      </c>
      <c r="O216" s="13">
        <v>31460</v>
      </c>
    </row>
    <row r="217" spans="1:25">
      <c r="B217" s="1" t="s">
        <v>51</v>
      </c>
      <c r="C217" s="8" t="s">
        <v>66</v>
      </c>
      <c r="D217" s="1">
        <v>3</v>
      </c>
      <c r="E217" s="1">
        <v>0</v>
      </c>
      <c r="F217" s="2">
        <v>46620.046620046618</v>
      </c>
      <c r="G217" s="3">
        <v>0.1464</v>
      </c>
      <c r="H217" s="2">
        <v>0.18902097902097903</v>
      </c>
      <c r="I217" s="2">
        <v>9</v>
      </c>
      <c r="J217" s="2">
        <f t="shared" si="6"/>
        <v>3.7866038370918884E-4</v>
      </c>
      <c r="K217" s="2">
        <f t="shared" si="7"/>
        <v>1.354993149756854E-4</v>
      </c>
      <c r="L217" s="4">
        <v>8.9999999999999996E-7</v>
      </c>
      <c r="M217" s="15">
        <v>3.5516566370398515E-8</v>
      </c>
      <c r="N217" s="13">
        <v>23768</v>
      </c>
      <c r="O217" s="13">
        <v>66421</v>
      </c>
    </row>
    <row r="218" spans="1:25">
      <c r="B218" s="1" t="s">
        <v>51</v>
      </c>
      <c r="C218" s="8" t="s">
        <v>67</v>
      </c>
      <c r="D218" s="1">
        <v>4</v>
      </c>
      <c r="E218" s="1">
        <v>0</v>
      </c>
      <c r="F218" s="2">
        <v>129500.12950012949</v>
      </c>
      <c r="G218" s="3">
        <v>2.06E-2</v>
      </c>
      <c r="H218" s="2">
        <v>1.7394457394457392E-2</v>
      </c>
      <c r="I218" s="2">
        <v>1</v>
      </c>
      <c r="J218" s="2">
        <f t="shared" si="6"/>
        <v>3.3500837520938025E-4</v>
      </c>
      <c r="K218" s="2">
        <f t="shared" si="7"/>
        <v>9.0017103249617422E-5</v>
      </c>
      <c r="L218" s="4">
        <v>2.9999999999999997E-8</v>
      </c>
      <c r="M218" s="15">
        <v>9.3574102301176038E-10</v>
      </c>
      <c r="N218" s="13">
        <v>2985</v>
      </c>
      <c r="O218" s="13">
        <v>11109</v>
      </c>
      <c r="P218" s="1">
        <f>AVERAGE(F218:F223)</f>
        <v>46584.539985756128</v>
      </c>
      <c r="Q218" s="3">
        <f>AVERAGE(G218:G223)</f>
        <v>0.16743422378343187</v>
      </c>
      <c r="R218" s="1">
        <f>AVERAGE(H218:H223)</f>
        <v>1.3329132721129551</v>
      </c>
      <c r="S218" s="1">
        <f>AVERAGE(I218:I223)</f>
        <v>54.5</v>
      </c>
      <c r="T218" s="1">
        <f>AVERAGE(J218:J223)</f>
        <v>3.014264009780576E-4</v>
      </c>
      <c r="U218" s="4">
        <f>AVERAGE(L218:L223)</f>
        <v>4.8916666666666667E-6</v>
      </c>
      <c r="V218" s="1">
        <f>AVERAGE(M218:M223)</f>
        <v>2.6112551224979926E-7</v>
      </c>
      <c r="W218" s="6" t="s">
        <v>11</v>
      </c>
      <c r="X218" s="1" t="s">
        <v>68</v>
      </c>
      <c r="Y218" s="1" t="s">
        <v>13</v>
      </c>
    </row>
    <row r="219" spans="1:25" ht="31.5">
      <c r="A219" s="21" t="s">
        <v>167</v>
      </c>
      <c r="B219" s="1" t="s">
        <v>161</v>
      </c>
      <c r="C219" s="10" t="s">
        <v>139</v>
      </c>
      <c r="D219" s="1">
        <v>4</v>
      </c>
      <c r="E219" s="1">
        <v>1</v>
      </c>
      <c r="F219" s="2">
        <v>303.1953147834397</v>
      </c>
      <c r="G219" s="3">
        <v>6.144465290806754E-2</v>
      </c>
      <c r="H219" s="2">
        <v>6.4118198874296428E-2</v>
      </c>
      <c r="I219" s="2">
        <v>3</v>
      </c>
      <c r="J219" s="2">
        <f t="shared" si="6"/>
        <v>3.1100974497200911E-4</v>
      </c>
      <c r="K219" s="2">
        <f t="shared" si="7"/>
        <v>5.3072452743403534E-6</v>
      </c>
      <c r="L219" s="4">
        <v>1.1999999999999999E-7</v>
      </c>
      <c r="M219" s="15">
        <v>2.9444317016152675E-9</v>
      </c>
      <c r="N219" s="13">
        <v>9646</v>
      </c>
      <c r="O219" s="13">
        <v>565265</v>
      </c>
    </row>
    <row r="220" spans="1:25">
      <c r="B220" s="1" t="s">
        <v>122</v>
      </c>
      <c r="C220" s="8" t="s">
        <v>45</v>
      </c>
      <c r="D220" s="1">
        <v>2</v>
      </c>
      <c r="E220" s="1">
        <v>0</v>
      </c>
      <c r="F220" s="2">
        <v>2203.4350550947538</v>
      </c>
      <c r="G220" s="3">
        <v>0.52770448548812665</v>
      </c>
      <c r="H220" s="2">
        <v>7.076531222515392</v>
      </c>
      <c r="I220" s="2">
        <v>242</v>
      </c>
      <c r="J220" s="2">
        <f t="shared" si="6"/>
        <v>3.0249999999999998E-4</v>
      </c>
      <c r="K220" s="2">
        <f t="shared" si="7"/>
        <v>2.6614753965845791E-5</v>
      </c>
      <c r="L220" s="4">
        <v>2.0999999999999999E-5</v>
      </c>
      <c r="M220" s="15">
        <v>1.235755273735046E-6</v>
      </c>
      <c r="N220" s="13">
        <v>800000</v>
      </c>
      <c r="O220" s="13">
        <v>9092701</v>
      </c>
    </row>
    <row r="221" spans="1:25">
      <c r="B221" s="1" t="s">
        <v>51</v>
      </c>
      <c r="C221" s="8" t="s">
        <v>65</v>
      </c>
      <c r="D221" s="1">
        <v>3</v>
      </c>
      <c r="E221" s="1">
        <v>0</v>
      </c>
      <c r="F221" s="2">
        <v>1309.9724082383043</v>
      </c>
      <c r="G221" s="3">
        <v>0.13819999999999999</v>
      </c>
      <c r="H221" s="2">
        <v>0.14812224812224811</v>
      </c>
      <c r="I221" s="2">
        <v>7</v>
      </c>
      <c r="J221" s="2">
        <f t="shared" si="6"/>
        <v>2.9451363177381354E-4</v>
      </c>
      <c r="K221" s="2">
        <f t="shared" si="7"/>
        <v>1.0538835609219975E-4</v>
      </c>
      <c r="L221" s="4">
        <v>6.9999999999999997E-7</v>
      </c>
      <c r="M221" s="15">
        <v>2.5924863633009455E-8</v>
      </c>
      <c r="N221" s="13">
        <v>23768</v>
      </c>
      <c r="O221" s="13">
        <v>66421</v>
      </c>
    </row>
    <row r="222" spans="1:25">
      <c r="B222" s="1" t="s">
        <v>26</v>
      </c>
      <c r="C222" s="8" t="s">
        <v>35</v>
      </c>
      <c r="D222" s="1">
        <v>1</v>
      </c>
      <c r="E222" s="1">
        <v>0</v>
      </c>
      <c r="F222" s="2">
        <v>105000.105000105</v>
      </c>
      <c r="G222" s="3">
        <v>6.4399999999999999E-2</v>
      </c>
      <c r="H222" s="1">
        <v>0.48710178710178703</v>
      </c>
      <c r="I222" s="2">
        <v>60</v>
      </c>
      <c r="J222" s="2">
        <f t="shared" si="6"/>
        <v>2.8552665391314279E-4</v>
      </c>
      <c r="K222" s="2">
        <f t="shared" si="7"/>
        <v>1.2255452655143817E-4</v>
      </c>
      <c r="L222" s="4">
        <v>6.9999999999999999E-6</v>
      </c>
      <c r="M222" s="1">
        <v>2.8734094172510462E-7</v>
      </c>
      <c r="N222" s="13">
        <v>210138</v>
      </c>
      <c r="O222" s="13">
        <v>489578</v>
      </c>
    </row>
    <row r="223" spans="1:25">
      <c r="B223" s="1" t="s">
        <v>80</v>
      </c>
      <c r="C223" s="8" t="s">
        <v>95</v>
      </c>
      <c r="D223" s="1">
        <v>4</v>
      </c>
      <c r="E223" s="1">
        <v>0</v>
      </c>
      <c r="F223" s="2">
        <v>41190.402636185769</v>
      </c>
      <c r="G223" s="3">
        <v>0.19225620430439708</v>
      </c>
      <c r="H223" s="2">
        <v>0.20421171866955001</v>
      </c>
      <c r="I223" s="2">
        <v>14</v>
      </c>
      <c r="J223" s="2">
        <f t="shared" si="6"/>
        <v>2.7999999999999998E-4</v>
      </c>
      <c r="K223" s="2">
        <f t="shared" si="7"/>
        <v>1.1610356437942645E-4</v>
      </c>
      <c r="L223" s="4">
        <v>4.9999999999999998E-7</v>
      </c>
      <c r="M223" s="15">
        <v>1.3851821681008418E-8</v>
      </c>
      <c r="N223" s="13">
        <v>50000</v>
      </c>
      <c r="O223" s="13">
        <v>120582</v>
      </c>
      <c r="P223" s="1">
        <f>AVERAGE(F223:F229)</f>
        <v>26203.152643926092</v>
      </c>
      <c r="Q223" s="3">
        <f>AVERAGE(G223:G229)</f>
        <v>0.18312244638432482</v>
      </c>
      <c r="R223" s="1">
        <f>AVERAGE(H223:H229)</f>
        <v>0.47917278023859405</v>
      </c>
      <c r="S223" s="1">
        <f>AVERAGE(I223:I229)</f>
        <v>33.571428571428569</v>
      </c>
      <c r="T223" s="1">
        <f>AVERAGE(J223:J229)</f>
        <v>2.467735078053834E-4</v>
      </c>
      <c r="U223" s="4">
        <f>AVERAGE(L223:L229)</f>
        <v>2.0614285714285714E-6</v>
      </c>
      <c r="V223" s="1">
        <f>AVERAGE(M223:M229)</f>
        <v>6.8915585947143477E-8</v>
      </c>
      <c r="W223" s="6" t="s">
        <v>11</v>
      </c>
      <c r="X223" s="1" t="s">
        <v>96</v>
      </c>
      <c r="Y223" s="1" t="s">
        <v>13</v>
      </c>
    </row>
    <row r="224" spans="1:25">
      <c r="B224" s="1" t="s">
        <v>26</v>
      </c>
      <c r="C224" s="8" t="s">
        <v>32</v>
      </c>
      <c r="D224" s="1">
        <v>1</v>
      </c>
      <c r="E224" s="1">
        <v>0</v>
      </c>
      <c r="F224" s="2">
        <v>129500.12950012949</v>
      </c>
      <c r="G224" s="3">
        <v>0.1241</v>
      </c>
      <c r="H224" s="1">
        <v>0.47176638176638175</v>
      </c>
      <c r="I224" s="2">
        <v>58</v>
      </c>
      <c r="J224" s="2">
        <f t="shared" si="6"/>
        <v>2.7600909878270469E-4</v>
      </c>
      <c r="K224" s="2">
        <f t="shared" si="7"/>
        <v>1.1846937566639024E-4</v>
      </c>
      <c r="L224" s="4">
        <v>6.9999999999999999E-6</v>
      </c>
      <c r="M224" s="1">
        <v>2.9313343912606202E-7</v>
      </c>
      <c r="N224" s="13">
        <v>210138</v>
      </c>
      <c r="O224" s="13">
        <v>489578</v>
      </c>
    </row>
    <row r="225" spans="1:25">
      <c r="B225" s="1" t="s">
        <v>21</v>
      </c>
      <c r="C225" s="8" t="s">
        <v>24</v>
      </c>
      <c r="D225" s="1">
        <v>4</v>
      </c>
      <c r="E225" s="1">
        <v>0</v>
      </c>
      <c r="F225" s="2">
        <v>795.42345162870902</v>
      </c>
      <c r="G225" s="3">
        <v>2.2986942328618063E-2</v>
      </c>
      <c r="H225" s="1">
        <v>4.02013057671382E-2</v>
      </c>
      <c r="I225" s="2">
        <v>2</v>
      </c>
      <c r="J225" s="2">
        <f t="shared" si="6"/>
        <v>2.6346989856408903E-4</v>
      </c>
      <c r="K225" s="2">
        <f t="shared" si="7"/>
        <v>6.3572790845518122E-5</v>
      </c>
      <c r="L225" s="4">
        <v>5.9999999999999995E-8</v>
      </c>
      <c r="M225" s="1">
        <v>1.855243777482964E-9</v>
      </c>
      <c r="N225" s="13">
        <v>7591</v>
      </c>
      <c r="O225" s="13">
        <v>31460</v>
      </c>
      <c r="P225" s="2">
        <v>795.42345162870902</v>
      </c>
      <c r="Q225" s="3">
        <v>2.2986942328618063E-2</v>
      </c>
      <c r="R225" s="1">
        <v>4.02013057671382E-2</v>
      </c>
      <c r="S225" s="2">
        <v>2</v>
      </c>
      <c r="T225" s="2">
        <v>2.6346989856408903E-4</v>
      </c>
      <c r="U225" s="4">
        <v>5.9999999999999995E-8</v>
      </c>
      <c r="V225" s="1">
        <v>1.855243777482964E-9</v>
      </c>
      <c r="W225" s="6" t="s">
        <v>11</v>
      </c>
      <c r="X225" s="1" t="s">
        <v>25</v>
      </c>
      <c r="Y225" s="1" t="s">
        <v>13</v>
      </c>
    </row>
    <row r="226" spans="1:25" ht="31.5">
      <c r="A226" s="21" t="s">
        <v>167</v>
      </c>
      <c r="B226" s="1" t="s">
        <v>21</v>
      </c>
      <c r="C226" s="10" t="s">
        <v>172</v>
      </c>
      <c r="D226" s="1">
        <v>4</v>
      </c>
      <c r="E226" s="1">
        <v>1</v>
      </c>
      <c r="F226" s="2">
        <v>1850.5770099116905</v>
      </c>
      <c r="G226" s="3">
        <v>3.0603917301414582E-2</v>
      </c>
      <c r="H226" s="2">
        <v>3.7369423286180634E-2</v>
      </c>
      <c r="I226" s="2">
        <v>2</v>
      </c>
      <c r="J226" s="2">
        <f t="shared" si="6"/>
        <v>2.6346989856408903E-4</v>
      </c>
      <c r="K226" s="2">
        <f t="shared" si="7"/>
        <v>6.3572790845518122E-5</v>
      </c>
      <c r="L226" s="4">
        <v>7.0000000000000005E-8</v>
      </c>
      <c r="M226" s="15">
        <v>2.0133050611806062E-9</v>
      </c>
      <c r="N226" s="13">
        <v>7591</v>
      </c>
      <c r="O226" s="13">
        <v>31460</v>
      </c>
    </row>
    <row r="227" spans="1:25" ht="31.5">
      <c r="A227" s="21" t="s">
        <v>167</v>
      </c>
      <c r="B227" s="1" t="s">
        <v>80</v>
      </c>
      <c r="C227" s="10" t="s">
        <v>174</v>
      </c>
      <c r="D227" s="1">
        <v>4</v>
      </c>
      <c r="E227" s="1">
        <v>1</v>
      </c>
      <c r="F227" s="2">
        <v>6509.9774281328082</v>
      </c>
      <c r="G227" s="3">
        <v>0.17382349912470393</v>
      </c>
      <c r="H227" s="2">
        <v>0.15478838430645661</v>
      </c>
      <c r="I227" s="2">
        <v>11</v>
      </c>
      <c r="J227" s="2">
        <f t="shared" si="6"/>
        <v>2.2000000000000001E-4</v>
      </c>
      <c r="K227" s="2">
        <f t="shared" si="7"/>
        <v>9.1224229155263632E-5</v>
      </c>
      <c r="L227" s="4">
        <v>3.9999999999999998E-7</v>
      </c>
      <c r="M227" s="15">
        <v>1.0605143890184074E-8</v>
      </c>
      <c r="N227" s="13">
        <v>50000</v>
      </c>
      <c r="O227" s="13">
        <v>120582</v>
      </c>
    </row>
    <row r="228" spans="1:25" ht="31.5">
      <c r="B228" s="1" t="s">
        <v>113</v>
      </c>
      <c r="C228" s="10" t="s">
        <v>153</v>
      </c>
      <c r="D228" s="1">
        <v>4</v>
      </c>
      <c r="E228" s="1">
        <v>1</v>
      </c>
      <c r="F228" s="2">
        <v>3490.5400141227738</v>
      </c>
      <c r="G228" s="3">
        <v>0.65048656163114005</v>
      </c>
      <c r="H228" s="2">
        <v>2.3402713672735707</v>
      </c>
      <c r="I228" s="2">
        <v>143</v>
      </c>
      <c r="J228" s="2">
        <f t="shared" si="6"/>
        <v>2.140987788883632E-4</v>
      </c>
      <c r="K228" s="2">
        <f t="shared" si="7"/>
        <v>1.4459151884795948E-4</v>
      </c>
      <c r="L228" s="4">
        <v>5.8000000000000004E-6</v>
      </c>
      <c r="M228" s="15">
        <v>1.4034734555419652E-7</v>
      </c>
      <c r="N228" s="13">
        <v>667916</v>
      </c>
      <c r="O228" s="13">
        <v>988993</v>
      </c>
    </row>
    <row r="229" spans="1:25">
      <c r="B229" s="1" t="s">
        <v>51</v>
      </c>
      <c r="C229" s="8" t="s">
        <v>64</v>
      </c>
      <c r="D229" s="1">
        <v>3</v>
      </c>
      <c r="E229" s="1">
        <v>0</v>
      </c>
      <c r="F229" s="2">
        <v>85.018467371408548</v>
      </c>
      <c r="G229" s="3">
        <v>8.7599999999999997E-2</v>
      </c>
      <c r="H229" s="2">
        <v>0.1056008806008806</v>
      </c>
      <c r="I229" s="2">
        <v>5</v>
      </c>
      <c r="J229" s="2">
        <f t="shared" si="6"/>
        <v>2.1036687983843824E-4</v>
      </c>
      <c r="K229" s="2">
        <f t="shared" si="7"/>
        <v>7.5277397208714113E-5</v>
      </c>
      <c r="L229" s="4">
        <v>5.9999999999999997E-7</v>
      </c>
      <c r="M229" s="15">
        <v>2.060280253988978E-8</v>
      </c>
      <c r="N229" s="13">
        <v>23768</v>
      </c>
      <c r="O229" s="13">
        <v>66421</v>
      </c>
    </row>
    <row r="230" spans="1:25">
      <c r="B230" s="1" t="s">
        <v>9</v>
      </c>
      <c r="C230" s="8" t="s">
        <v>10</v>
      </c>
      <c r="D230" s="1">
        <v>1</v>
      </c>
      <c r="E230" s="1">
        <v>0</v>
      </c>
      <c r="F230" s="2">
        <v>445.95872206068606</v>
      </c>
      <c r="G230" s="3">
        <v>7.7000000000000002E-3</v>
      </c>
      <c r="H230" s="1">
        <v>8.5963003264417845E-3</v>
      </c>
      <c r="I230" s="2">
        <v>1</v>
      </c>
      <c r="J230" s="2">
        <f t="shared" si="6"/>
        <v>1.945903872348706E-4</v>
      </c>
      <c r="K230" s="2">
        <f t="shared" si="7"/>
        <v>7.952286282306163E-5</v>
      </c>
      <c r="L230" s="4">
        <v>9.9999999999999995E-7</v>
      </c>
      <c r="M230" s="1">
        <v>4.2250156413460665E-8</v>
      </c>
      <c r="N230" s="13">
        <v>5139</v>
      </c>
      <c r="O230" s="13">
        <v>12575</v>
      </c>
      <c r="P230" s="1">
        <f>AVERAGE(F230:F232)</f>
        <v>293.5306116995489</v>
      </c>
      <c r="Q230" s="14">
        <f>AVERAGE(G230:G232)</f>
        <v>7.6666666666666662E-3</v>
      </c>
      <c r="R230" s="1">
        <f>AVERAGE(H230:H232)</f>
        <v>8.5554951033732316E-3</v>
      </c>
      <c r="S230" s="1">
        <f>AVERAGE(I230:I232)</f>
        <v>1</v>
      </c>
      <c r="T230" s="1">
        <f>AVERAGE(J230:J232)</f>
        <v>1.945903872348706E-4</v>
      </c>
      <c r="U230" s="1">
        <f>AVERAGE(L230:L232)</f>
        <v>9.9999999999999995E-7</v>
      </c>
      <c r="V230" s="1">
        <f>AVERAGE(M230:M232)</f>
        <v>3.9856574467518598E-8</v>
      </c>
      <c r="W230" s="6" t="s">
        <v>11</v>
      </c>
      <c r="X230" s="1" t="s">
        <v>12</v>
      </c>
      <c r="Y230" s="1" t="s">
        <v>13</v>
      </c>
    </row>
    <row r="231" spans="1:25">
      <c r="B231" s="1" t="s">
        <v>14</v>
      </c>
      <c r="C231" s="8" t="s">
        <v>15</v>
      </c>
      <c r="D231" s="1">
        <v>1</v>
      </c>
      <c r="E231" s="1">
        <v>0</v>
      </c>
      <c r="F231" s="2">
        <v>307.03704340521273</v>
      </c>
      <c r="G231" s="3">
        <v>7.6E-3</v>
      </c>
      <c r="H231" s="1">
        <v>8.5418933623503807E-3</v>
      </c>
      <c r="I231" s="2">
        <v>1</v>
      </c>
      <c r="J231" s="2">
        <f t="shared" si="6"/>
        <v>1.945903872348706E-4</v>
      </c>
      <c r="K231" s="2">
        <f t="shared" si="7"/>
        <v>7.952286282306163E-5</v>
      </c>
      <c r="L231" s="4">
        <v>9.9999999999999995E-7</v>
      </c>
      <c r="M231" s="1">
        <v>3.8954275402999719E-8</v>
      </c>
      <c r="N231" s="13">
        <v>5139</v>
      </c>
      <c r="O231" s="13">
        <v>12575</v>
      </c>
      <c r="P231" s="1">
        <f>STDEVP(F230:F232)</f>
        <v>130.32142926447369</v>
      </c>
      <c r="Q231" s="14">
        <f>STDEVP(G230:G232)</f>
        <v>4.7140452079103291E-5</v>
      </c>
      <c r="R231" s="1">
        <f>STDEVP(H230:H232)</f>
        <v>2.9383118871997989E-5</v>
      </c>
      <c r="S231" s="1">
        <f>STDEVP(I230:I232)</f>
        <v>0</v>
      </c>
      <c r="T231" s="1">
        <f>STDEVP(J230:J232)</f>
        <v>0</v>
      </c>
      <c r="U231" s="1">
        <f>STDEVP(L230:L232)</f>
        <v>0</v>
      </c>
      <c r="V231" s="1">
        <f>STDEVP(M230:M232)</f>
        <v>1.7095128707907077E-9</v>
      </c>
      <c r="W231" s="6" t="s">
        <v>16</v>
      </c>
      <c r="X231" s="1" t="s">
        <v>12</v>
      </c>
      <c r="Y231" s="1" t="s">
        <v>13</v>
      </c>
    </row>
    <row r="232" spans="1:25">
      <c r="B232" s="1" t="s">
        <v>14</v>
      </c>
      <c r="C232" s="8" t="s">
        <v>17</v>
      </c>
      <c r="D232" s="1">
        <v>1</v>
      </c>
      <c r="E232" s="1">
        <v>0</v>
      </c>
      <c r="F232" s="2">
        <v>127.59606963274788</v>
      </c>
      <c r="G232" s="3">
        <v>7.7000000000000002E-3</v>
      </c>
      <c r="H232" s="1">
        <v>8.5282916213275297E-3</v>
      </c>
      <c r="I232" s="2">
        <v>1</v>
      </c>
      <c r="J232" s="2">
        <f t="shared" si="6"/>
        <v>1.945903872348706E-4</v>
      </c>
      <c r="K232" s="2">
        <f t="shared" si="7"/>
        <v>7.952286282306163E-5</v>
      </c>
      <c r="L232" s="4">
        <v>9.9999999999999995E-7</v>
      </c>
      <c r="M232" s="1">
        <v>3.8365291586095425E-8</v>
      </c>
      <c r="N232" s="13">
        <v>5139</v>
      </c>
      <c r="O232" s="13">
        <v>12575</v>
      </c>
    </row>
    <row r="233" spans="1:25">
      <c r="B233" s="1" t="s">
        <v>122</v>
      </c>
      <c r="C233" s="8" t="s">
        <v>46</v>
      </c>
      <c r="D233" s="1">
        <v>2</v>
      </c>
      <c r="E233" s="1">
        <v>0</v>
      </c>
      <c r="F233" s="2">
        <v>134828.04959172104</v>
      </c>
      <c r="G233" s="3">
        <v>0.38698328935795956</v>
      </c>
      <c r="H233" s="2">
        <v>4.2699665787159189</v>
      </c>
      <c r="I233" s="2">
        <v>151</v>
      </c>
      <c r="J233" s="2">
        <f t="shared" si="6"/>
        <v>1.8875000000000001E-4</v>
      </c>
      <c r="K233" s="2">
        <f t="shared" si="7"/>
        <v>1.6606726648110389E-5</v>
      </c>
      <c r="L233" s="4">
        <v>1.5E-5</v>
      </c>
      <c r="M233" s="15">
        <v>7.8616305269184804E-7</v>
      </c>
      <c r="N233" s="13">
        <v>800000</v>
      </c>
      <c r="O233" s="13">
        <v>9092701</v>
      </c>
    </row>
    <row r="234" spans="1:25">
      <c r="B234" s="1" t="s">
        <v>80</v>
      </c>
      <c r="C234" s="8" t="s">
        <v>70</v>
      </c>
      <c r="D234" s="1">
        <v>4</v>
      </c>
      <c r="E234" s="1">
        <v>0</v>
      </c>
      <c r="F234" s="2">
        <v>2073.3424145731092</v>
      </c>
      <c r="G234" s="3">
        <v>0.13551642467305117</v>
      </c>
      <c r="H234" s="2">
        <v>0.14362372567191845</v>
      </c>
      <c r="I234" s="2">
        <v>9</v>
      </c>
      <c r="J234" s="2">
        <f t="shared" si="6"/>
        <v>1.8000000000000001E-4</v>
      </c>
      <c r="K234" s="2">
        <f t="shared" si="7"/>
        <v>7.4638005672488425E-5</v>
      </c>
      <c r="L234" s="4">
        <v>3.9999999999999998E-7</v>
      </c>
      <c r="M234" s="15">
        <v>9.2737396226331362E-9</v>
      </c>
      <c r="N234" s="13">
        <v>50000</v>
      </c>
      <c r="O234" s="13">
        <v>120582</v>
      </c>
    </row>
    <row r="235" spans="1:25" ht="31.5">
      <c r="A235" s="21" t="s">
        <v>167</v>
      </c>
      <c r="B235" s="1" t="s">
        <v>113</v>
      </c>
      <c r="C235" s="10" t="s">
        <v>176</v>
      </c>
      <c r="D235" s="1">
        <v>4</v>
      </c>
      <c r="E235" s="1">
        <v>1</v>
      </c>
      <c r="F235" s="2">
        <v>10746.154779553828</v>
      </c>
      <c r="G235" s="3">
        <v>0.5792400370713624</v>
      </c>
      <c r="H235" s="2">
        <v>1.9351965673199583</v>
      </c>
      <c r="I235" s="2">
        <v>120</v>
      </c>
      <c r="J235" s="2">
        <f t="shared" si="6"/>
        <v>1.7966331095526982E-4</v>
      </c>
      <c r="K235" s="2">
        <f t="shared" si="7"/>
        <v>1.2133554029199398E-4</v>
      </c>
      <c r="L235" s="4">
        <v>4.5000000000000001E-6</v>
      </c>
      <c r="M235" s="15">
        <v>1.1704508739334897E-7</v>
      </c>
      <c r="N235" s="13">
        <v>667916</v>
      </c>
      <c r="O235" s="13">
        <v>988993</v>
      </c>
    </row>
    <row r="236" spans="1:25">
      <c r="B236" s="1" t="s">
        <v>127</v>
      </c>
      <c r="C236" s="8" t="s">
        <v>63</v>
      </c>
      <c r="D236" s="1">
        <v>3</v>
      </c>
      <c r="E236" s="1">
        <v>0</v>
      </c>
      <c r="F236" s="2">
        <v>2798.2562199989038</v>
      </c>
      <c r="G236" s="3">
        <v>0.3760773966578716</v>
      </c>
      <c r="H236" s="2">
        <v>1.0471978891820579</v>
      </c>
      <c r="I236" s="2">
        <v>36</v>
      </c>
      <c r="J236" s="2">
        <f t="shared" si="6"/>
        <v>1.7179506757272658E-4</v>
      </c>
      <c r="K236" s="2">
        <f t="shared" si="7"/>
        <v>1.7179506757272658E-4</v>
      </c>
      <c r="L236" s="4">
        <v>3.0000000000000001E-6</v>
      </c>
      <c r="M236" s="15">
        <v>1.2131274730211156E-7</v>
      </c>
      <c r="N236" s="13">
        <v>209552</v>
      </c>
      <c r="O236" s="13">
        <v>209552</v>
      </c>
    </row>
    <row r="237" spans="1:25">
      <c r="B237" s="1" t="s">
        <v>80</v>
      </c>
      <c r="C237" s="8" t="s">
        <v>91</v>
      </c>
      <c r="D237" s="1">
        <v>3</v>
      </c>
      <c r="E237" s="1">
        <v>0</v>
      </c>
      <c r="F237" s="17">
        <v>1955.7969668270025</v>
      </c>
      <c r="G237" s="3">
        <v>0.79548965091133761</v>
      </c>
      <c r="H237" s="17">
        <v>1.4950643600041189</v>
      </c>
      <c r="I237" s="2">
        <v>89</v>
      </c>
      <c r="J237" s="2">
        <f t="shared" si="6"/>
        <v>1.6396070101489831E-4</v>
      </c>
      <c r="K237" s="2">
        <f t="shared" si="7"/>
        <v>1.5382302056561934E-4</v>
      </c>
      <c r="L237" s="4" t="s">
        <v>92</v>
      </c>
      <c r="M237" s="15">
        <v>3.6070719314570479E-7</v>
      </c>
      <c r="N237" s="13">
        <v>542813</v>
      </c>
      <c r="O237" s="13">
        <v>578587</v>
      </c>
    </row>
    <row r="238" spans="1:25">
      <c r="B238" s="1" t="s">
        <v>127</v>
      </c>
      <c r="C238" s="8" t="s">
        <v>65</v>
      </c>
      <c r="D238" s="1">
        <v>3</v>
      </c>
      <c r="E238" s="1">
        <v>0</v>
      </c>
      <c r="F238" s="2">
        <v>8642.5590108845408</v>
      </c>
      <c r="G238" s="3">
        <v>0.38962181178540017</v>
      </c>
      <c r="H238" s="2">
        <v>0.97723834652594554</v>
      </c>
      <c r="I238" s="2">
        <v>34</v>
      </c>
      <c r="J238" s="2">
        <f t="shared" si="6"/>
        <v>1.6225089715201954E-4</v>
      </c>
      <c r="K238" s="2">
        <f t="shared" si="7"/>
        <v>1.6225089715201954E-4</v>
      </c>
      <c r="L238" s="4">
        <v>3.9999999999999998E-6</v>
      </c>
      <c r="M238" s="15">
        <v>1.4814207790291117E-7</v>
      </c>
      <c r="N238" s="13">
        <v>209552</v>
      </c>
      <c r="O238" s="13">
        <v>209552</v>
      </c>
    </row>
    <row r="239" spans="1:25" ht="31.5">
      <c r="A239" s="21" t="s">
        <v>167</v>
      </c>
      <c r="B239" s="1" t="s">
        <v>113</v>
      </c>
      <c r="C239" s="10" t="s">
        <v>174</v>
      </c>
      <c r="D239" s="1">
        <v>4</v>
      </c>
      <c r="E239" s="1">
        <v>1</v>
      </c>
      <c r="F239" s="2">
        <v>66648.804786983761</v>
      </c>
      <c r="G239" s="3">
        <v>0.46339202965708992</v>
      </c>
      <c r="H239" s="2">
        <v>1.5847152963005915</v>
      </c>
      <c r="I239" s="2">
        <v>100</v>
      </c>
      <c r="J239" s="2">
        <f t="shared" si="6"/>
        <v>1.497194257960582E-4</v>
      </c>
      <c r="K239" s="2">
        <f t="shared" si="7"/>
        <v>1.0111295024332831E-4</v>
      </c>
      <c r="L239" s="4">
        <v>3.7000000000000002E-6</v>
      </c>
      <c r="M239" s="15">
        <v>9.8097580984202701E-8</v>
      </c>
      <c r="N239" s="13">
        <v>667916</v>
      </c>
      <c r="O239" s="13">
        <v>988993</v>
      </c>
    </row>
    <row r="240" spans="1:25" ht="31.5">
      <c r="A240" s="21" t="s">
        <v>167</v>
      </c>
      <c r="B240" s="1" t="s">
        <v>113</v>
      </c>
      <c r="C240" s="10" t="s">
        <v>175</v>
      </c>
      <c r="D240" s="1">
        <v>4</v>
      </c>
      <c r="E240" s="1">
        <v>1</v>
      </c>
      <c r="F240" s="2">
        <v>108010.26893420014</v>
      </c>
      <c r="G240" s="3">
        <v>0.34754402224281744</v>
      </c>
      <c r="H240" s="2">
        <v>1.534895048127102</v>
      </c>
      <c r="I240" s="2">
        <v>95</v>
      </c>
      <c r="J240" s="2">
        <f t="shared" si="6"/>
        <v>1.4223345450625527E-4</v>
      </c>
      <c r="K240" s="2">
        <f t="shared" si="7"/>
        <v>9.6057302731161894E-5</v>
      </c>
      <c r="L240" s="4">
        <v>2.6000000000000001E-6</v>
      </c>
      <c r="M240" s="15">
        <v>9.3870245400934689E-8</v>
      </c>
      <c r="N240" s="13">
        <v>667916</v>
      </c>
      <c r="O240" s="13">
        <v>988993</v>
      </c>
    </row>
    <row r="241" spans="1:25" ht="31.5">
      <c r="A241" s="21" t="s">
        <v>167</v>
      </c>
      <c r="B241" s="1" t="s">
        <v>21</v>
      </c>
      <c r="C241" s="10" t="s">
        <v>174</v>
      </c>
      <c r="D241" s="1">
        <v>4</v>
      </c>
      <c r="E241" s="1">
        <v>1</v>
      </c>
      <c r="F241" s="2">
        <v>781.70925418683476</v>
      </c>
      <c r="G241" s="3">
        <v>1.5369967355821546E-2</v>
      </c>
      <c r="H241" s="2">
        <v>1.8586779107725791E-2</v>
      </c>
      <c r="I241" s="2">
        <v>1</v>
      </c>
      <c r="J241" s="2">
        <f t="shared" si="6"/>
        <v>1.3173494928204451E-4</v>
      </c>
      <c r="K241" s="2">
        <f t="shared" si="7"/>
        <v>3.1786395422759061E-5</v>
      </c>
      <c r="L241" s="4">
        <v>4.0000000000000001E-8</v>
      </c>
      <c r="M241" s="15">
        <v>1.0605143890184075E-9</v>
      </c>
      <c r="N241" s="13">
        <v>7591</v>
      </c>
      <c r="O241" s="13">
        <v>31460</v>
      </c>
    </row>
    <row r="242" spans="1:25" ht="31.5">
      <c r="A242" s="21" t="s">
        <v>167</v>
      </c>
      <c r="B242" s="1" t="s">
        <v>21</v>
      </c>
      <c r="C242" s="10" t="s">
        <v>175</v>
      </c>
      <c r="D242" s="1">
        <v>4</v>
      </c>
      <c r="E242" s="1">
        <v>1</v>
      </c>
      <c r="F242" s="2">
        <v>1333.5040218481299</v>
      </c>
      <c r="G242" s="3">
        <v>1.9314472252448315E-2</v>
      </c>
      <c r="H242" s="2">
        <v>1.8949945593035908E-2</v>
      </c>
      <c r="I242" s="2">
        <v>1</v>
      </c>
      <c r="J242" s="2">
        <f t="shared" si="6"/>
        <v>1.3173494928204451E-4</v>
      </c>
      <c r="K242" s="2">
        <f t="shared" si="7"/>
        <v>3.1786395422759061E-5</v>
      </c>
      <c r="L242" s="4">
        <v>2.9999999999999997E-8</v>
      </c>
      <c r="M242" s="15">
        <v>1.0831182161646311E-9</v>
      </c>
      <c r="N242" s="13">
        <v>7591</v>
      </c>
      <c r="O242" s="13">
        <v>31460</v>
      </c>
    </row>
    <row r="243" spans="1:25">
      <c r="B243" s="1" t="s">
        <v>51</v>
      </c>
      <c r="C243" s="8" t="s">
        <v>63</v>
      </c>
      <c r="D243" s="1">
        <v>3</v>
      </c>
      <c r="E243" s="1">
        <v>0</v>
      </c>
      <c r="F243" s="2">
        <v>171.67493968200995</v>
      </c>
      <c r="G243" s="3">
        <v>3.9300000000000002E-2</v>
      </c>
      <c r="H243" s="2">
        <v>6.4246309246309252E-2</v>
      </c>
      <c r="I243" s="2">
        <v>3</v>
      </c>
      <c r="J243" s="2">
        <f t="shared" si="6"/>
        <v>1.2622012790306295E-4</v>
      </c>
      <c r="K243" s="2">
        <f t="shared" si="7"/>
        <v>4.516643832522847E-5</v>
      </c>
      <c r="L243" s="4">
        <v>2.9999999999999999E-7</v>
      </c>
      <c r="M243" s="15">
        <v>1.2131274730211157E-8</v>
      </c>
      <c r="N243" s="13">
        <v>23768</v>
      </c>
      <c r="O243" s="13">
        <v>66421</v>
      </c>
    </row>
    <row r="244" spans="1:25">
      <c r="B244" s="1" t="s">
        <v>80</v>
      </c>
      <c r="C244" s="8" t="s">
        <v>97</v>
      </c>
      <c r="D244" s="1">
        <v>4</v>
      </c>
      <c r="E244" s="1">
        <v>0</v>
      </c>
      <c r="F244" s="2">
        <v>102976.00659046443</v>
      </c>
      <c r="G244" s="3">
        <v>8.6911749562351967E-2</v>
      </c>
      <c r="H244" s="2">
        <v>8.6518381217176407E-2</v>
      </c>
      <c r="I244" s="2">
        <v>6</v>
      </c>
      <c r="J244" s="2">
        <f t="shared" si="6"/>
        <v>1.2E-4</v>
      </c>
      <c r="K244" s="2">
        <f t="shared" si="7"/>
        <v>4.9758670448325621E-5</v>
      </c>
      <c r="L244" s="4">
        <v>2.3999999999999998E-7</v>
      </c>
      <c r="M244" s="15">
        <v>5.7681850210281324E-9</v>
      </c>
      <c r="N244" s="13">
        <v>50000</v>
      </c>
      <c r="O244" s="13">
        <v>120582</v>
      </c>
      <c r="P244" s="1">
        <f>STDEVP(F243:F249)</f>
        <v>61194.840367581077</v>
      </c>
      <c r="Q244" s="3">
        <f>STDEVP(G243:G249)</f>
        <v>0.23972295102904911</v>
      </c>
      <c r="R244" s="1">
        <f>STDEVP(H243:H249)</f>
        <v>0.59587593053806376</v>
      </c>
      <c r="S244" s="1">
        <f>STDEVP(I243:I249)</f>
        <v>30.377892068585211</v>
      </c>
      <c r="T244" s="1">
        <f>STDEVP(J243:J249)</f>
        <v>1.4180393770928185E-5</v>
      </c>
      <c r="U244" s="4">
        <f>STDEVP(L243:L249)</f>
        <v>1.0321129506295049E-6</v>
      </c>
      <c r="V244" s="1">
        <f>STDEVP(M243:M249)</f>
        <v>2.6504614759399945E-8</v>
      </c>
      <c r="W244" s="6" t="s">
        <v>16</v>
      </c>
      <c r="X244" s="1" t="s">
        <v>96</v>
      </c>
      <c r="Y244" s="1" t="s">
        <v>13</v>
      </c>
    </row>
    <row r="245" spans="1:25">
      <c r="B245" s="1" t="s">
        <v>127</v>
      </c>
      <c r="C245" s="8" t="s">
        <v>137</v>
      </c>
      <c r="D245" s="1">
        <v>4</v>
      </c>
      <c r="E245" s="1">
        <v>0</v>
      </c>
      <c r="F245" s="2">
        <v>175901.49516270889</v>
      </c>
      <c r="G245" s="3">
        <v>0.70360598065083557</v>
      </c>
      <c r="H245" s="2">
        <v>1.5206437994722957</v>
      </c>
      <c r="I245" s="2">
        <v>63</v>
      </c>
      <c r="J245" s="2">
        <f t="shared" si="6"/>
        <v>1.1145215076114742E-4</v>
      </c>
      <c r="K245" s="2">
        <f t="shared" si="7"/>
        <v>1.1145215076114742E-4</v>
      </c>
      <c r="L245" s="4">
        <v>2.5000000000000002E-6</v>
      </c>
      <c r="M245" s="15">
        <v>6.272614335348345E-8</v>
      </c>
      <c r="N245" s="1">
        <v>565265</v>
      </c>
      <c r="O245" s="13">
        <v>565265</v>
      </c>
      <c r="P245" s="1">
        <f>STDEVP(F244:F251)</f>
        <v>59264.698622413707</v>
      </c>
      <c r="Q245" s="3">
        <f>STDEVP(G244:G251)</f>
        <v>0.22356586054524721</v>
      </c>
      <c r="R245" s="1">
        <f>STDEVP(H244:H251)</f>
        <v>0.71482721375452529</v>
      </c>
      <c r="S245" s="1">
        <f>STDEVP(I244:I251)</f>
        <v>31.013857789704268</v>
      </c>
      <c r="T245" s="1">
        <f>STDEVP(J244:J251)</f>
        <v>1.289442950942519E-5</v>
      </c>
      <c r="U245" s="4">
        <f>STDEVP(L244:L251)</f>
        <v>2.2343405181440915E-6</v>
      </c>
      <c r="V245" s="1">
        <f>STDEVP(M244:M251)</f>
        <v>1.1141586162787215E-7</v>
      </c>
      <c r="W245" s="6" t="s">
        <v>16</v>
      </c>
      <c r="X245" s="1" t="s">
        <v>136</v>
      </c>
      <c r="Y245" s="1" t="s">
        <v>13</v>
      </c>
    </row>
    <row r="246" spans="1:25" ht="47.25">
      <c r="A246" s="21" t="s">
        <v>167</v>
      </c>
      <c r="B246" s="1" t="s">
        <v>113</v>
      </c>
      <c r="C246" s="10" t="s">
        <v>177</v>
      </c>
      <c r="D246" s="1">
        <v>4</v>
      </c>
      <c r="E246" s="1">
        <v>1</v>
      </c>
      <c r="F246" s="2">
        <v>15403.841409970819</v>
      </c>
      <c r="G246" s="3">
        <v>0.34754402224281744</v>
      </c>
      <c r="H246" s="2">
        <v>1.1940507943871044</v>
      </c>
      <c r="I246" s="2">
        <v>70</v>
      </c>
      <c r="J246" s="2">
        <f t="shared" si="6"/>
        <v>1.0480359805724073E-4</v>
      </c>
      <c r="K246" s="2">
        <f t="shared" si="7"/>
        <v>7.077906517032982E-5</v>
      </c>
      <c r="L246" s="4">
        <v>2.3999999999999999E-6</v>
      </c>
      <c r="M246" s="15">
        <v>6.8887935052606613E-8</v>
      </c>
      <c r="N246" s="13">
        <v>667916</v>
      </c>
      <c r="O246" s="13">
        <v>988993</v>
      </c>
    </row>
    <row r="247" spans="1:25" ht="31.5">
      <c r="A247" s="21" t="s">
        <v>167</v>
      </c>
      <c r="B247" s="1" t="s">
        <v>113</v>
      </c>
      <c r="C247" s="10" t="s">
        <v>172</v>
      </c>
      <c r="D247" s="1">
        <v>4</v>
      </c>
      <c r="E247" s="1">
        <v>1</v>
      </c>
      <c r="F247" s="2">
        <v>47334.253195653771</v>
      </c>
      <c r="G247" s="3">
        <v>0.39133456904541242</v>
      </c>
      <c r="H247" s="2">
        <v>0.95583903513858293</v>
      </c>
      <c r="I247" s="2">
        <v>60</v>
      </c>
      <c r="J247" s="2">
        <f t="shared" si="6"/>
        <v>8.9831655477634912E-5</v>
      </c>
      <c r="K247" s="2">
        <f t="shared" si="7"/>
        <v>6.0667770145996991E-5</v>
      </c>
      <c r="L247" s="4">
        <v>1.9999999999999999E-6</v>
      </c>
      <c r="M247" s="15">
        <v>5.7523001748017319E-8</v>
      </c>
      <c r="N247" s="13">
        <v>667916</v>
      </c>
      <c r="O247" s="13">
        <v>988993</v>
      </c>
    </row>
    <row r="248" spans="1:25">
      <c r="B248" s="1" t="s">
        <v>14</v>
      </c>
      <c r="C248" s="8" t="s">
        <v>20</v>
      </c>
      <c r="D248" s="1">
        <v>2</v>
      </c>
      <c r="E248" s="1">
        <v>0</v>
      </c>
      <c r="F248" s="2">
        <v>12954.039069381834</v>
      </c>
      <c r="G248" s="3">
        <v>4.2709466811751903E-2</v>
      </c>
      <c r="H248" s="1">
        <v>4.4028835690968444E-2</v>
      </c>
      <c r="I248" s="2">
        <v>2</v>
      </c>
      <c r="J248" s="2">
        <f t="shared" si="6"/>
        <v>8.9802882672533783E-5</v>
      </c>
      <c r="K248" s="2">
        <f t="shared" si="7"/>
        <v>8.7081464710236426E-5</v>
      </c>
      <c r="L248" s="4">
        <v>1.9999999999999999E-7</v>
      </c>
      <c r="M248" s="1">
        <v>1.1107645988989103E-8</v>
      </c>
      <c r="N248" s="13">
        <v>22271</v>
      </c>
      <c r="O248" s="13">
        <v>22967</v>
      </c>
    </row>
    <row r="249" spans="1:25">
      <c r="B249" s="1" t="s">
        <v>14</v>
      </c>
      <c r="C249" s="8" t="s">
        <v>18</v>
      </c>
      <c r="D249" s="1">
        <v>2</v>
      </c>
      <c r="E249" s="1">
        <v>0</v>
      </c>
      <c r="F249" s="2">
        <v>0.37993424690751948</v>
      </c>
      <c r="G249" s="3">
        <v>1.4961915125136017E-2</v>
      </c>
      <c r="H249" s="1">
        <v>4.2535364526659417E-2</v>
      </c>
      <c r="I249" s="2">
        <v>2</v>
      </c>
      <c r="J249" s="2">
        <f t="shared" si="6"/>
        <v>8.9802882672533783E-5</v>
      </c>
      <c r="K249" s="2">
        <f t="shared" si="7"/>
        <v>8.7081464710236426E-5</v>
      </c>
      <c r="L249" s="4">
        <v>1.9999999999999999E-7</v>
      </c>
      <c r="M249" s="1">
        <v>1.0893516542072755E-8</v>
      </c>
      <c r="N249" s="13">
        <v>22271</v>
      </c>
      <c r="O249" s="13">
        <v>22967</v>
      </c>
      <c r="P249" s="1">
        <f>AVERAGE(F249:F250)</f>
        <v>2178.6373194157818</v>
      </c>
      <c r="Q249" s="14">
        <f>AVERAGE(G249:G250)</f>
        <v>0.13061200417646424</v>
      </c>
      <c r="R249" s="1">
        <f>AVERAGE(H249:H250)</f>
        <v>0.9747065564937607</v>
      </c>
      <c r="S249" s="1">
        <f>AVERAGE(I249:I250)</f>
        <v>34.5</v>
      </c>
      <c r="T249" s="1">
        <f>AVERAGE(J249:J250)</f>
        <v>8.67764413362669E-5</v>
      </c>
      <c r="U249" s="1">
        <f>AVERAGE(L249:L250)</f>
        <v>3.5999999999999998E-6</v>
      </c>
      <c r="V249" s="1">
        <f>AVERAGE(M249:M250)</f>
        <v>1.8597678005497079E-7</v>
      </c>
      <c r="W249" s="6" t="s">
        <v>11</v>
      </c>
      <c r="X249" s="1" t="s">
        <v>19</v>
      </c>
      <c r="Y249" s="1" t="s">
        <v>13</v>
      </c>
    </row>
    <row r="250" spans="1:25">
      <c r="B250" s="1" t="s">
        <v>122</v>
      </c>
      <c r="C250" s="8" t="s">
        <v>49</v>
      </c>
      <c r="D250" s="1">
        <v>2</v>
      </c>
      <c r="E250" s="1">
        <v>0</v>
      </c>
      <c r="F250" s="2">
        <v>4356.8947045846562</v>
      </c>
      <c r="G250" s="3">
        <v>0.24626209322779244</v>
      </c>
      <c r="H250" s="2">
        <v>1.9068777484608619</v>
      </c>
      <c r="I250" s="2">
        <v>67</v>
      </c>
      <c r="J250" s="2">
        <f t="shared" si="6"/>
        <v>8.3750000000000003E-5</v>
      </c>
      <c r="K250" s="2">
        <f t="shared" si="7"/>
        <v>7.3685475855854056E-6</v>
      </c>
      <c r="L250" s="4">
        <v>6.9999999999999999E-6</v>
      </c>
      <c r="M250" s="15">
        <v>3.6106004356786881E-7</v>
      </c>
      <c r="N250" s="13">
        <v>800000</v>
      </c>
      <c r="O250" s="13">
        <v>9092701</v>
      </c>
    </row>
    <row r="251" spans="1:25">
      <c r="B251" s="1" t="s">
        <v>113</v>
      </c>
      <c r="C251" s="8" t="s">
        <v>89</v>
      </c>
      <c r="D251" s="1">
        <v>3</v>
      </c>
      <c r="E251" s="1">
        <v>0</v>
      </c>
      <c r="F251" s="17">
        <v>89.138293873444837</v>
      </c>
      <c r="G251" s="3">
        <v>4.6039661370752639E-2</v>
      </c>
      <c r="H251" s="17">
        <v>5.603734199234605E-2</v>
      </c>
      <c r="I251" s="2">
        <v>3</v>
      </c>
      <c r="J251" s="2">
        <f t="shared" si="6"/>
        <v>8.2765470245813451E-5</v>
      </c>
      <c r="K251" s="2">
        <f t="shared" si="7"/>
        <v>4.9965024482862E-5</v>
      </c>
      <c r="L251" s="4" t="s">
        <v>117</v>
      </c>
      <c r="M251" s="15">
        <v>1.1654099335356879E-8</v>
      </c>
      <c r="N251" s="13">
        <v>36247</v>
      </c>
      <c r="O251" s="13">
        <v>60042</v>
      </c>
    </row>
    <row r="252" spans="1:25">
      <c r="B252" s="1" t="s">
        <v>80</v>
      </c>
      <c r="C252" s="8" t="s">
        <v>98</v>
      </c>
      <c r="D252" s="1">
        <v>4</v>
      </c>
      <c r="E252" s="1">
        <v>0</v>
      </c>
      <c r="F252" s="2">
        <v>51488.003295232214</v>
      </c>
      <c r="G252" s="3">
        <v>5.4165379466584285E-2</v>
      </c>
      <c r="H252" s="2">
        <v>5.4906806714035632E-2</v>
      </c>
      <c r="I252" s="2">
        <v>4</v>
      </c>
      <c r="J252" s="2">
        <f t="shared" si="6"/>
        <v>8.0000000000000007E-5</v>
      </c>
      <c r="K252" s="2">
        <f t="shared" si="7"/>
        <v>3.3172446965550414E-5</v>
      </c>
      <c r="L252" s="4">
        <v>1.6E-7</v>
      </c>
      <c r="M252" s="15">
        <v>3.8140587065472991E-9</v>
      </c>
      <c r="N252" s="13">
        <v>50000</v>
      </c>
      <c r="O252" s="13">
        <v>120582</v>
      </c>
    </row>
    <row r="253" spans="1:25">
      <c r="B253" s="1" t="s">
        <v>127</v>
      </c>
      <c r="C253" s="8" t="s">
        <v>66</v>
      </c>
      <c r="D253" s="1">
        <v>3</v>
      </c>
      <c r="E253" s="1">
        <v>0</v>
      </c>
      <c r="F253" s="2">
        <v>105540.89709762533</v>
      </c>
      <c r="G253" s="3">
        <v>0.12172383465259455</v>
      </c>
      <c r="H253" s="2">
        <v>0.42791556728232194</v>
      </c>
      <c r="I253" s="2">
        <v>15</v>
      </c>
      <c r="J253" s="2">
        <f t="shared" si="6"/>
        <v>7.1581278155302737E-5</v>
      </c>
      <c r="K253" s="2">
        <f t="shared" si="7"/>
        <v>7.1581278155302737E-5</v>
      </c>
      <c r="L253" s="4">
        <v>9.9999999999999995E-7</v>
      </c>
      <c r="M253" s="15">
        <v>3.9462851522665018E-8</v>
      </c>
      <c r="N253" s="13">
        <v>209552</v>
      </c>
      <c r="O253" s="13">
        <v>209552</v>
      </c>
    </row>
    <row r="254" spans="1:25">
      <c r="B254" s="1" t="s">
        <v>122</v>
      </c>
      <c r="C254" s="8" t="s">
        <v>125</v>
      </c>
      <c r="D254" s="1">
        <v>2</v>
      </c>
      <c r="E254" s="1">
        <v>0</v>
      </c>
      <c r="F254" s="2">
        <v>438.08210880737562</v>
      </c>
      <c r="G254" s="3">
        <v>0.17590149516270889</v>
      </c>
      <c r="H254" s="2">
        <v>1.5998100263852242</v>
      </c>
      <c r="I254" s="2">
        <v>57</v>
      </c>
      <c r="J254" s="2">
        <f t="shared" si="6"/>
        <v>7.1249999999999997E-5</v>
      </c>
      <c r="K254" s="2">
        <f t="shared" si="7"/>
        <v>6.2687643638562406E-6</v>
      </c>
      <c r="L254" s="4">
        <v>6.0000000000000002E-6</v>
      </c>
      <c r="M254" s="15">
        <v>3.093404740429791E-7</v>
      </c>
      <c r="N254" s="13">
        <v>800000</v>
      </c>
      <c r="O254" s="13">
        <v>9092701</v>
      </c>
    </row>
    <row r="255" spans="1:25">
      <c r="B255" s="1" t="s">
        <v>122</v>
      </c>
      <c r="C255" s="8" t="s">
        <v>50</v>
      </c>
      <c r="D255" s="1">
        <v>2</v>
      </c>
      <c r="E255" s="1">
        <v>0</v>
      </c>
      <c r="F255" s="2">
        <v>31257.756980132937</v>
      </c>
      <c r="G255" s="3">
        <v>0.52770448548812665</v>
      </c>
      <c r="H255" s="2">
        <v>1.4548232189973616</v>
      </c>
      <c r="I255" s="2">
        <v>51</v>
      </c>
      <c r="J255" s="2">
        <f t="shared" si="6"/>
        <v>6.3750000000000005E-5</v>
      </c>
      <c r="K255" s="2">
        <f t="shared" si="7"/>
        <v>5.6088944308187413E-6</v>
      </c>
      <c r="L255" s="4">
        <v>5.0000000000000004E-6</v>
      </c>
      <c r="M255" s="15">
        <v>2.7820755669185088E-7</v>
      </c>
      <c r="N255" s="13">
        <v>800000</v>
      </c>
      <c r="O255" s="13">
        <v>9092701</v>
      </c>
    </row>
    <row r="256" spans="1:25">
      <c r="B256" s="1" t="s">
        <v>99</v>
      </c>
      <c r="C256" s="8" t="s">
        <v>112</v>
      </c>
      <c r="D256" s="1">
        <v>2</v>
      </c>
      <c r="E256" s="1">
        <v>0</v>
      </c>
      <c r="F256" s="2">
        <v>8.691118094437698</v>
      </c>
      <c r="G256" s="3">
        <v>0.69581352197611035</v>
      </c>
      <c r="H256" s="2">
        <v>1.0445552591905369</v>
      </c>
      <c r="I256" s="2">
        <v>60</v>
      </c>
      <c r="J256" s="2">
        <f t="shared" si="6"/>
        <v>6.0000000000000002E-5</v>
      </c>
      <c r="K256" s="2">
        <f t="shared" si="7"/>
        <v>5.6121394317334685E-5</v>
      </c>
      <c r="L256" s="4">
        <v>5.0000000000000004E-6</v>
      </c>
      <c r="M256" s="15">
        <v>2.8640630591963217E-7</v>
      </c>
      <c r="N256" s="13">
        <v>1000000</v>
      </c>
      <c r="O256" s="13">
        <v>1069111</v>
      </c>
    </row>
    <row r="257" spans="1:25">
      <c r="B257" s="1" t="s">
        <v>113</v>
      </c>
      <c r="C257" s="8" t="s">
        <v>63</v>
      </c>
      <c r="D257" s="1">
        <v>3</v>
      </c>
      <c r="E257" s="1">
        <v>0</v>
      </c>
      <c r="F257" s="2">
        <v>102.4913127082207</v>
      </c>
      <c r="G257" s="3">
        <v>4.9402760060303835E-2</v>
      </c>
      <c r="H257" s="2">
        <v>3.8355560709729793E-2</v>
      </c>
      <c r="I257" s="2">
        <v>2</v>
      </c>
      <c r="J257" s="2">
        <f t="shared" si="6"/>
        <v>5.5176980163875629E-5</v>
      </c>
      <c r="K257" s="2">
        <f t="shared" si="7"/>
        <v>3.3310016321907995E-5</v>
      </c>
      <c r="L257" s="4">
        <v>1.9999999999999999E-7</v>
      </c>
      <c r="M257" s="15">
        <v>8.0875164868074378E-9</v>
      </c>
      <c r="N257" s="13">
        <v>36247</v>
      </c>
      <c r="O257" s="13">
        <v>60042</v>
      </c>
    </row>
    <row r="258" spans="1:25">
      <c r="B258" s="1" t="s">
        <v>113</v>
      </c>
      <c r="C258" s="8" t="s">
        <v>93</v>
      </c>
      <c r="D258" s="1">
        <v>3</v>
      </c>
      <c r="E258" s="1">
        <v>0</v>
      </c>
      <c r="F258" s="2">
        <v>34.345896736073371</v>
      </c>
      <c r="G258" s="3">
        <v>3.0615794966948856E-2</v>
      </c>
      <c r="H258" s="2">
        <v>3.8311492520004639E-2</v>
      </c>
      <c r="I258" s="2">
        <v>2</v>
      </c>
      <c r="J258" s="2">
        <f t="shared" ref="J258:J321" si="8">I258/N258</f>
        <v>5.5176980163875629E-5</v>
      </c>
      <c r="K258" s="2">
        <f t="shared" ref="K258:K321" si="9">I258/O258</f>
        <v>3.3310016321907995E-5</v>
      </c>
      <c r="L258" s="4">
        <v>1.9999999999999999E-7</v>
      </c>
      <c r="M258" s="15">
        <v>6.9318021541556217E-9</v>
      </c>
      <c r="N258" s="13">
        <v>36247</v>
      </c>
      <c r="O258" s="13">
        <v>60042</v>
      </c>
    </row>
    <row r="259" spans="1:25">
      <c r="B259" s="1" t="s">
        <v>113</v>
      </c>
      <c r="C259" s="8" t="s">
        <v>86</v>
      </c>
      <c r="D259" s="1">
        <v>3</v>
      </c>
      <c r="E259" s="1">
        <v>0</v>
      </c>
      <c r="F259" s="17">
        <v>59.047311776655668</v>
      </c>
      <c r="G259" s="3">
        <v>2.7368665197727009E-2</v>
      </c>
      <c r="H259" s="17">
        <v>3.9420155398353245E-2</v>
      </c>
      <c r="I259" s="2">
        <v>2</v>
      </c>
      <c r="J259" s="2">
        <f t="shared" si="8"/>
        <v>5.5176980163875629E-5</v>
      </c>
      <c r="K259" s="2">
        <f t="shared" si="9"/>
        <v>3.3310016321907995E-5</v>
      </c>
      <c r="L259" s="4" t="s">
        <v>82</v>
      </c>
      <c r="M259" s="15">
        <v>8.7019210607697125E-9</v>
      </c>
      <c r="N259" s="13">
        <v>36247</v>
      </c>
      <c r="O259" s="13">
        <v>60042</v>
      </c>
    </row>
    <row r="260" spans="1:25">
      <c r="B260" s="1" t="s">
        <v>122</v>
      </c>
      <c r="C260" s="8" t="s">
        <v>111</v>
      </c>
      <c r="D260" s="1">
        <v>2</v>
      </c>
      <c r="E260" s="1">
        <v>0</v>
      </c>
      <c r="F260" s="2">
        <v>114.01999394753368</v>
      </c>
      <c r="G260" s="3">
        <v>0.15831134564643801</v>
      </c>
      <c r="H260" s="2">
        <v>1.140193491644679</v>
      </c>
      <c r="I260" s="2">
        <v>40</v>
      </c>
      <c r="J260" s="2">
        <f t="shared" si="8"/>
        <v>5.0000000000000002E-5</v>
      </c>
      <c r="K260" s="2">
        <f t="shared" si="9"/>
        <v>4.3991328869166599E-6</v>
      </c>
      <c r="L260" s="4">
        <v>3.9999999999999998E-6</v>
      </c>
      <c r="M260" s="15">
        <v>2.1106691468680753E-7</v>
      </c>
      <c r="N260" s="13">
        <v>800000</v>
      </c>
      <c r="O260" s="13">
        <v>9092701</v>
      </c>
    </row>
    <row r="261" spans="1:25">
      <c r="B261" s="1" t="s">
        <v>127</v>
      </c>
      <c r="C261" s="8" t="s">
        <v>36</v>
      </c>
      <c r="D261" s="1">
        <v>4</v>
      </c>
      <c r="E261" s="1">
        <v>0</v>
      </c>
      <c r="F261" s="2">
        <v>169386.62497149745</v>
      </c>
      <c r="G261" s="3">
        <v>0.35180299032541779</v>
      </c>
      <c r="H261" s="2">
        <v>0.62775021987686896</v>
      </c>
      <c r="I261" s="2">
        <v>26</v>
      </c>
      <c r="J261" s="2">
        <f t="shared" si="8"/>
        <v>4.5996125710949732E-5</v>
      </c>
      <c r="K261" s="2">
        <f t="shared" si="9"/>
        <v>4.5996125710949732E-5</v>
      </c>
      <c r="L261" s="4">
        <v>1.1000000000000001E-6</v>
      </c>
      <c r="M261" s="15">
        <v>2.5976425103811071E-8</v>
      </c>
      <c r="N261" s="1">
        <v>565265</v>
      </c>
      <c r="O261" s="13">
        <v>565265</v>
      </c>
    </row>
    <row r="262" spans="1:25">
      <c r="B262" s="1" t="s">
        <v>127</v>
      </c>
      <c r="C262" s="8" t="s">
        <v>86</v>
      </c>
      <c r="D262" s="1">
        <v>3</v>
      </c>
      <c r="E262" s="1">
        <v>0</v>
      </c>
      <c r="F262" s="17">
        <v>403.03295734836558</v>
      </c>
      <c r="G262" s="3">
        <v>0.13157431838170625</v>
      </c>
      <c r="H262" s="17">
        <v>0.26906596306068603</v>
      </c>
      <c r="I262" s="2">
        <v>9</v>
      </c>
      <c r="J262" s="2">
        <f t="shared" si="8"/>
        <v>4.2948766893181645E-5</v>
      </c>
      <c r="K262" s="2">
        <f t="shared" si="9"/>
        <v>4.2948766893181645E-5</v>
      </c>
      <c r="L262" s="4" t="s">
        <v>133</v>
      </c>
      <c r="M262" s="15">
        <v>3.480768424307885E-8</v>
      </c>
      <c r="N262" s="13">
        <v>209552</v>
      </c>
      <c r="O262" s="13">
        <v>209552</v>
      </c>
    </row>
    <row r="263" spans="1:25">
      <c r="B263" s="1" t="s">
        <v>122</v>
      </c>
      <c r="C263" s="8" t="s">
        <v>41</v>
      </c>
      <c r="D263" s="1">
        <v>2</v>
      </c>
      <c r="E263" s="1">
        <v>0</v>
      </c>
      <c r="F263" s="2">
        <v>86.435582661754282</v>
      </c>
      <c r="G263" s="3">
        <v>0.17590149516270889</v>
      </c>
      <c r="H263" s="2">
        <v>0.95367458223394908</v>
      </c>
      <c r="I263" s="2">
        <v>34</v>
      </c>
      <c r="J263" s="2">
        <f t="shared" si="8"/>
        <v>4.2500000000000003E-5</v>
      </c>
      <c r="K263" s="2">
        <f t="shared" si="9"/>
        <v>3.739262953879161E-6</v>
      </c>
      <c r="L263" s="4">
        <v>3.0000000000000001E-6</v>
      </c>
      <c r="M263" s="15">
        <v>1.615003061053235E-7</v>
      </c>
      <c r="N263" s="13">
        <v>800000</v>
      </c>
      <c r="O263" s="13">
        <v>9092701</v>
      </c>
    </row>
    <row r="264" spans="1:25" ht="31.5">
      <c r="A264" s="21" t="s">
        <v>167</v>
      </c>
      <c r="B264" s="1" t="s">
        <v>51</v>
      </c>
      <c r="C264" s="10" t="s">
        <v>175</v>
      </c>
      <c r="D264" s="1">
        <v>4</v>
      </c>
      <c r="E264" s="1">
        <v>1</v>
      </c>
      <c r="F264" s="2">
        <v>1269.6091127463676</v>
      </c>
      <c r="G264" s="3">
        <v>1.6400000000000001E-2</v>
      </c>
      <c r="H264" s="2">
        <v>1.8041958041958042E-2</v>
      </c>
      <c r="I264" s="2">
        <v>1</v>
      </c>
      <c r="J264" s="2">
        <f t="shared" si="8"/>
        <v>4.2073375967687648E-5</v>
      </c>
      <c r="K264" s="2">
        <f t="shared" si="9"/>
        <v>9.0017103249617422E-5</v>
      </c>
      <c r="L264" s="4">
        <v>2.9999999999999997E-8</v>
      </c>
      <c r="M264" s="15">
        <v>1.0831182161646311E-9</v>
      </c>
      <c r="N264" s="13">
        <v>23768</v>
      </c>
      <c r="O264" s="13">
        <v>11109</v>
      </c>
    </row>
    <row r="265" spans="1:25">
      <c r="B265" s="1" t="s">
        <v>127</v>
      </c>
      <c r="C265" s="8" t="s">
        <v>54</v>
      </c>
      <c r="D265" s="1">
        <v>3</v>
      </c>
      <c r="E265" s="1">
        <v>0</v>
      </c>
      <c r="F265" s="17">
        <v>4078.8752501497711</v>
      </c>
      <c r="G265" s="3">
        <v>0.17660510114335973</v>
      </c>
      <c r="H265" s="17">
        <v>0.23313280562884783</v>
      </c>
      <c r="I265" s="2">
        <v>8</v>
      </c>
      <c r="J265" s="2">
        <f t="shared" si="8"/>
        <v>3.8176681682828127E-5</v>
      </c>
      <c r="K265" s="2">
        <f t="shared" si="9"/>
        <v>3.8176681682828127E-5</v>
      </c>
      <c r="L265" s="4" t="s">
        <v>129</v>
      </c>
      <c r="M265" s="15">
        <v>4.0319723065494699E-8</v>
      </c>
      <c r="N265" s="13">
        <v>209552</v>
      </c>
      <c r="O265" s="13">
        <v>209552</v>
      </c>
      <c r="P265" s="1">
        <f>STDEVP(F264:F284)</f>
        <v>52668.261490396355</v>
      </c>
      <c r="Q265" s="3">
        <f>STDEVP(G264:G284)</f>
        <v>0.10826023868908702</v>
      </c>
      <c r="R265" s="1">
        <f>STDEVP(H264:H284)</f>
        <v>0.25789911330265125</v>
      </c>
      <c r="S265" s="1">
        <f>STDEVP(I264:I284)</f>
        <v>10.358429038912949</v>
      </c>
      <c r="T265" s="1">
        <f>STDEVP(J264:J284)</f>
        <v>5.2060808354701906E-6</v>
      </c>
      <c r="U265" s="4">
        <f>STDEVP(L264:L284)</f>
        <v>9.1326252682707528E-7</v>
      </c>
      <c r="V265" s="1">
        <f>STDEVP(M264:M284)</f>
        <v>4.5733190153078095E-8</v>
      </c>
      <c r="W265" s="6" t="s">
        <v>16</v>
      </c>
      <c r="X265" s="1" t="s">
        <v>128</v>
      </c>
      <c r="Y265" s="1" t="s">
        <v>13</v>
      </c>
    </row>
    <row r="266" spans="1:25">
      <c r="B266" s="1" t="s">
        <v>127</v>
      </c>
      <c r="C266" s="8" t="s">
        <v>135</v>
      </c>
      <c r="D266" s="1">
        <v>3</v>
      </c>
      <c r="E266" s="1">
        <v>0</v>
      </c>
      <c r="F266" s="2">
        <v>39.796718362603819</v>
      </c>
      <c r="G266" s="3">
        <v>0.13649956024626209</v>
      </c>
      <c r="H266" s="2">
        <v>0.23846613896218119</v>
      </c>
      <c r="I266" s="2">
        <v>8</v>
      </c>
      <c r="J266" s="2">
        <f t="shared" si="8"/>
        <v>3.8176681682828127E-5</v>
      </c>
      <c r="K266" s="2">
        <f t="shared" si="9"/>
        <v>3.8176681682828127E-5</v>
      </c>
      <c r="L266" s="4">
        <v>6.9999999999999997E-7</v>
      </c>
      <c r="M266" s="15">
        <v>3.1933446121909689E-8</v>
      </c>
      <c r="N266" s="13">
        <v>209552</v>
      </c>
      <c r="O266" s="13">
        <v>209552</v>
      </c>
    </row>
    <row r="267" spans="1:25">
      <c r="B267" s="1" t="s">
        <v>122</v>
      </c>
      <c r="C267" s="8" t="s">
        <v>47</v>
      </c>
      <c r="D267" s="1">
        <v>2</v>
      </c>
      <c r="E267" s="1">
        <v>0</v>
      </c>
      <c r="F267" s="2">
        <v>25370.407956159936</v>
      </c>
      <c r="G267" s="3">
        <v>0.35180299032541779</v>
      </c>
      <c r="H267" s="2">
        <v>0.85693931398416878</v>
      </c>
      <c r="I267" s="2">
        <v>30</v>
      </c>
      <c r="J267" s="2">
        <f t="shared" si="8"/>
        <v>3.7499999999999997E-5</v>
      </c>
      <c r="K267" s="2">
        <f t="shared" si="9"/>
        <v>3.2993496651874949E-6</v>
      </c>
      <c r="L267" s="4">
        <v>3.0000000000000001E-6</v>
      </c>
      <c r="M267" s="15">
        <v>1.4939444637972084E-7</v>
      </c>
      <c r="N267" s="13">
        <v>800000</v>
      </c>
      <c r="O267" s="13">
        <v>9092701</v>
      </c>
    </row>
    <row r="268" spans="1:25">
      <c r="B268" s="1" t="s">
        <v>127</v>
      </c>
      <c r="C268" s="8" t="s">
        <v>95</v>
      </c>
      <c r="D268" s="1">
        <v>4</v>
      </c>
      <c r="E268" s="1">
        <v>0</v>
      </c>
      <c r="F268" s="2">
        <v>105540.89709762533</v>
      </c>
      <c r="G268" s="3">
        <v>0.22673702726473174</v>
      </c>
      <c r="H268" s="2">
        <v>0.52324538258575204</v>
      </c>
      <c r="I268" s="2">
        <v>21</v>
      </c>
      <c r="J268" s="2">
        <f t="shared" si="8"/>
        <v>3.7150716920382477E-5</v>
      </c>
      <c r="K268" s="2">
        <f t="shared" si="9"/>
        <v>3.7150716920382477E-5</v>
      </c>
      <c r="L268" s="4">
        <v>6.9999999999999997E-7</v>
      </c>
      <c r="M268" s="15">
        <v>1.9392550353411784E-8</v>
      </c>
      <c r="N268" s="1">
        <v>565265</v>
      </c>
      <c r="O268" s="13">
        <v>565265</v>
      </c>
    </row>
    <row r="269" spans="1:25">
      <c r="B269" s="1" t="s">
        <v>99</v>
      </c>
      <c r="C269" s="8" t="s">
        <v>50</v>
      </c>
      <c r="D269" s="1">
        <v>2</v>
      </c>
      <c r="E269" s="1">
        <v>0</v>
      </c>
      <c r="F269" s="2">
        <v>14950.6970459443</v>
      </c>
      <c r="G269" s="3">
        <v>0.34790676098805517</v>
      </c>
      <c r="H269" s="2">
        <v>0.69584715296300592</v>
      </c>
      <c r="I269" s="2">
        <v>37</v>
      </c>
      <c r="J269" s="2">
        <f t="shared" si="8"/>
        <v>3.6999999999999998E-5</v>
      </c>
      <c r="K269" s="2">
        <f t="shared" si="9"/>
        <v>3.4608193162356388E-5</v>
      </c>
      <c r="L269" s="4">
        <v>3.0000000000000001E-6</v>
      </c>
      <c r="M269" s="15">
        <v>1.6692453401511051E-7</v>
      </c>
      <c r="N269" s="13">
        <v>1000000</v>
      </c>
      <c r="O269" s="13">
        <v>1069111</v>
      </c>
    </row>
    <row r="270" spans="1:25">
      <c r="B270" s="1" t="s">
        <v>99</v>
      </c>
      <c r="C270" s="8" t="s">
        <v>103</v>
      </c>
      <c r="D270" s="1">
        <v>1</v>
      </c>
      <c r="E270" s="1">
        <v>0</v>
      </c>
      <c r="F270" s="2">
        <v>12537.180576146133</v>
      </c>
      <c r="G270" s="3">
        <v>1.7600000000000001E-2</v>
      </c>
      <c r="H270" s="1">
        <v>5.8160732923576479E-2</v>
      </c>
      <c r="I270" s="2">
        <v>8</v>
      </c>
      <c r="J270" s="2">
        <f t="shared" si="8"/>
        <v>3.4658591214913593E-5</v>
      </c>
      <c r="K270" s="2">
        <f t="shared" si="9"/>
        <v>2.6946823811560861E-5</v>
      </c>
      <c r="L270" s="4">
        <v>9.9999999999999995E-7</v>
      </c>
      <c r="M270" s="1">
        <v>4.1048705960729235E-8</v>
      </c>
      <c r="N270" s="13">
        <v>230823</v>
      </c>
      <c r="O270" s="13">
        <v>296881</v>
      </c>
    </row>
    <row r="271" spans="1:25">
      <c r="B271" s="1" t="s">
        <v>127</v>
      </c>
      <c r="C271" s="8" t="s">
        <v>27</v>
      </c>
      <c r="D271" s="1">
        <v>4</v>
      </c>
      <c r="E271" s="1">
        <v>0</v>
      </c>
      <c r="F271" s="2">
        <v>167106.42040457344</v>
      </c>
      <c r="G271" s="3">
        <v>0.26385224274406333</v>
      </c>
      <c r="H271" s="2">
        <v>0.46605980650835527</v>
      </c>
      <c r="I271" s="2">
        <v>19</v>
      </c>
      <c r="J271" s="2">
        <f t="shared" si="8"/>
        <v>3.3612553404155573E-5</v>
      </c>
      <c r="K271" s="2">
        <f t="shared" si="9"/>
        <v>3.3612553404155573E-5</v>
      </c>
      <c r="L271" s="4">
        <v>6.9999999999999997E-7</v>
      </c>
      <c r="M271" s="15">
        <v>1.8581062004768686E-8</v>
      </c>
      <c r="N271" s="1">
        <v>565265</v>
      </c>
      <c r="O271" s="13">
        <v>565265</v>
      </c>
    </row>
    <row r="272" spans="1:25">
      <c r="B272" s="1" t="s">
        <v>127</v>
      </c>
      <c r="C272" s="8" t="s">
        <v>93</v>
      </c>
      <c r="D272" s="1">
        <v>3</v>
      </c>
      <c r="E272" s="1">
        <v>0</v>
      </c>
      <c r="F272" s="2">
        <v>182.33532743061784</v>
      </c>
      <c r="G272" s="3">
        <v>9.006156552330695E-2</v>
      </c>
      <c r="H272" s="2">
        <v>0.20338786279683377</v>
      </c>
      <c r="I272" s="2">
        <v>7</v>
      </c>
      <c r="J272" s="2">
        <f t="shared" si="8"/>
        <v>3.340459647247461E-5</v>
      </c>
      <c r="K272" s="2">
        <f t="shared" si="9"/>
        <v>3.340459647247461E-5</v>
      </c>
      <c r="L272" s="4">
        <v>7.9999999999999996E-7</v>
      </c>
      <c r="M272" s="15">
        <v>2.7727208616622487E-8</v>
      </c>
      <c r="N272" s="13">
        <v>209552</v>
      </c>
      <c r="O272" s="13">
        <v>209552</v>
      </c>
    </row>
    <row r="273" spans="2:25">
      <c r="B273" s="1" t="s">
        <v>122</v>
      </c>
      <c r="C273" s="8" t="s">
        <v>126</v>
      </c>
      <c r="D273" s="1">
        <v>2</v>
      </c>
      <c r="E273" s="1">
        <v>0</v>
      </c>
      <c r="F273" s="2">
        <v>175901.49516270889</v>
      </c>
      <c r="G273" s="3">
        <v>0.22867194371152155</v>
      </c>
      <c r="H273" s="2">
        <v>0.73582058047493393</v>
      </c>
      <c r="I273" s="2">
        <v>26</v>
      </c>
      <c r="J273" s="2">
        <f t="shared" si="8"/>
        <v>3.2499999999999997E-5</v>
      </c>
      <c r="K273" s="2">
        <f t="shared" si="9"/>
        <v>2.8594363764958289E-6</v>
      </c>
      <c r="L273" s="4">
        <v>1.9999999999999999E-6</v>
      </c>
      <c r="M273" s="15">
        <v>1.0743091422680921E-7</v>
      </c>
      <c r="N273" s="13">
        <v>800000</v>
      </c>
      <c r="O273" s="13">
        <v>9092701</v>
      </c>
    </row>
    <row r="274" spans="2:25">
      <c r="B274" s="1" t="s">
        <v>26</v>
      </c>
      <c r="C274" s="8" t="s">
        <v>18</v>
      </c>
      <c r="D274" s="1">
        <v>2</v>
      </c>
      <c r="E274" s="1">
        <v>0</v>
      </c>
      <c r="F274" s="2">
        <v>0.36172967926237803</v>
      </c>
      <c r="G274" s="3">
        <v>3.8600000000000002E-2</v>
      </c>
      <c r="H274" s="1">
        <v>4.0497280497280498E-2</v>
      </c>
      <c r="I274" s="2">
        <v>2</v>
      </c>
      <c r="J274" s="2">
        <f t="shared" si="8"/>
        <v>3.2439095598014726E-5</v>
      </c>
      <c r="K274" s="2">
        <f t="shared" si="9"/>
        <v>2.4049734851673259E-5</v>
      </c>
      <c r="L274" s="4">
        <v>1.9999999999999999E-7</v>
      </c>
      <c r="M274" s="1">
        <v>1.0893516542072755E-8</v>
      </c>
      <c r="N274" s="13">
        <v>61654</v>
      </c>
      <c r="O274" s="13">
        <v>83161</v>
      </c>
    </row>
    <row r="275" spans="2:25">
      <c r="B275" s="1" t="s">
        <v>99</v>
      </c>
      <c r="C275" s="8" t="s">
        <v>108</v>
      </c>
      <c r="D275" s="1">
        <v>1</v>
      </c>
      <c r="E275" s="1">
        <v>0</v>
      </c>
      <c r="F275" s="2">
        <v>25.471680022135619</v>
      </c>
      <c r="G275" s="3">
        <v>2.3E-2</v>
      </c>
      <c r="H275" s="1">
        <v>4.9177780354864899E-2</v>
      </c>
      <c r="I275" s="2">
        <v>7</v>
      </c>
      <c r="J275" s="2">
        <f t="shared" si="8"/>
        <v>3.0326267313049392E-5</v>
      </c>
      <c r="K275" s="2">
        <f t="shared" si="9"/>
        <v>2.3578470835115752E-5</v>
      </c>
      <c r="L275" s="4">
        <v>9.9999999999999995E-7</v>
      </c>
      <c r="M275" s="1">
        <v>2.3431945076424683E-8</v>
      </c>
      <c r="N275" s="13">
        <v>230823</v>
      </c>
      <c r="O275" s="13">
        <v>296881</v>
      </c>
    </row>
    <row r="276" spans="2:25">
      <c r="B276" s="1" t="s">
        <v>120</v>
      </c>
      <c r="C276" s="8" t="s">
        <v>77</v>
      </c>
      <c r="D276" s="1">
        <v>2</v>
      </c>
      <c r="E276" s="1">
        <v>0</v>
      </c>
      <c r="F276" s="2">
        <v>38.3393127325471</v>
      </c>
      <c r="G276" s="3">
        <v>2.9237023139462165E-2</v>
      </c>
      <c r="H276" s="1">
        <v>2.5522201375859914E-2</v>
      </c>
      <c r="I276" s="2">
        <v>1</v>
      </c>
      <c r="J276" s="2">
        <f t="shared" si="8"/>
        <v>2.9153668989242296E-5</v>
      </c>
      <c r="K276" s="2">
        <f t="shared" si="9"/>
        <v>2.8094622689217283E-5</v>
      </c>
      <c r="L276" s="4">
        <v>9.9999999999999995E-8</v>
      </c>
      <c r="M276" s="1">
        <v>5.1327553236588678E-9</v>
      </c>
      <c r="N276" s="13">
        <v>34301</v>
      </c>
      <c r="O276" s="13">
        <v>35594</v>
      </c>
      <c r="P276" s="2">
        <v>38.3393127325471</v>
      </c>
      <c r="Q276" s="3">
        <v>2.9237023139462165E-2</v>
      </c>
      <c r="R276" s="1">
        <v>2.5522201375859914E-2</v>
      </c>
      <c r="S276" s="2">
        <v>1</v>
      </c>
      <c r="T276" s="2">
        <v>2.9153668989242296E-5</v>
      </c>
      <c r="U276" s="4">
        <v>9.9999999999999995E-8</v>
      </c>
      <c r="V276" s="1">
        <v>5.1327553236588678E-9</v>
      </c>
      <c r="W276" s="6" t="s">
        <v>11</v>
      </c>
      <c r="X276" s="1" t="s">
        <v>121</v>
      </c>
      <c r="Y276" s="1" t="s">
        <v>13</v>
      </c>
    </row>
    <row r="277" spans="2:25">
      <c r="B277" s="1" t="s">
        <v>127</v>
      </c>
      <c r="C277" s="8" t="s">
        <v>52</v>
      </c>
      <c r="D277" s="1">
        <v>3</v>
      </c>
      <c r="E277" s="1">
        <v>0</v>
      </c>
      <c r="F277" s="17">
        <v>7179.6528637840356</v>
      </c>
      <c r="G277" s="3">
        <v>9.0589270008795075E-2</v>
      </c>
      <c r="H277" s="17">
        <v>0.17223218997361478</v>
      </c>
      <c r="I277" s="2">
        <v>6</v>
      </c>
      <c r="J277" s="2">
        <f t="shared" si="8"/>
        <v>2.8632511262121096E-5</v>
      </c>
      <c r="K277" s="2">
        <f t="shared" si="9"/>
        <v>2.8632511262121096E-5</v>
      </c>
      <c r="L277" s="4" t="s">
        <v>90</v>
      </c>
      <c r="M277" s="15">
        <v>2.3679641508073601E-8</v>
      </c>
      <c r="N277" s="13">
        <v>209552</v>
      </c>
      <c r="O277" s="13">
        <v>209552</v>
      </c>
      <c r="P277" s="18">
        <f>AVERAGE(F277:F297)</f>
        <v>8950.4382700438819</v>
      </c>
      <c r="Q277" s="3">
        <f>AVERAGE(G277:G297)</f>
        <v>5.3451541023945816E-2</v>
      </c>
      <c r="R277" s="18">
        <f>AVERAGE(H277:H297)</f>
        <v>9.8779513919393255E-2</v>
      </c>
      <c r="S277" s="18">
        <f>AVERAGE(I277:I297)</f>
        <v>4.9523809523809526</v>
      </c>
      <c r="T277" s="18">
        <f>AVERAGE(J277:J297)</f>
        <v>2.1186136635912627E-5</v>
      </c>
      <c r="U277" s="4">
        <f>AVERAGE(L277:L297)</f>
        <v>7.2625000000000003E-7</v>
      </c>
      <c r="V277" s="18">
        <f>AVERAGE(M277:M297)</f>
        <v>2.6105292603746915E-8</v>
      </c>
      <c r="W277" s="6" t="s">
        <v>11</v>
      </c>
      <c r="X277" s="1" t="s">
        <v>128</v>
      </c>
      <c r="Y277" s="1" t="s">
        <v>13</v>
      </c>
    </row>
    <row r="278" spans="2:25">
      <c r="B278" s="1" t="s">
        <v>113</v>
      </c>
      <c r="C278" s="8" t="s">
        <v>64</v>
      </c>
      <c r="D278" s="1">
        <v>3</v>
      </c>
      <c r="E278" s="1">
        <v>0</v>
      </c>
      <c r="F278" s="2">
        <v>15.227011597866563</v>
      </c>
      <c r="G278" s="3">
        <v>1.3916270439522208E-2</v>
      </c>
      <c r="H278" s="2">
        <v>1.8913371216513975E-2</v>
      </c>
      <c r="I278" s="2">
        <v>1</v>
      </c>
      <c r="J278" s="2">
        <f t="shared" si="8"/>
        <v>2.7588490081937815E-5</v>
      </c>
      <c r="K278" s="2">
        <f t="shared" si="9"/>
        <v>1.6655008160953998E-5</v>
      </c>
      <c r="L278" s="4">
        <v>9.9999999999999995E-8</v>
      </c>
      <c r="M278" s="15">
        <v>3.433800423314964E-9</v>
      </c>
      <c r="N278" s="13">
        <v>36247</v>
      </c>
      <c r="O278" s="13">
        <v>60042</v>
      </c>
    </row>
    <row r="279" spans="2:25">
      <c r="B279" s="1" t="s">
        <v>113</v>
      </c>
      <c r="C279" s="8" t="s">
        <v>52</v>
      </c>
      <c r="D279" s="1">
        <v>3</v>
      </c>
      <c r="E279" s="1">
        <v>0</v>
      </c>
      <c r="F279" s="17">
        <v>788.90421992756285</v>
      </c>
      <c r="G279" s="3">
        <v>1.3104487997216746E-2</v>
      </c>
      <c r="H279" s="17">
        <v>1.8924968108546908E-2</v>
      </c>
      <c r="I279" s="2">
        <v>1</v>
      </c>
      <c r="J279" s="2">
        <f t="shared" si="8"/>
        <v>2.7588490081937815E-5</v>
      </c>
      <c r="K279" s="2">
        <f t="shared" si="9"/>
        <v>1.6655008160953998E-5</v>
      </c>
      <c r="L279" s="4">
        <v>8.0000000000000002E-8</v>
      </c>
      <c r="M279" s="15">
        <v>2.1852778205473578E-9</v>
      </c>
      <c r="N279" s="13">
        <v>36247</v>
      </c>
      <c r="O279" s="13">
        <v>60042</v>
      </c>
      <c r="P279" s="18">
        <f>AVERAGE(F279:F288)</f>
        <v>15403.174271611166</v>
      </c>
      <c r="Q279" s="3">
        <f>AVERAGE(G279:G288)</f>
        <v>5.1082663535637875E-2</v>
      </c>
      <c r="R279" s="18">
        <f>AVERAGE(H279:H288)</f>
        <v>0.1141187065084116</v>
      </c>
      <c r="S279" s="18">
        <f>AVERAGE(I279:I288)</f>
        <v>4.5</v>
      </c>
      <c r="T279" s="18">
        <f>AVERAGE(J279:J288)</f>
        <v>2.3634670875185121E-5</v>
      </c>
      <c r="U279" s="4">
        <f>AVERAGE(L279:L288)</f>
        <v>6.3142857142857145E-7</v>
      </c>
      <c r="V279" s="18">
        <f>AVERAGE(M279:M288)</f>
        <v>2.4529876417071597E-8</v>
      </c>
      <c r="W279" s="6" t="s">
        <v>11</v>
      </c>
      <c r="X279" s="1" t="s">
        <v>114</v>
      </c>
      <c r="Y279" s="1" t="s">
        <v>13</v>
      </c>
    </row>
    <row r="280" spans="2:25">
      <c r="B280" s="1" t="s">
        <v>113</v>
      </c>
      <c r="C280" s="8" t="s">
        <v>66</v>
      </c>
      <c r="D280" s="1">
        <v>3</v>
      </c>
      <c r="E280" s="1">
        <v>0</v>
      </c>
      <c r="F280" s="2">
        <v>4638.7568131740691</v>
      </c>
      <c r="G280" s="3">
        <v>2.2382001623564886E-2</v>
      </c>
      <c r="H280" s="2">
        <v>1.8807839499014264E-2</v>
      </c>
      <c r="I280" s="2">
        <v>1</v>
      </c>
      <c r="J280" s="2">
        <f t="shared" si="8"/>
        <v>2.7588490081937815E-5</v>
      </c>
      <c r="K280" s="2">
        <f t="shared" si="9"/>
        <v>1.6655008160953998E-5</v>
      </c>
      <c r="L280" s="4">
        <v>9.9999999999999995E-8</v>
      </c>
      <c r="M280" s="15">
        <v>3.9462851522665015E-9</v>
      </c>
      <c r="N280" s="13">
        <v>36247</v>
      </c>
      <c r="O280" s="13">
        <v>60042</v>
      </c>
    </row>
    <row r="281" spans="2:25">
      <c r="B281" s="1" t="s">
        <v>113</v>
      </c>
      <c r="C281" s="8" t="s">
        <v>88</v>
      </c>
      <c r="D281" s="1">
        <v>3</v>
      </c>
      <c r="E281" s="1">
        <v>0</v>
      </c>
      <c r="F281" s="17">
        <v>4.877357123663697</v>
      </c>
      <c r="G281" s="3">
        <v>1.7395338049402759E-2</v>
      </c>
      <c r="H281" s="17">
        <v>1.893076655456338E-2</v>
      </c>
      <c r="I281" s="2">
        <v>1</v>
      </c>
      <c r="J281" s="2">
        <f t="shared" si="8"/>
        <v>2.7588490081937815E-5</v>
      </c>
      <c r="K281" s="2">
        <f t="shared" si="9"/>
        <v>1.6655008160953998E-5</v>
      </c>
      <c r="L281" s="4" t="s">
        <v>87</v>
      </c>
      <c r="M281" s="15">
        <v>3.8509165553054528E-9</v>
      </c>
      <c r="N281" s="13">
        <v>36247</v>
      </c>
      <c r="O281" s="13">
        <v>60042</v>
      </c>
    </row>
    <row r="282" spans="2:25">
      <c r="B282" s="1" t="s">
        <v>127</v>
      </c>
      <c r="C282" s="8" t="s">
        <v>88</v>
      </c>
      <c r="D282" s="1">
        <v>3</v>
      </c>
      <c r="E282" s="1">
        <v>0</v>
      </c>
      <c r="F282" s="17">
        <v>36.989842108489064</v>
      </c>
      <c r="G282" s="3">
        <v>6.9656992084432712E-2</v>
      </c>
      <c r="H282" s="17">
        <v>0.143570800351803</v>
      </c>
      <c r="I282" s="2">
        <v>5</v>
      </c>
      <c r="J282" s="2">
        <f t="shared" si="8"/>
        <v>2.3860426051767581E-5</v>
      </c>
      <c r="K282" s="2">
        <f t="shared" si="9"/>
        <v>2.3860426051767581E-5</v>
      </c>
      <c r="L282" s="4" t="s">
        <v>90</v>
      </c>
      <c r="M282" s="15">
        <v>1.9254582776527263E-8</v>
      </c>
      <c r="N282" s="13">
        <v>209552</v>
      </c>
      <c r="O282" s="13">
        <v>209552</v>
      </c>
    </row>
    <row r="283" spans="2:25">
      <c r="B283" s="1" t="s">
        <v>127</v>
      </c>
      <c r="C283" s="8" t="s">
        <v>64</v>
      </c>
      <c r="D283" s="1">
        <v>3</v>
      </c>
      <c r="E283" s="1">
        <v>0</v>
      </c>
      <c r="F283" s="2">
        <v>115.48154882005572</v>
      </c>
      <c r="G283" s="3">
        <v>0.10782761653474054</v>
      </c>
      <c r="H283" s="2">
        <v>0.14343887423043097</v>
      </c>
      <c r="I283" s="2">
        <v>5</v>
      </c>
      <c r="J283" s="2">
        <f t="shared" si="8"/>
        <v>2.3860426051767581E-5</v>
      </c>
      <c r="K283" s="2">
        <f t="shared" si="9"/>
        <v>2.3860426051767581E-5</v>
      </c>
      <c r="L283" s="4">
        <v>5.9999999999999997E-7</v>
      </c>
      <c r="M283" s="15">
        <v>2.060280253988978E-8</v>
      </c>
      <c r="N283" s="13">
        <v>209552</v>
      </c>
      <c r="O283" s="13">
        <v>209552</v>
      </c>
    </row>
    <row r="284" spans="2:25">
      <c r="B284" s="1" t="s">
        <v>127</v>
      </c>
      <c r="C284" s="8" t="s">
        <v>134</v>
      </c>
      <c r="D284" s="1">
        <v>3</v>
      </c>
      <c r="E284" s="1">
        <v>0</v>
      </c>
      <c r="F284" s="2">
        <v>18.116618448380834</v>
      </c>
      <c r="G284" s="3">
        <v>8.0035180299032546E-2</v>
      </c>
      <c r="H284" s="2">
        <v>0.14700967458223396</v>
      </c>
      <c r="I284" s="2">
        <v>5</v>
      </c>
      <c r="J284" s="2">
        <f t="shared" si="8"/>
        <v>2.3860426051767581E-5</v>
      </c>
      <c r="K284" s="2">
        <f t="shared" si="9"/>
        <v>2.3860426051767581E-5</v>
      </c>
      <c r="L284" s="4">
        <v>5.9999999999999997E-7</v>
      </c>
      <c r="M284" s="15">
        <v>2.0909949425196077E-8</v>
      </c>
      <c r="N284" s="13">
        <v>209552</v>
      </c>
      <c r="O284" s="13">
        <v>209552</v>
      </c>
    </row>
    <row r="285" spans="2:25">
      <c r="B285" s="1" t="s">
        <v>99</v>
      </c>
      <c r="C285" s="8" t="s">
        <v>104</v>
      </c>
      <c r="D285" s="1">
        <v>1</v>
      </c>
      <c r="E285" s="1">
        <v>0</v>
      </c>
      <c r="F285" s="2">
        <v>2.7592858274925107</v>
      </c>
      <c r="G285" s="3">
        <v>2.3599999999999999E-2</v>
      </c>
      <c r="H285" s="1">
        <v>3.6501217673663461E-2</v>
      </c>
      <c r="I285" s="2">
        <v>5</v>
      </c>
      <c r="J285" s="2">
        <f t="shared" si="8"/>
        <v>2.1661619509320994E-5</v>
      </c>
      <c r="K285" s="2">
        <f t="shared" si="9"/>
        <v>1.6841764882225537E-5</v>
      </c>
      <c r="L285" s="4">
        <v>9.9999999999999995E-7</v>
      </c>
      <c r="M285" s="1">
        <v>4.6151694665656376E-8</v>
      </c>
      <c r="N285" s="13">
        <v>230823</v>
      </c>
      <c r="O285" s="13">
        <v>296881</v>
      </c>
    </row>
    <row r="286" spans="2:25">
      <c r="B286" s="1" t="s">
        <v>122</v>
      </c>
      <c r="C286" s="8" t="s">
        <v>20</v>
      </c>
      <c r="D286" s="1">
        <v>2</v>
      </c>
      <c r="E286" s="1">
        <v>0</v>
      </c>
      <c r="F286" s="2">
        <v>142396.44846505005</v>
      </c>
      <c r="G286" s="3">
        <v>8.7950747581354446E-2</v>
      </c>
      <c r="H286" s="2">
        <v>0.48398416886543533</v>
      </c>
      <c r="I286" s="2">
        <v>17</v>
      </c>
      <c r="J286" s="2">
        <f t="shared" si="8"/>
        <v>2.1250000000000002E-5</v>
      </c>
      <c r="K286" s="2">
        <f t="shared" si="9"/>
        <v>1.8696314769395805E-6</v>
      </c>
      <c r="L286" s="4">
        <v>1.9999999999999999E-6</v>
      </c>
      <c r="M286" s="15">
        <v>1.1107645988989102E-7</v>
      </c>
      <c r="N286" s="13">
        <v>800000</v>
      </c>
      <c r="O286" s="13">
        <v>9092701</v>
      </c>
    </row>
    <row r="287" spans="2:25">
      <c r="B287" s="1" t="s">
        <v>80</v>
      </c>
      <c r="C287" s="8" t="s">
        <v>27</v>
      </c>
      <c r="D287" s="1">
        <v>4</v>
      </c>
      <c r="E287" s="1">
        <v>0</v>
      </c>
      <c r="F287" s="2">
        <v>5148.8003295232211</v>
      </c>
      <c r="G287" s="3">
        <v>1.2357120790855731E-2</v>
      </c>
      <c r="H287" s="2">
        <v>1.4360004119040263E-2</v>
      </c>
      <c r="I287" s="2">
        <v>1</v>
      </c>
      <c r="J287" s="2">
        <f t="shared" si="8"/>
        <v>2.0000000000000002E-5</v>
      </c>
      <c r="K287" s="2">
        <f t="shared" si="9"/>
        <v>8.2931117413876035E-6</v>
      </c>
      <c r="L287" s="4">
        <v>4.0000000000000001E-8</v>
      </c>
      <c r="M287" s="15">
        <v>1.0617749717010677E-9</v>
      </c>
      <c r="N287" s="13">
        <v>50000</v>
      </c>
      <c r="O287" s="13">
        <v>120582</v>
      </c>
    </row>
    <row r="288" spans="2:25">
      <c r="B288" s="1" t="s">
        <v>127</v>
      </c>
      <c r="C288" s="8" t="s">
        <v>22</v>
      </c>
      <c r="D288" s="1">
        <v>3</v>
      </c>
      <c r="E288" s="1">
        <v>0</v>
      </c>
      <c r="F288" s="17">
        <v>880.60823610868022</v>
      </c>
      <c r="G288" s="3">
        <v>7.6517150395778361E-2</v>
      </c>
      <c r="H288" s="17">
        <v>0.11565875109938434</v>
      </c>
      <c r="I288" s="2">
        <v>4</v>
      </c>
      <c r="J288" s="2">
        <f t="shared" si="8"/>
        <v>1.9088340841414064E-5</v>
      </c>
      <c r="K288" s="2">
        <f t="shared" si="9"/>
        <v>1.9088340841414064E-5</v>
      </c>
      <c r="L288" s="4" t="s">
        <v>130</v>
      </c>
      <c r="M288" s="15">
        <v>1.625902037373508E-8</v>
      </c>
      <c r="N288" s="13">
        <v>209552</v>
      </c>
      <c r="O288" s="13">
        <v>209552</v>
      </c>
    </row>
    <row r="289" spans="1:25">
      <c r="B289" s="1" t="s">
        <v>127</v>
      </c>
      <c r="C289" s="8" t="s">
        <v>61</v>
      </c>
      <c r="D289" s="1">
        <v>3</v>
      </c>
      <c r="E289" s="1">
        <v>0</v>
      </c>
      <c r="F289" s="17">
        <v>1.2852541911074822</v>
      </c>
      <c r="G289" s="3">
        <v>8.1090589270008798E-2</v>
      </c>
      <c r="H289" s="17">
        <v>0.11515919085312225</v>
      </c>
      <c r="I289" s="2">
        <v>4</v>
      </c>
      <c r="J289" s="2">
        <f t="shared" si="8"/>
        <v>1.9088340841414064E-5</v>
      </c>
      <c r="K289" s="2">
        <f t="shared" si="9"/>
        <v>1.9088340841414064E-5</v>
      </c>
      <c r="L289" s="4" t="s">
        <v>117</v>
      </c>
      <c r="M289" s="15">
        <v>1.5150708329649507E-8</v>
      </c>
      <c r="N289" s="13">
        <v>209552</v>
      </c>
      <c r="O289" s="13">
        <v>209552</v>
      </c>
    </row>
    <row r="290" spans="1:25">
      <c r="B290" s="1" t="s">
        <v>26</v>
      </c>
      <c r="C290" s="8" t="s">
        <v>40</v>
      </c>
      <c r="D290" s="1">
        <v>1</v>
      </c>
      <c r="E290" s="1">
        <v>0</v>
      </c>
      <c r="F290" s="2">
        <v>2.1208494771600215</v>
      </c>
      <c r="G290" s="3">
        <v>3.6200000000000003E-2</v>
      </c>
      <c r="H290" s="1">
        <v>3.1556591556591559E-2</v>
      </c>
      <c r="I290" s="2">
        <v>4</v>
      </c>
      <c r="J290" s="2">
        <f t="shared" si="8"/>
        <v>1.9035110260876187E-5</v>
      </c>
      <c r="K290" s="2">
        <f t="shared" si="9"/>
        <v>8.1703017700958788E-6</v>
      </c>
      <c r="L290" s="4">
        <v>9.9999999999999995E-7</v>
      </c>
      <c r="M290" s="1">
        <v>2.3624713268762789E-8</v>
      </c>
      <c r="N290" s="13">
        <v>210138</v>
      </c>
      <c r="O290" s="13">
        <v>489578</v>
      </c>
    </row>
    <row r="291" spans="1:25">
      <c r="B291" s="1" t="s">
        <v>99</v>
      </c>
      <c r="C291" s="8" t="s">
        <v>109</v>
      </c>
      <c r="D291" s="1">
        <v>1</v>
      </c>
      <c r="E291" s="1">
        <v>0</v>
      </c>
      <c r="F291" s="2">
        <v>1.2692439990735509</v>
      </c>
      <c r="G291" s="3">
        <v>3.4000000000000002E-2</v>
      </c>
      <c r="H291" s="1">
        <v>2.8166531369592948E-2</v>
      </c>
      <c r="I291" s="2">
        <v>4</v>
      </c>
      <c r="J291" s="2">
        <f t="shared" si="8"/>
        <v>1.7329295607456796E-5</v>
      </c>
      <c r="K291" s="2">
        <f t="shared" si="9"/>
        <v>1.3473411905780431E-5</v>
      </c>
      <c r="L291" s="4">
        <v>9.9999999999999995E-7</v>
      </c>
      <c r="M291" s="1">
        <v>2.2434201004710753E-8</v>
      </c>
      <c r="N291" s="13">
        <v>230823</v>
      </c>
      <c r="O291" s="13">
        <v>296881</v>
      </c>
    </row>
    <row r="292" spans="1:25">
      <c r="B292" s="1" t="s">
        <v>122</v>
      </c>
      <c r="C292" s="8" t="s">
        <v>17</v>
      </c>
      <c r="D292" s="1">
        <v>1</v>
      </c>
      <c r="E292" s="1">
        <v>0</v>
      </c>
      <c r="F292" s="2">
        <v>990.06470072819263</v>
      </c>
      <c r="G292" s="3">
        <v>0.05</v>
      </c>
      <c r="H292" s="1">
        <v>6.6174142480211084E-2</v>
      </c>
      <c r="I292" s="2">
        <v>6</v>
      </c>
      <c r="J292" s="2">
        <f t="shared" si="8"/>
        <v>1.641721618737516E-5</v>
      </c>
      <c r="K292" s="2">
        <f t="shared" si="9"/>
        <v>7.0753382011660157E-6</v>
      </c>
      <c r="L292" s="4">
        <v>9.9999999999999995E-7</v>
      </c>
      <c r="M292" s="1">
        <v>3.8365291586095425E-8</v>
      </c>
      <c r="N292" s="13">
        <v>365470</v>
      </c>
      <c r="O292" s="13">
        <v>848016</v>
      </c>
      <c r="P292" s="1">
        <f>AVERAGE(F292:F297)</f>
        <v>4454.6509552934358</v>
      </c>
      <c r="Q292" s="3">
        <f>AVERAGE(G292:G297)</f>
        <v>5.9309932738026212E-2</v>
      </c>
      <c r="R292" s="1">
        <f>AVERAGE(H292:H297)</f>
        <v>9.4525808708951178E-2</v>
      </c>
      <c r="S292" s="1">
        <f>AVERAGE(I292:I297)</f>
        <v>6.666666666666667</v>
      </c>
      <c r="T292" s="1">
        <f>AVERAGE(J292:J297)</f>
        <v>1.6148068758084667E-5</v>
      </c>
      <c r="U292" s="4">
        <f>AVERAGE(L292:L297)</f>
        <v>8.4999999999999991E-7</v>
      </c>
      <c r="V292" s="1">
        <f>AVERAGE(M292:M297)</f>
        <v>3.5764885995576284E-8</v>
      </c>
      <c r="W292" s="6" t="s">
        <v>11</v>
      </c>
      <c r="X292" s="1" t="s">
        <v>123</v>
      </c>
      <c r="Y292" s="1" t="s">
        <v>13</v>
      </c>
    </row>
    <row r="293" spans="1:25">
      <c r="B293" s="1" t="s">
        <v>122</v>
      </c>
      <c r="C293" s="8" t="s">
        <v>103</v>
      </c>
      <c r="D293" s="1">
        <v>1</v>
      </c>
      <c r="E293" s="1">
        <v>0</v>
      </c>
      <c r="F293" s="2">
        <v>14262.283391570991</v>
      </c>
      <c r="G293" s="3">
        <v>3.5200000000000002E-2</v>
      </c>
      <c r="H293" s="1">
        <v>6.6163588390501321E-2</v>
      </c>
      <c r="I293" s="2">
        <v>6</v>
      </c>
      <c r="J293" s="2">
        <f t="shared" si="8"/>
        <v>1.641721618737516E-5</v>
      </c>
      <c r="K293" s="2">
        <f t="shared" si="9"/>
        <v>7.0753382011660157E-6</v>
      </c>
      <c r="L293" s="4">
        <v>9.9999999999999995E-7</v>
      </c>
      <c r="M293" s="1">
        <v>4.1048705960729235E-8</v>
      </c>
      <c r="N293" s="13">
        <v>365470</v>
      </c>
      <c r="O293" s="13">
        <v>848016</v>
      </c>
    </row>
    <row r="294" spans="1:25">
      <c r="B294" s="1" t="s">
        <v>122</v>
      </c>
      <c r="C294" s="8" t="s">
        <v>37</v>
      </c>
      <c r="D294" s="1">
        <v>1</v>
      </c>
      <c r="E294" s="1">
        <v>0</v>
      </c>
      <c r="F294" s="2">
        <v>4290.2803698221678</v>
      </c>
      <c r="G294" s="3">
        <v>5.1799999999999999E-2</v>
      </c>
      <c r="H294" s="1">
        <v>6.5868073878627961E-2</v>
      </c>
      <c r="I294" s="2">
        <v>6</v>
      </c>
      <c r="J294" s="2">
        <f t="shared" si="8"/>
        <v>1.641721618737516E-5</v>
      </c>
      <c r="K294" s="2">
        <f t="shared" si="9"/>
        <v>7.0753382011660157E-6</v>
      </c>
      <c r="L294" s="4">
        <v>9.9999999999999995E-7</v>
      </c>
      <c r="M294" s="1">
        <v>3.8756635137141986E-8</v>
      </c>
      <c r="N294" s="13">
        <v>365470</v>
      </c>
      <c r="O294" s="13">
        <v>848016</v>
      </c>
    </row>
    <row r="295" spans="1:25">
      <c r="B295" s="1" t="s">
        <v>122</v>
      </c>
      <c r="C295" s="8" t="s">
        <v>38</v>
      </c>
      <c r="D295" s="1">
        <v>1</v>
      </c>
      <c r="E295" s="1">
        <v>0</v>
      </c>
      <c r="F295" s="2">
        <v>7036.059806508355</v>
      </c>
      <c r="G295" s="3">
        <v>5.1799999999999999E-2</v>
      </c>
      <c r="H295" s="1">
        <v>6.6047493403693938E-2</v>
      </c>
      <c r="I295" s="2">
        <v>6</v>
      </c>
      <c r="J295" s="2">
        <f t="shared" si="8"/>
        <v>1.641721618737516E-5</v>
      </c>
      <c r="K295" s="2">
        <f t="shared" si="9"/>
        <v>7.0753382011660157E-6</v>
      </c>
      <c r="L295" s="4">
        <v>9.9999999999999995E-7</v>
      </c>
      <c r="M295" s="1">
        <v>3.8066584566793128E-8</v>
      </c>
      <c r="N295" s="13">
        <v>365470</v>
      </c>
      <c r="O295" s="13">
        <v>848016</v>
      </c>
    </row>
    <row r="296" spans="1:25">
      <c r="B296" s="1" t="s">
        <v>26</v>
      </c>
      <c r="C296" s="8" t="s">
        <v>44</v>
      </c>
      <c r="D296" s="1">
        <v>2</v>
      </c>
      <c r="E296" s="1">
        <v>0</v>
      </c>
      <c r="F296" s="2">
        <v>121.02815841133598</v>
      </c>
      <c r="G296" s="3">
        <v>1.6299999999999999E-2</v>
      </c>
      <c r="H296" s="1">
        <v>2.101010101010101E-2</v>
      </c>
      <c r="I296" s="2">
        <v>1</v>
      </c>
      <c r="J296" s="2">
        <f t="shared" si="8"/>
        <v>1.6219547799007363E-5</v>
      </c>
      <c r="K296" s="2">
        <f t="shared" si="9"/>
        <v>1.2024867425836629E-5</v>
      </c>
      <c r="L296" s="4">
        <v>9.9999999999999995E-8</v>
      </c>
      <c r="M296" s="1">
        <v>5.5853700509960418E-9</v>
      </c>
      <c r="N296" s="13">
        <v>61654</v>
      </c>
      <c r="O296" s="13">
        <v>83161</v>
      </c>
    </row>
    <row r="297" spans="1:25">
      <c r="B297" s="1" t="s">
        <v>99</v>
      </c>
      <c r="C297" s="8" t="s">
        <v>111</v>
      </c>
      <c r="D297" s="1">
        <v>2</v>
      </c>
      <c r="E297" s="1">
        <v>0</v>
      </c>
      <c r="F297" s="2">
        <v>28.189304719575361</v>
      </c>
      <c r="G297" s="3">
        <v>0.15075959642815726</v>
      </c>
      <c r="H297" s="2">
        <v>0.28189145309057173</v>
      </c>
      <c r="I297" s="2">
        <v>15</v>
      </c>
      <c r="J297" s="2">
        <f t="shared" si="8"/>
        <v>1.5E-5</v>
      </c>
      <c r="K297" s="2">
        <f t="shared" si="9"/>
        <v>1.4030348579333671E-5</v>
      </c>
      <c r="L297" s="4">
        <v>9.9999999999999995E-7</v>
      </c>
      <c r="M297" s="15">
        <v>5.2766728671701883E-8</v>
      </c>
      <c r="N297" s="13">
        <v>1000000</v>
      </c>
      <c r="O297" s="13">
        <v>1069111</v>
      </c>
    </row>
    <row r="298" spans="1:25" ht="47.25">
      <c r="A298" s="21" t="s">
        <v>167</v>
      </c>
      <c r="B298" s="1" t="s">
        <v>113</v>
      </c>
      <c r="C298" s="10" t="s">
        <v>178</v>
      </c>
      <c r="D298" s="1">
        <v>4</v>
      </c>
      <c r="E298" s="1">
        <v>1</v>
      </c>
      <c r="F298" s="2">
        <v>22739.0039861474</v>
      </c>
      <c r="G298" s="3">
        <v>1.8007414272474513</v>
      </c>
      <c r="H298" s="2">
        <v>0.16025745100313118</v>
      </c>
      <c r="I298" s="2">
        <v>10</v>
      </c>
      <c r="J298" s="2">
        <f t="shared" si="8"/>
        <v>1.4971942579605819E-5</v>
      </c>
      <c r="K298" s="2">
        <f t="shared" si="9"/>
        <v>1.0111295024332831E-5</v>
      </c>
      <c r="L298" s="4">
        <v>3.7E-7</v>
      </c>
      <c r="M298" s="15">
        <v>9.8757572963639595E-9</v>
      </c>
      <c r="N298" s="13">
        <v>667916</v>
      </c>
      <c r="O298" s="13">
        <v>988993</v>
      </c>
    </row>
    <row r="299" spans="1:25">
      <c r="B299" s="1" t="s">
        <v>99</v>
      </c>
      <c r="C299" s="8" t="s">
        <v>102</v>
      </c>
      <c r="D299" s="1">
        <v>1</v>
      </c>
      <c r="E299" s="1">
        <v>0</v>
      </c>
      <c r="F299" s="2">
        <v>9.9141331639135757</v>
      </c>
      <c r="G299" s="3">
        <v>1.9599999999999999E-2</v>
      </c>
      <c r="H299" s="1">
        <v>2.1886814333758553E-2</v>
      </c>
      <c r="I299" s="2">
        <v>3</v>
      </c>
      <c r="J299" s="2">
        <f t="shared" si="8"/>
        <v>1.2996971705592597E-5</v>
      </c>
      <c r="K299" s="2">
        <f t="shared" si="9"/>
        <v>1.0105058929335323E-5</v>
      </c>
      <c r="L299" s="4">
        <v>9.9999999999999995E-7</v>
      </c>
      <c r="M299" s="1">
        <v>4.1779761551418972E-8</v>
      </c>
      <c r="N299" s="13">
        <v>230823</v>
      </c>
      <c r="O299" s="13">
        <v>296881</v>
      </c>
    </row>
    <row r="300" spans="1:25">
      <c r="B300" s="1" t="s">
        <v>80</v>
      </c>
      <c r="C300" s="8" t="s">
        <v>65</v>
      </c>
      <c r="D300" s="1">
        <v>3</v>
      </c>
      <c r="E300" s="1">
        <v>0</v>
      </c>
      <c r="F300" s="2">
        <v>1041.6648065509407</v>
      </c>
      <c r="G300" s="3">
        <v>8.7735557615075691E-2</v>
      </c>
      <c r="H300" s="2">
        <v>0.11778395633817321</v>
      </c>
      <c r="I300" s="2">
        <v>7</v>
      </c>
      <c r="J300" s="2">
        <f t="shared" si="8"/>
        <v>1.2895785473081891E-5</v>
      </c>
      <c r="K300" s="2">
        <f t="shared" si="9"/>
        <v>1.2098439819767813E-5</v>
      </c>
      <c r="L300" s="4">
        <v>6.9999999999999997E-7</v>
      </c>
      <c r="M300" s="15">
        <v>2.5924863633009455E-8</v>
      </c>
      <c r="N300" s="13">
        <v>542813</v>
      </c>
      <c r="O300" s="13">
        <v>578587</v>
      </c>
    </row>
    <row r="301" spans="1:25">
      <c r="B301" s="1" t="s">
        <v>122</v>
      </c>
      <c r="C301" s="8" t="s">
        <v>43</v>
      </c>
      <c r="D301" s="1">
        <v>2</v>
      </c>
      <c r="E301" s="1">
        <v>0</v>
      </c>
      <c r="F301" s="2">
        <v>27295.059594213446</v>
      </c>
      <c r="G301" s="3">
        <v>0.11785400175901495</v>
      </c>
      <c r="H301" s="2">
        <v>0.25163588390501318</v>
      </c>
      <c r="I301" s="2">
        <v>9</v>
      </c>
      <c r="J301" s="2">
        <f t="shared" si="8"/>
        <v>1.1250000000000001E-5</v>
      </c>
      <c r="K301" s="2">
        <f t="shared" si="9"/>
        <v>9.8980489955624857E-7</v>
      </c>
      <c r="L301" s="4">
        <v>8.9999999999999996E-7</v>
      </c>
      <c r="M301" s="15">
        <v>4.6652778391008894E-8</v>
      </c>
      <c r="N301" s="13">
        <v>800000</v>
      </c>
      <c r="O301" s="13">
        <v>9092701</v>
      </c>
    </row>
    <row r="302" spans="1:25">
      <c r="B302" s="1" t="s">
        <v>122</v>
      </c>
      <c r="C302" s="8" t="s">
        <v>101</v>
      </c>
      <c r="D302" s="1">
        <v>1</v>
      </c>
      <c r="E302" s="1">
        <v>0</v>
      </c>
      <c r="F302" s="2">
        <v>341.05961253070069</v>
      </c>
      <c r="G302" s="3">
        <v>4.4400000000000002E-2</v>
      </c>
      <c r="H302" s="1">
        <v>4.393315743183817E-2</v>
      </c>
      <c r="I302" s="2">
        <v>4</v>
      </c>
      <c r="J302" s="2">
        <f t="shared" si="8"/>
        <v>1.0944810791583441E-5</v>
      </c>
      <c r="K302" s="2">
        <f t="shared" si="9"/>
        <v>4.7168921341106769E-6</v>
      </c>
      <c r="L302" s="4">
        <v>9.9999999999999995E-7</v>
      </c>
      <c r="M302" s="1">
        <v>3.9478128804014657E-8</v>
      </c>
      <c r="N302" s="13">
        <v>365470</v>
      </c>
      <c r="O302" s="13">
        <v>848016</v>
      </c>
      <c r="P302" s="1">
        <f>STDEVP(F301:F306)</f>
        <v>9943.5607319184146</v>
      </c>
      <c r="Q302" s="3">
        <f>STDEVP(G301:G306)</f>
        <v>3.1006256646596085E-2</v>
      </c>
      <c r="R302" s="1">
        <f>STDEVP(H301:H306)</f>
        <v>7.7705130245780532E-2</v>
      </c>
      <c r="S302" s="1">
        <f>STDEVP(I301:I306)</f>
        <v>3.1446603773522015</v>
      </c>
      <c r="T302" s="1">
        <f>STDEVP(J301:J306)</f>
        <v>8.2396800461529569E-7</v>
      </c>
      <c r="U302" s="4">
        <f>STDEVP(L301:L306)</f>
        <v>3.6071976657787971E-6</v>
      </c>
      <c r="V302" s="1">
        <f>STDEVP(M301:M306)</f>
        <v>1.6524162840349777E-7</v>
      </c>
      <c r="W302" s="6" t="s">
        <v>16</v>
      </c>
      <c r="X302" s="1" t="s">
        <v>123</v>
      </c>
      <c r="Y302" s="1" t="s">
        <v>13</v>
      </c>
    </row>
    <row r="303" spans="1:25">
      <c r="B303" s="1" t="s">
        <v>127</v>
      </c>
      <c r="C303" s="8" t="s">
        <v>81</v>
      </c>
      <c r="D303" s="1">
        <v>3</v>
      </c>
      <c r="E303" s="1">
        <v>0</v>
      </c>
      <c r="F303" s="17">
        <v>54.467098672459784</v>
      </c>
      <c r="G303" s="3">
        <v>5.1715039577836415E-2</v>
      </c>
      <c r="H303" s="17">
        <v>5.8979771328056291E-2</v>
      </c>
      <c r="I303" s="2">
        <v>2</v>
      </c>
      <c r="J303" s="2">
        <f t="shared" si="8"/>
        <v>9.5441704207070318E-6</v>
      </c>
      <c r="K303" s="2">
        <f t="shared" si="9"/>
        <v>9.5441704207070318E-6</v>
      </c>
      <c r="L303" s="4" t="s">
        <v>82</v>
      </c>
      <c r="M303" s="15">
        <v>6.8231148406697844E-9</v>
      </c>
      <c r="N303" s="13">
        <v>209552</v>
      </c>
      <c r="O303" s="13">
        <v>209552</v>
      </c>
    </row>
    <row r="304" spans="1:25">
      <c r="B304" s="1" t="s">
        <v>127</v>
      </c>
      <c r="C304" s="8" t="s">
        <v>89</v>
      </c>
      <c r="D304" s="1">
        <v>3</v>
      </c>
      <c r="E304" s="1">
        <v>0</v>
      </c>
      <c r="F304" s="17">
        <v>90.136559140511849</v>
      </c>
      <c r="G304" s="3">
        <v>2.6561125769569042E-2</v>
      </c>
      <c r="H304" s="17">
        <v>5.6664907651715037E-2</v>
      </c>
      <c r="I304" s="2">
        <v>2</v>
      </c>
      <c r="J304" s="2">
        <f t="shared" si="8"/>
        <v>9.5441704207070318E-6</v>
      </c>
      <c r="K304" s="2">
        <f t="shared" si="9"/>
        <v>9.5441704207070318E-6</v>
      </c>
      <c r="L304" s="4" t="s">
        <v>85</v>
      </c>
      <c r="M304" s="15">
        <v>8.74057450151766E-9</v>
      </c>
      <c r="N304" s="13">
        <v>209552</v>
      </c>
      <c r="O304" s="13">
        <v>209552</v>
      </c>
    </row>
    <row r="305" spans="2:25">
      <c r="B305" s="1" t="s">
        <v>127</v>
      </c>
      <c r="C305" s="8" t="s">
        <v>62</v>
      </c>
      <c r="D305" s="1">
        <v>3</v>
      </c>
      <c r="E305" s="1">
        <v>0</v>
      </c>
      <c r="F305" s="2">
        <v>75.043299984090822</v>
      </c>
      <c r="G305" s="3">
        <v>2.6561125769569042E-2</v>
      </c>
      <c r="H305" s="2">
        <v>5.7720316622691288E-2</v>
      </c>
      <c r="I305" s="2">
        <v>2</v>
      </c>
      <c r="J305" s="2">
        <f t="shared" si="8"/>
        <v>9.5441704207070318E-6</v>
      </c>
      <c r="K305" s="2">
        <f t="shared" si="9"/>
        <v>9.5441704207070318E-6</v>
      </c>
      <c r="L305" s="4">
        <v>1.9999999999999999E-7</v>
      </c>
      <c r="M305" s="15">
        <v>8.431451623142111E-9</v>
      </c>
      <c r="N305" s="13">
        <v>209552</v>
      </c>
      <c r="O305" s="13">
        <v>209552</v>
      </c>
    </row>
    <row r="306" spans="2:25">
      <c r="B306" s="1" t="s">
        <v>99</v>
      </c>
      <c r="C306" s="8" t="s">
        <v>78</v>
      </c>
      <c r="D306" s="1">
        <v>2</v>
      </c>
      <c r="E306" s="1">
        <v>0</v>
      </c>
      <c r="F306" s="2">
        <v>3586.6676390521156</v>
      </c>
      <c r="G306" s="3">
        <v>6.3782906181143448E-2</v>
      </c>
      <c r="H306" s="2">
        <v>0.17075263829293746</v>
      </c>
      <c r="I306" s="2">
        <v>9</v>
      </c>
      <c r="J306" s="2">
        <f t="shared" si="8"/>
        <v>9.0000000000000002E-6</v>
      </c>
      <c r="K306" s="2">
        <f t="shared" si="9"/>
        <v>8.418209147600202E-6</v>
      </c>
      <c r="L306" s="4">
        <v>9.0000000000000002E-6</v>
      </c>
      <c r="M306" s="15">
        <v>4.6337578802612036E-7</v>
      </c>
      <c r="N306" s="13">
        <v>1000000</v>
      </c>
      <c r="O306" s="13">
        <v>1069111</v>
      </c>
      <c r="P306" s="1">
        <f>AVERAGE(F306:F313)</f>
        <v>11955.334217659327</v>
      </c>
      <c r="Q306" s="3">
        <f>AVERAGE(G306:G313)</f>
        <v>4.879133512565996E-2</v>
      </c>
      <c r="R306" s="1">
        <f>AVERAGE(H306:H313)</f>
        <v>7.1642773589398981E-2</v>
      </c>
      <c r="S306" s="1">
        <f>AVERAGE(I306:I313)</f>
        <v>4.125</v>
      </c>
      <c r="T306" s="1">
        <f>AVERAGE(J306:J313)</f>
        <v>7.114977831969631E-6</v>
      </c>
      <c r="U306" s="4">
        <f>AVERAGE(L306:L313)</f>
        <v>2.3520000000000001E-6</v>
      </c>
      <c r="V306" s="1">
        <f>AVERAGE(M306:M313)</f>
        <v>7.6932787290590997E-8</v>
      </c>
      <c r="W306" s="6" t="s">
        <v>11</v>
      </c>
      <c r="X306" s="1" t="s">
        <v>110</v>
      </c>
      <c r="Y306" s="1" t="s">
        <v>13</v>
      </c>
    </row>
    <row r="307" spans="2:25">
      <c r="B307" s="1" t="s">
        <v>99</v>
      </c>
      <c r="C307" s="8" t="s">
        <v>105</v>
      </c>
      <c r="D307" s="1">
        <v>1</v>
      </c>
      <c r="E307" s="1">
        <v>0</v>
      </c>
      <c r="F307" s="2">
        <v>1.4024624689876191</v>
      </c>
      <c r="G307" s="3">
        <v>1.23E-2</v>
      </c>
      <c r="H307" s="1">
        <v>1.4528586338861185E-2</v>
      </c>
      <c r="I307" s="2">
        <v>2</v>
      </c>
      <c r="J307" s="2">
        <f t="shared" si="8"/>
        <v>8.6646478037283982E-6</v>
      </c>
      <c r="K307" s="2">
        <f t="shared" si="9"/>
        <v>6.7367059528902153E-6</v>
      </c>
      <c r="L307" s="4">
        <v>9.9999999999999995E-7</v>
      </c>
      <c r="M307" s="1">
        <v>4.2548168107309868E-8</v>
      </c>
      <c r="N307" s="13">
        <v>230823</v>
      </c>
      <c r="O307" s="13">
        <v>296881</v>
      </c>
    </row>
    <row r="308" spans="2:25">
      <c r="B308" s="1" t="s">
        <v>73</v>
      </c>
      <c r="C308" s="8" t="s">
        <v>36</v>
      </c>
      <c r="D308" s="1">
        <v>1</v>
      </c>
      <c r="E308" s="1">
        <v>0</v>
      </c>
      <c r="F308" s="2">
        <v>607.52806248061597</v>
      </c>
      <c r="G308" s="3">
        <v>1.5299999999999999E-2</v>
      </c>
      <c r="H308" s="1">
        <v>1.2970857790134901E-2</v>
      </c>
      <c r="I308" s="2">
        <v>2</v>
      </c>
      <c r="J308" s="2">
        <f t="shared" si="8"/>
        <v>7.7562971437435773E-6</v>
      </c>
      <c r="K308" s="2">
        <f t="shared" si="9"/>
        <v>3.534361950472986E-6</v>
      </c>
      <c r="L308" s="4">
        <v>9.9999999999999995E-7</v>
      </c>
      <c r="M308" s="1">
        <v>3.8616539046712924E-8</v>
      </c>
      <c r="N308" s="13">
        <v>257855</v>
      </c>
      <c r="O308" s="13">
        <v>565873</v>
      </c>
      <c r="P308" s="2">
        <v>607.52806248061597</v>
      </c>
      <c r="Q308" s="3">
        <v>1.5299999999999999E-2</v>
      </c>
      <c r="R308" s="1">
        <v>1.2970857790134901E-2</v>
      </c>
      <c r="S308" s="2">
        <v>2</v>
      </c>
      <c r="T308" s="2">
        <v>7.7562971437435773E-6</v>
      </c>
      <c r="U308" s="4">
        <v>9.9999999999999995E-7</v>
      </c>
      <c r="V308" s="1">
        <v>3.8616539046712924E-8</v>
      </c>
      <c r="W308" s="6" t="s">
        <v>11</v>
      </c>
      <c r="X308" s="1" t="s">
        <v>74</v>
      </c>
      <c r="Y308" s="1" t="s">
        <v>13</v>
      </c>
    </row>
    <row r="309" spans="2:25">
      <c r="B309" s="1" t="s">
        <v>80</v>
      </c>
      <c r="C309" s="8" t="s">
        <v>89</v>
      </c>
      <c r="D309" s="1">
        <v>3</v>
      </c>
      <c r="E309" s="1">
        <v>0</v>
      </c>
      <c r="F309" s="17">
        <v>105.53523606504169</v>
      </c>
      <c r="G309" s="3">
        <v>4.1705282669138088E-2</v>
      </c>
      <c r="H309" s="17">
        <v>6.6345381526104419E-2</v>
      </c>
      <c r="I309" s="2">
        <v>4</v>
      </c>
      <c r="J309" s="2">
        <f t="shared" si="8"/>
        <v>7.3690202703325089E-6</v>
      </c>
      <c r="K309" s="2">
        <f t="shared" si="9"/>
        <v>6.9133941827244648E-6</v>
      </c>
      <c r="L309" s="4" t="s">
        <v>90</v>
      </c>
      <c r="M309" s="15">
        <v>1.45676241691961E-8</v>
      </c>
      <c r="N309" s="13">
        <v>542813</v>
      </c>
      <c r="O309" s="13">
        <v>578587</v>
      </c>
    </row>
    <row r="310" spans="2:25">
      <c r="B310" s="1" t="s">
        <v>127</v>
      </c>
      <c r="C310" s="8" t="s">
        <v>98</v>
      </c>
      <c r="D310" s="1">
        <v>4</v>
      </c>
      <c r="E310" s="1">
        <v>0</v>
      </c>
      <c r="F310" s="2">
        <v>87950.747581354444</v>
      </c>
      <c r="G310" s="3">
        <v>4.9252418645558488E-2</v>
      </c>
      <c r="H310" s="2">
        <v>9.3790677220756388E-2</v>
      </c>
      <c r="I310" s="2">
        <v>4</v>
      </c>
      <c r="J310" s="2">
        <f t="shared" si="8"/>
        <v>7.0763270324538048E-6</v>
      </c>
      <c r="K310" s="2">
        <f t="shared" si="9"/>
        <v>7.0763270324538048E-6</v>
      </c>
      <c r="L310" s="4">
        <v>1.6E-7</v>
      </c>
      <c r="M310" s="15">
        <v>3.8140587065472991E-9</v>
      </c>
      <c r="N310" s="1">
        <v>565265</v>
      </c>
      <c r="O310" s="13">
        <v>565265</v>
      </c>
    </row>
    <row r="311" spans="2:25">
      <c r="B311" s="1" t="s">
        <v>99</v>
      </c>
      <c r="C311" s="8" t="s">
        <v>47</v>
      </c>
      <c r="D311" s="1">
        <v>2</v>
      </c>
      <c r="E311" s="1">
        <v>0</v>
      </c>
      <c r="F311" s="2">
        <v>3345.2573171928384</v>
      </c>
      <c r="G311" s="3">
        <v>0.1275658123622869</v>
      </c>
      <c r="H311" s="2">
        <v>0.11299315783370056</v>
      </c>
      <c r="I311" s="2">
        <v>6</v>
      </c>
      <c r="J311" s="2">
        <f t="shared" si="8"/>
        <v>6.0000000000000002E-6</v>
      </c>
      <c r="K311" s="2">
        <f t="shared" si="9"/>
        <v>5.6121394317334683E-6</v>
      </c>
      <c r="L311" s="4">
        <v>5.9999999999999997E-7</v>
      </c>
      <c r="M311" s="15">
        <v>2.9878889275944164E-8</v>
      </c>
      <c r="N311" s="13">
        <v>1000000</v>
      </c>
      <c r="O311" s="13">
        <v>1069111</v>
      </c>
    </row>
    <row r="312" spans="2:25">
      <c r="B312" s="1" t="s">
        <v>80</v>
      </c>
      <c r="C312" s="8" t="s">
        <v>84</v>
      </c>
      <c r="D312" s="1">
        <v>3</v>
      </c>
      <c r="E312" s="1">
        <v>0</v>
      </c>
      <c r="F312" s="17">
        <v>32.542717767975695</v>
      </c>
      <c r="G312" s="3">
        <v>4.1190402636185772E-2</v>
      </c>
      <c r="H312" s="17">
        <v>5.1331479765214703E-2</v>
      </c>
      <c r="I312" s="2">
        <v>3</v>
      </c>
      <c r="J312" s="2">
        <f t="shared" si="8"/>
        <v>5.5267652027493818E-6</v>
      </c>
      <c r="K312" s="2">
        <f t="shared" si="9"/>
        <v>5.1850456370433484E-6</v>
      </c>
      <c r="L312" s="4" t="s">
        <v>85</v>
      </c>
      <c r="M312" s="15">
        <v>1.1108481326980915E-8</v>
      </c>
      <c r="N312" s="13">
        <v>542813</v>
      </c>
      <c r="O312" s="13">
        <v>578587</v>
      </c>
      <c r="P312" s="1">
        <f>STDEVP(F311:F321)</f>
        <v>3325.2375080148086</v>
      </c>
      <c r="Q312" s="3">
        <f>STDEVP(G311:G321)</f>
        <v>3.1537937688584906E-2</v>
      </c>
      <c r="R312" s="1">
        <f>STDEVP(H311:H321)</f>
        <v>2.7750753614330975E-2</v>
      </c>
      <c r="S312" s="1">
        <f>STDEVP(I311:I321)</f>
        <v>1.504813214295168</v>
      </c>
      <c r="T312" s="1">
        <f>STDEVP(J311:J321)</f>
        <v>5.3051969352716283E-7</v>
      </c>
      <c r="U312" s="4">
        <f>STDEVP(L311:L321)</f>
        <v>1.7320508075688772E-7</v>
      </c>
      <c r="V312" s="1">
        <f>STDEVP(M311:M321)</f>
        <v>1.554338189517489E-8</v>
      </c>
      <c r="W312" s="6" t="s">
        <v>16</v>
      </c>
      <c r="X312" s="1" t="s">
        <v>83</v>
      </c>
      <c r="Y312" s="1" t="s">
        <v>13</v>
      </c>
    </row>
    <row r="313" spans="2:25">
      <c r="B313" s="1" t="s">
        <v>80</v>
      </c>
      <c r="C313" s="8" t="s">
        <v>88</v>
      </c>
      <c r="D313" s="1">
        <v>3</v>
      </c>
      <c r="E313" s="1">
        <v>0</v>
      </c>
      <c r="F313" s="17">
        <v>12.992724892601812</v>
      </c>
      <c r="G313" s="3">
        <v>3.9233858510966946E-2</v>
      </c>
      <c r="H313" s="17">
        <v>5.042940994748224E-2</v>
      </c>
      <c r="I313" s="2">
        <v>3</v>
      </c>
      <c r="J313" s="2">
        <f t="shared" si="8"/>
        <v>5.5267652027493818E-6</v>
      </c>
      <c r="K313" s="2">
        <f t="shared" si="9"/>
        <v>5.1850456370433484E-6</v>
      </c>
      <c r="L313" s="4" t="s">
        <v>85</v>
      </c>
      <c r="M313" s="15">
        <v>1.1552749665916359E-8</v>
      </c>
      <c r="N313" s="13">
        <v>542813</v>
      </c>
      <c r="O313" s="13">
        <v>578587</v>
      </c>
    </row>
    <row r="314" spans="2:25">
      <c r="B314" s="1" t="s">
        <v>80</v>
      </c>
      <c r="C314" s="8" t="s">
        <v>59</v>
      </c>
      <c r="D314" s="1">
        <v>3</v>
      </c>
      <c r="E314" s="1">
        <v>0</v>
      </c>
      <c r="F314" s="17">
        <v>11033.143563264046</v>
      </c>
      <c r="G314" s="3">
        <v>3.4496962207805584E-2</v>
      </c>
      <c r="H314" s="17">
        <v>5.1306765523632995E-2</v>
      </c>
      <c r="I314" s="2">
        <v>3</v>
      </c>
      <c r="J314" s="2">
        <f t="shared" si="8"/>
        <v>5.5267652027493818E-6</v>
      </c>
      <c r="K314" s="2">
        <f t="shared" si="9"/>
        <v>5.1850456370433484E-6</v>
      </c>
      <c r="L314" s="4" t="s">
        <v>85</v>
      </c>
      <c r="M314" s="15">
        <v>1.0601491366918597E-8</v>
      </c>
      <c r="N314" s="13">
        <v>542813</v>
      </c>
      <c r="O314" s="13">
        <v>578587</v>
      </c>
    </row>
    <row r="315" spans="2:25">
      <c r="B315" s="1" t="s">
        <v>122</v>
      </c>
      <c r="C315" s="8" t="s">
        <v>33</v>
      </c>
      <c r="D315" s="1">
        <v>1</v>
      </c>
      <c r="E315" s="1">
        <v>0</v>
      </c>
      <c r="F315" s="2">
        <v>2284.4350021131022</v>
      </c>
      <c r="G315" s="3">
        <v>2.64E-2</v>
      </c>
      <c r="H315" s="1">
        <v>2.6578715919085311E-2</v>
      </c>
      <c r="I315" s="2">
        <v>2</v>
      </c>
      <c r="J315" s="2">
        <f t="shared" si="8"/>
        <v>5.4724053957917205E-6</v>
      </c>
      <c r="K315" s="2">
        <f t="shared" si="9"/>
        <v>2.3584460670553384E-6</v>
      </c>
      <c r="L315" s="4">
        <v>9.9999999999999995E-7</v>
      </c>
      <c r="M315" s="1">
        <v>4.0282380585849675E-8</v>
      </c>
      <c r="N315" s="13">
        <v>365470</v>
      </c>
      <c r="O315" s="13">
        <v>848016</v>
      </c>
    </row>
    <row r="316" spans="2:25">
      <c r="B316" s="1" t="s">
        <v>127</v>
      </c>
      <c r="C316" s="8" t="s">
        <v>55</v>
      </c>
      <c r="D316" s="1">
        <v>3</v>
      </c>
      <c r="E316" s="1">
        <v>0</v>
      </c>
      <c r="F316" s="17">
        <v>247.05266174537763</v>
      </c>
      <c r="G316" s="3">
        <v>5.0659630606860157E-2</v>
      </c>
      <c r="H316" s="17">
        <v>2.8978012313104665E-2</v>
      </c>
      <c r="I316" s="2">
        <v>1</v>
      </c>
      <c r="J316" s="2">
        <f t="shared" si="8"/>
        <v>4.7720852103535159E-6</v>
      </c>
      <c r="K316" s="2">
        <f t="shared" si="9"/>
        <v>4.7720852103535159E-6</v>
      </c>
      <c r="L316" s="4" t="s">
        <v>87</v>
      </c>
      <c r="M316" s="15">
        <v>2.731597275684197E-9</v>
      </c>
      <c r="N316" s="13">
        <v>209552</v>
      </c>
      <c r="O316" s="13">
        <v>209552</v>
      </c>
    </row>
    <row r="317" spans="2:25">
      <c r="B317" s="1" t="s">
        <v>127</v>
      </c>
      <c r="C317" s="8" t="s">
        <v>59</v>
      </c>
      <c r="D317" s="1">
        <v>3</v>
      </c>
      <c r="E317" s="1">
        <v>0</v>
      </c>
      <c r="F317" s="17">
        <v>6282.1962558110317</v>
      </c>
      <c r="G317" s="3">
        <v>2.6385224274406333E-2</v>
      </c>
      <c r="H317" s="17">
        <v>2.9213720316622692E-2</v>
      </c>
      <c r="I317" s="2">
        <v>1</v>
      </c>
      <c r="J317" s="2">
        <f t="shared" si="8"/>
        <v>4.7720852103535159E-6</v>
      </c>
      <c r="K317" s="2">
        <f t="shared" si="9"/>
        <v>4.7720852103535159E-6</v>
      </c>
      <c r="L317" s="4" t="s">
        <v>87</v>
      </c>
      <c r="M317" s="15">
        <v>3.5338304556395323E-9</v>
      </c>
      <c r="N317" s="13">
        <v>209552</v>
      </c>
      <c r="O317" s="13">
        <v>209552</v>
      </c>
    </row>
    <row r="318" spans="2:25">
      <c r="B318" s="1" t="s">
        <v>127</v>
      </c>
      <c r="C318" s="8" t="s">
        <v>60</v>
      </c>
      <c r="D318" s="1">
        <v>3</v>
      </c>
      <c r="E318" s="1">
        <v>0</v>
      </c>
      <c r="F318" s="17">
        <v>2171.6233970704802</v>
      </c>
      <c r="G318" s="3">
        <v>2.1459982409850482E-2</v>
      </c>
      <c r="H318" s="17">
        <v>2.9169744942832015E-2</v>
      </c>
      <c r="I318" s="2">
        <v>1</v>
      </c>
      <c r="J318" s="2">
        <f t="shared" si="8"/>
        <v>4.7720852103535159E-6</v>
      </c>
      <c r="K318" s="2">
        <f t="shared" si="9"/>
        <v>4.7720852103535159E-6</v>
      </c>
      <c r="L318" s="4" t="s">
        <v>87</v>
      </c>
      <c r="M318" s="15">
        <v>3.7652555629244916E-9</v>
      </c>
      <c r="N318" s="13">
        <v>209552</v>
      </c>
      <c r="O318" s="13">
        <v>209552</v>
      </c>
    </row>
    <row r="319" spans="2:25">
      <c r="B319" s="1" t="s">
        <v>127</v>
      </c>
      <c r="C319" s="8" t="s">
        <v>91</v>
      </c>
      <c r="D319" s="1">
        <v>3</v>
      </c>
      <c r="E319" s="1">
        <v>0</v>
      </c>
      <c r="F319" s="17">
        <v>37.537664353971167</v>
      </c>
      <c r="G319" s="3">
        <v>2.6385224274406333E-2</v>
      </c>
      <c r="H319" s="17">
        <v>2.8694810905892699E-2</v>
      </c>
      <c r="I319" s="2">
        <v>1</v>
      </c>
      <c r="J319" s="2">
        <f t="shared" si="8"/>
        <v>4.7720852103535159E-6</v>
      </c>
      <c r="K319" s="2">
        <f t="shared" si="9"/>
        <v>4.7720852103535159E-6</v>
      </c>
      <c r="L319" s="4" t="s">
        <v>87</v>
      </c>
      <c r="M319" s="15">
        <v>4.5088399143213099E-9</v>
      </c>
      <c r="N319" s="13">
        <v>209552</v>
      </c>
      <c r="O319" s="13">
        <v>209552</v>
      </c>
    </row>
    <row r="320" spans="2:25">
      <c r="B320" s="1" t="s">
        <v>99</v>
      </c>
      <c r="C320" s="8" t="s">
        <v>27</v>
      </c>
      <c r="D320" s="1">
        <v>1</v>
      </c>
      <c r="E320" s="1">
        <v>0</v>
      </c>
      <c r="F320" s="2">
        <v>380.22596829295651</v>
      </c>
      <c r="G320" s="3">
        <v>3.0999999999999999E-3</v>
      </c>
      <c r="H320" s="1">
        <v>7.3292357648150298E-3</v>
      </c>
      <c r="I320" s="2">
        <v>1</v>
      </c>
      <c r="J320" s="2">
        <f t="shared" si="8"/>
        <v>4.3323239018641991E-6</v>
      </c>
      <c r="K320" s="2">
        <f t="shared" si="9"/>
        <v>3.3683529764451077E-6</v>
      </c>
      <c r="L320" s="4">
        <v>9.9999999999999995E-7</v>
      </c>
      <c r="M320" s="1">
        <v>4.2250156413460665E-8</v>
      </c>
      <c r="N320" s="13">
        <v>230823</v>
      </c>
      <c r="O320" s="13">
        <v>296881</v>
      </c>
      <c r="P320" s="1">
        <f>AVERAGE(F320:F329)</f>
        <v>187.18247888443946</v>
      </c>
      <c r="Q320" s="3">
        <f>AVERAGE(G320:G329)</f>
        <v>1.9628920928283868E-2</v>
      </c>
      <c r="R320" s="1">
        <f>AVERAGE(H320:H329)</f>
        <v>1.895725903738376E-2</v>
      </c>
      <c r="S320" s="1">
        <f>AVERAGE(I320:I329)</f>
        <v>1.2</v>
      </c>
      <c r="T320" s="1">
        <f>AVERAGE(J320:J329)</f>
        <v>3.0882826012955557E-6</v>
      </c>
      <c r="U320" s="4">
        <f>AVERAGE(L320:L329)</f>
        <v>7.1666666666666655E-7</v>
      </c>
      <c r="V320" s="1">
        <f>AVERAGE(M320:M329)</f>
        <v>1.8742329737831282E-8</v>
      </c>
      <c r="W320" s="6" t="s">
        <v>11</v>
      </c>
      <c r="X320" s="1" t="s">
        <v>100</v>
      </c>
      <c r="Y320" s="1" t="s">
        <v>13</v>
      </c>
    </row>
    <row r="321" spans="2:25">
      <c r="B321" s="1" t="s">
        <v>99</v>
      </c>
      <c r="C321" s="8" t="s">
        <v>101</v>
      </c>
      <c r="D321" s="1">
        <v>1</v>
      </c>
      <c r="E321" s="1">
        <v>0</v>
      </c>
      <c r="F321" s="2">
        <v>56.213727740839424</v>
      </c>
      <c r="G321" s="3">
        <v>8.8000000000000005E-3</v>
      </c>
      <c r="H321" s="1">
        <v>7.2410993853647219E-3</v>
      </c>
      <c r="I321" s="2">
        <v>1</v>
      </c>
      <c r="J321" s="2">
        <f t="shared" si="8"/>
        <v>4.3323239018641991E-6</v>
      </c>
      <c r="K321" s="2">
        <f t="shared" si="9"/>
        <v>3.3683529764451077E-6</v>
      </c>
      <c r="L321" s="4">
        <v>9.9999999999999995E-7</v>
      </c>
      <c r="M321" s="1">
        <v>3.9478128804014657E-8</v>
      </c>
      <c r="N321" s="13">
        <v>230823</v>
      </c>
      <c r="O321" s="13">
        <v>296881</v>
      </c>
      <c r="P321" s="1">
        <f>STDEVP(F320:F329)</f>
        <v>377.22350912204598</v>
      </c>
      <c r="Q321" s="3">
        <f>STDEVP(G320:G329)</f>
        <v>1.628824072356894E-2</v>
      </c>
      <c r="R321" s="1">
        <f>STDEVP(H320:H329)</f>
        <v>1.5085457992456631E-2</v>
      </c>
      <c r="S321" s="1">
        <f>STDEVP(I320:I329)</f>
        <v>0.4</v>
      </c>
      <c r="T321" s="1">
        <f>STDEVP(J320:J329)</f>
        <v>1.1446596516123297E-6</v>
      </c>
      <c r="U321" s="4">
        <f>STDEVP(L320:L329)</f>
        <v>4.0173235977313162E-7</v>
      </c>
      <c r="V321" s="1">
        <f>STDEVP(M320:M329)</f>
        <v>1.6601544754550276E-8</v>
      </c>
      <c r="W321" s="6" t="s">
        <v>16</v>
      </c>
      <c r="X321" s="1" t="s">
        <v>100</v>
      </c>
      <c r="Y321" s="1" t="s">
        <v>13</v>
      </c>
    </row>
    <row r="322" spans="2:25">
      <c r="B322" s="1" t="s">
        <v>99</v>
      </c>
      <c r="C322" s="8" t="s">
        <v>106</v>
      </c>
      <c r="D322" s="1">
        <v>1</v>
      </c>
      <c r="E322" s="1">
        <v>0</v>
      </c>
      <c r="F322" s="2">
        <v>3.4038426865087095</v>
      </c>
      <c r="G322" s="3">
        <v>3.5000000000000001E-3</v>
      </c>
      <c r="H322" s="1">
        <v>7.2851675750898763E-3</v>
      </c>
      <c r="I322" s="2">
        <v>1</v>
      </c>
      <c r="J322" s="2">
        <f t="shared" ref="J322:J337" si="10">I322/N322</f>
        <v>4.3323239018641991E-6</v>
      </c>
      <c r="K322" s="2">
        <f t="shared" ref="K322:K337" si="11">I322/O322</f>
        <v>3.3683529764451077E-6</v>
      </c>
      <c r="L322" s="4">
        <v>9.9999999999999995E-7</v>
      </c>
      <c r="M322" s="1">
        <v>3.9389712178468497E-8</v>
      </c>
      <c r="N322" s="13">
        <v>230823</v>
      </c>
      <c r="O322" s="13">
        <v>296881</v>
      </c>
    </row>
    <row r="323" spans="2:25">
      <c r="B323" s="1" t="s">
        <v>99</v>
      </c>
      <c r="C323" s="8" t="s">
        <v>107</v>
      </c>
      <c r="D323" s="1">
        <v>1</v>
      </c>
      <c r="E323" s="1">
        <v>0</v>
      </c>
      <c r="F323" s="2">
        <v>0.56173973014421075</v>
      </c>
      <c r="G323" s="3">
        <v>8.8000000000000005E-3</v>
      </c>
      <c r="H323" s="1">
        <v>7.5774092543198423E-3</v>
      </c>
      <c r="I323" s="2">
        <v>1</v>
      </c>
      <c r="J323" s="2">
        <f t="shared" si="10"/>
        <v>4.3323239018641991E-6</v>
      </c>
      <c r="K323" s="2">
        <f t="shared" si="11"/>
        <v>3.3683529764451077E-6</v>
      </c>
      <c r="L323" s="4">
        <v>9.9999999999999995E-7</v>
      </c>
      <c r="M323" s="1">
        <v>3.4122151927163308E-8</v>
      </c>
      <c r="N323" s="13">
        <v>230823</v>
      </c>
      <c r="O323" s="13">
        <v>296881</v>
      </c>
    </row>
    <row r="324" spans="2:25">
      <c r="B324" s="1" t="s">
        <v>80</v>
      </c>
      <c r="C324" s="8" t="s">
        <v>81</v>
      </c>
      <c r="D324" s="1">
        <v>3</v>
      </c>
      <c r="E324" s="1">
        <v>0</v>
      </c>
      <c r="F324" s="17">
        <v>31.886052512916681</v>
      </c>
      <c r="G324" s="3">
        <v>3.9851714550509731E-2</v>
      </c>
      <c r="H324" s="17">
        <v>3.4527855009782719E-2</v>
      </c>
      <c r="I324" s="2">
        <v>2</v>
      </c>
      <c r="J324" s="2">
        <f t="shared" si="10"/>
        <v>3.6845101351662544E-6</v>
      </c>
      <c r="K324" s="2">
        <f t="shared" si="11"/>
        <v>3.4566970913622324E-6</v>
      </c>
      <c r="L324" s="4" t="s">
        <v>82</v>
      </c>
      <c r="M324" s="15">
        <v>6.8231148406697844E-9</v>
      </c>
      <c r="N324" s="13">
        <v>542813</v>
      </c>
      <c r="O324" s="13">
        <v>578587</v>
      </c>
      <c r="P324" s="18">
        <f>AVERAGE(F324:F334)</f>
        <v>11176.916837812129</v>
      </c>
      <c r="Q324" s="3">
        <f>AVERAGE(G324:G334)</f>
        <v>2.5095027414860839E-2</v>
      </c>
      <c r="R324" s="18">
        <f>AVERAGE(H324:H334)</f>
        <v>2.4079622052071346E-2</v>
      </c>
      <c r="S324" s="18">
        <f>AVERAGE(I324:I334)</f>
        <v>1.1818181818181819</v>
      </c>
      <c r="T324" s="18">
        <f>AVERAGE(J324:J334)</f>
        <v>1.9868331087054802E-6</v>
      </c>
      <c r="U324" s="4">
        <f>AVERAGE(L324:L334)</f>
        <v>6.9999999999999992E-8</v>
      </c>
      <c r="V324" s="18">
        <f>AVERAGE(M324:M334)</f>
        <v>3.3735102535161747E-9</v>
      </c>
      <c r="W324" s="6" t="s">
        <v>11</v>
      </c>
      <c r="X324" s="1" t="s">
        <v>83</v>
      </c>
      <c r="Y324" s="1" t="s">
        <v>13</v>
      </c>
    </row>
    <row r="325" spans="2:25">
      <c r="B325" s="1" t="s">
        <v>122</v>
      </c>
      <c r="C325" s="8" t="s">
        <v>77</v>
      </c>
      <c r="D325" s="1">
        <v>2</v>
      </c>
      <c r="E325" s="1">
        <v>0</v>
      </c>
      <c r="F325" s="2">
        <v>86.268511605055849</v>
      </c>
      <c r="G325" s="3">
        <v>5.7167985927880388E-2</v>
      </c>
      <c r="H325" s="2">
        <v>5.7428320140721197E-2</v>
      </c>
      <c r="I325" s="2">
        <v>2</v>
      </c>
      <c r="J325" s="2">
        <f t="shared" si="10"/>
        <v>2.5000000000000002E-6</v>
      </c>
      <c r="K325" s="2">
        <f t="shared" si="11"/>
        <v>2.1995664434583299E-7</v>
      </c>
      <c r="L325" s="4">
        <v>1.9999999999999999E-7</v>
      </c>
      <c r="M325" s="15">
        <v>1.0265510647317736E-8</v>
      </c>
      <c r="N325" s="13">
        <v>800000</v>
      </c>
      <c r="O325" s="13">
        <v>9092701</v>
      </c>
      <c r="P325" s="1">
        <f>STDEVP(F324:F336)</f>
        <v>30726.070497869776</v>
      </c>
      <c r="Q325" s="3">
        <f>STDEVP(G324:G336)</f>
        <v>1.2725098967591844E-2</v>
      </c>
      <c r="R325" s="1">
        <f>STDEVP(H324:H336)</f>
        <v>1.1148744313511849E-2</v>
      </c>
      <c r="S325" s="1">
        <f>STDEVP(I324:I336)</f>
        <v>0.36080121229410994</v>
      </c>
      <c r="T325" s="1">
        <f>STDEVP(J324:J336)</f>
        <v>6.2873623900230803E-7</v>
      </c>
      <c r="U325" s="4">
        <f>STDEVP(L324:L336)</f>
        <v>2.9559732369860483E-7</v>
      </c>
      <c r="V325" s="1">
        <f>STDEVP(M324:M336)</f>
        <v>1.3141715275734893E-8</v>
      </c>
      <c r="W325" s="6" t="s">
        <v>16</v>
      </c>
      <c r="X325" s="1" t="s">
        <v>124</v>
      </c>
      <c r="Y325" s="1" t="s">
        <v>13</v>
      </c>
    </row>
    <row r="326" spans="2:25">
      <c r="B326" s="1" t="s">
        <v>80</v>
      </c>
      <c r="C326" s="8" t="s">
        <v>93</v>
      </c>
      <c r="D326" s="1">
        <v>3</v>
      </c>
      <c r="E326" s="1">
        <v>0</v>
      </c>
      <c r="F326" s="17">
        <v>15.248927379011464</v>
      </c>
      <c r="G326" s="3">
        <v>1.4313664916074555E-2</v>
      </c>
      <c r="H326" s="17">
        <v>1.7009576768612915E-2</v>
      </c>
      <c r="I326" s="2">
        <v>1</v>
      </c>
      <c r="J326" s="2">
        <f t="shared" si="10"/>
        <v>1.8422550675831272E-6</v>
      </c>
      <c r="K326" s="2">
        <f t="shared" si="11"/>
        <v>1.7283485456811162E-6</v>
      </c>
      <c r="L326" s="4" t="s">
        <v>87</v>
      </c>
      <c r="M326" s="15">
        <v>3.4659010770778108E-9</v>
      </c>
      <c r="N326" s="13">
        <v>542813</v>
      </c>
      <c r="O326" s="13">
        <v>578587</v>
      </c>
    </row>
    <row r="327" spans="2:25">
      <c r="B327" s="1" t="s">
        <v>80</v>
      </c>
      <c r="C327" s="8" t="s">
        <v>86</v>
      </c>
      <c r="D327" s="1">
        <v>3</v>
      </c>
      <c r="E327" s="1">
        <v>0</v>
      </c>
      <c r="F327" s="17">
        <v>26.215887624863651</v>
      </c>
      <c r="G327" s="3">
        <v>2.1110081351045206E-2</v>
      </c>
      <c r="H327" s="17">
        <v>1.7501802080115335E-2</v>
      </c>
      <c r="I327" s="2">
        <v>1</v>
      </c>
      <c r="J327" s="2">
        <f t="shared" si="10"/>
        <v>1.8422550675831272E-6</v>
      </c>
      <c r="K327" s="2">
        <f t="shared" si="11"/>
        <v>1.7283485456811162E-6</v>
      </c>
      <c r="L327" s="4" t="s">
        <v>87</v>
      </c>
      <c r="M327" s="15">
        <v>4.3509605303848562E-9</v>
      </c>
      <c r="N327" s="13">
        <v>542813</v>
      </c>
      <c r="O327" s="13">
        <v>578587</v>
      </c>
    </row>
    <row r="328" spans="2:25">
      <c r="B328" s="1" t="s">
        <v>80</v>
      </c>
      <c r="C328" s="8" t="s">
        <v>60</v>
      </c>
      <c r="D328" s="1">
        <v>3</v>
      </c>
      <c r="E328" s="1">
        <v>0</v>
      </c>
      <c r="F328" s="17">
        <v>1271.308723339067</v>
      </c>
      <c r="G328" s="3">
        <v>1.5549376995160128E-2</v>
      </c>
      <c r="H328" s="17">
        <v>1.7076511172896717E-2</v>
      </c>
      <c r="I328" s="2">
        <v>1</v>
      </c>
      <c r="J328" s="2">
        <f t="shared" si="10"/>
        <v>1.8422550675831272E-6</v>
      </c>
      <c r="K328" s="2">
        <f t="shared" si="11"/>
        <v>1.7283485456811162E-6</v>
      </c>
      <c r="L328" s="4" t="s">
        <v>87</v>
      </c>
      <c r="M328" s="15">
        <v>3.7652555629244916E-9</v>
      </c>
      <c r="N328" s="13">
        <v>542813</v>
      </c>
      <c r="O328" s="13">
        <v>578587</v>
      </c>
    </row>
    <row r="329" spans="2:25">
      <c r="B329" s="1" t="s">
        <v>80</v>
      </c>
      <c r="C329" s="8" t="s">
        <v>94</v>
      </c>
      <c r="D329" s="1">
        <v>3</v>
      </c>
      <c r="E329" s="1">
        <v>0</v>
      </c>
      <c r="F329" s="2">
        <v>0.49140793303109198</v>
      </c>
      <c r="G329" s="3">
        <v>2.4096385542168676E-2</v>
      </c>
      <c r="H329" s="2">
        <v>1.6595613222119245E-2</v>
      </c>
      <c r="I329" s="2">
        <v>1</v>
      </c>
      <c r="J329" s="2">
        <f t="shared" si="10"/>
        <v>1.8422550675831272E-6</v>
      </c>
      <c r="K329" s="2">
        <f t="shared" si="11"/>
        <v>1.7283485456811162E-6</v>
      </c>
      <c r="L329" s="4">
        <v>9.9999999999999995E-8</v>
      </c>
      <c r="M329" s="15">
        <v>3.5124053968310397E-9</v>
      </c>
      <c r="N329" s="13">
        <v>542813</v>
      </c>
      <c r="O329" s="13">
        <v>578587</v>
      </c>
    </row>
    <row r="330" spans="2:25">
      <c r="B330" s="1" t="s">
        <v>127</v>
      </c>
      <c r="C330" s="8" t="s">
        <v>69</v>
      </c>
      <c r="D330" s="1">
        <v>4</v>
      </c>
      <c r="E330" s="1">
        <v>0</v>
      </c>
      <c r="F330" s="2">
        <v>1134.8483558884443</v>
      </c>
      <c r="G330" s="3">
        <v>1.2137203166226913E-2</v>
      </c>
      <c r="H330" s="2">
        <v>2.4103781882146E-2</v>
      </c>
      <c r="I330" s="2">
        <v>1</v>
      </c>
      <c r="J330" s="2">
        <f t="shared" si="10"/>
        <v>1.7690817581134512E-6</v>
      </c>
      <c r="K330" s="2">
        <f t="shared" si="11"/>
        <v>1.7690817581134512E-6</v>
      </c>
      <c r="L330" s="4">
        <v>4.0000000000000001E-8</v>
      </c>
      <c r="M330" s="15">
        <v>1.0661611146099819E-9</v>
      </c>
      <c r="N330" s="1">
        <v>565265</v>
      </c>
      <c r="O330" s="13">
        <v>565265</v>
      </c>
      <c r="P330" s="1">
        <f>AVERAGE(F330:F337)</f>
        <v>15439.927461344465</v>
      </c>
      <c r="Q330" s="3">
        <f>AVERAGE(G330:G337)</f>
        <v>2.3161502700531789E-2</v>
      </c>
      <c r="R330" s="1">
        <f>AVERAGE(H330:H337)</f>
        <v>2.1336933036159147E-2</v>
      </c>
      <c r="S330" s="1">
        <f>AVERAGE(I330:I337)</f>
        <v>1</v>
      </c>
      <c r="T330" s="1">
        <f>AVERAGE(J330:J337)</f>
        <v>1.4439542237826897E-6</v>
      </c>
      <c r="U330" s="4">
        <f>AVERAGE(L330:L337)</f>
        <v>1.7374999999999998E-7</v>
      </c>
      <c r="V330" s="1">
        <f>AVERAGE(M330:M337)</f>
        <v>8.4716399163796012E-9</v>
      </c>
      <c r="W330" s="6" t="s">
        <v>11</v>
      </c>
      <c r="X330" s="1" t="s">
        <v>136</v>
      </c>
      <c r="Y330" s="1" t="s">
        <v>13</v>
      </c>
    </row>
    <row r="331" spans="2:25" ht="31.5">
      <c r="B331" s="1" t="s">
        <v>127</v>
      </c>
      <c r="C331" s="10" t="s">
        <v>139</v>
      </c>
      <c r="D331" s="1">
        <v>4</v>
      </c>
      <c r="E331" s="1">
        <v>0</v>
      </c>
      <c r="F331" s="2">
        <v>113.70490960743949</v>
      </c>
      <c r="G331" s="3">
        <v>3.3773087071240104E-2</v>
      </c>
      <c r="H331" s="2">
        <v>2.4045734388742301E-2</v>
      </c>
      <c r="I331" s="2">
        <v>1</v>
      </c>
      <c r="J331" s="2">
        <f t="shared" si="10"/>
        <v>1.7690817581134512E-6</v>
      </c>
      <c r="K331" s="2">
        <f t="shared" si="11"/>
        <v>1.7690817581134512E-6</v>
      </c>
      <c r="L331" s="4">
        <v>4.0000000000000001E-8</v>
      </c>
      <c r="M331" s="15">
        <v>9.8147723387175604E-10</v>
      </c>
      <c r="N331" s="1">
        <v>565265</v>
      </c>
      <c r="O331" s="13">
        <v>565265</v>
      </c>
    </row>
    <row r="332" spans="2:25" ht="31.5">
      <c r="B332" s="1" t="s">
        <v>127</v>
      </c>
      <c r="C332" s="10" t="s">
        <v>138</v>
      </c>
      <c r="D332" s="1">
        <v>4</v>
      </c>
      <c r="E332" s="1">
        <v>0</v>
      </c>
      <c r="F332" s="2">
        <v>2.046913308462313</v>
      </c>
      <c r="G332" s="3">
        <v>2.9199648197009674E-2</v>
      </c>
      <c r="H332" s="2">
        <v>2.4886543535620052E-2</v>
      </c>
      <c r="I332" s="2">
        <v>1</v>
      </c>
      <c r="J332" s="2">
        <f t="shared" si="10"/>
        <v>1.7690817581134512E-6</v>
      </c>
      <c r="K332" s="2">
        <f t="shared" si="11"/>
        <v>1.7690817581134512E-6</v>
      </c>
      <c r="L332" s="4">
        <v>2.9999999999999997E-8</v>
      </c>
      <c r="M332" s="15">
        <v>1.0355702800923259E-9</v>
      </c>
      <c r="N332" s="1">
        <v>565265</v>
      </c>
      <c r="O332" s="13">
        <v>565265</v>
      </c>
    </row>
    <row r="333" spans="2:25">
      <c r="B333" s="1" t="s">
        <v>113</v>
      </c>
      <c r="C333" s="8" t="s">
        <v>118</v>
      </c>
      <c r="D333" s="1">
        <v>4</v>
      </c>
      <c r="E333" s="1">
        <v>0</v>
      </c>
      <c r="F333" s="2">
        <v>115968.92032935173</v>
      </c>
      <c r="G333" s="3">
        <v>9.2678405931417972E-3</v>
      </c>
      <c r="H333" s="2">
        <v>1.5782210367621476E-2</v>
      </c>
      <c r="I333" s="2">
        <v>1</v>
      </c>
      <c r="J333" s="2">
        <f t="shared" si="10"/>
        <v>1.4971942579605818E-6</v>
      </c>
      <c r="K333" s="2">
        <f t="shared" si="11"/>
        <v>1.0111295024332832E-6</v>
      </c>
      <c r="L333" s="4">
        <v>4.0000000000000001E-8</v>
      </c>
      <c r="M333" s="15">
        <v>8.9765882839591982E-10</v>
      </c>
      <c r="N333" s="13">
        <v>667916</v>
      </c>
      <c r="O333" s="13">
        <v>988993</v>
      </c>
      <c r="P333" s="1">
        <f>AVERAGE(F333:F334)</f>
        <v>60132.032763367562</v>
      </c>
      <c r="Q333" s="3">
        <f>AVERAGE(G333:G334)</f>
        <v>1.4423076923076924E-2</v>
      </c>
      <c r="R333" s="1">
        <f>AVERAGE(H333:H334)</f>
        <v>1.5850052186014145E-2</v>
      </c>
      <c r="S333" s="1">
        <f>AVERAGE(I333:I334)</f>
        <v>1</v>
      </c>
      <c r="T333" s="1">
        <v>1.4971942579605818E-6</v>
      </c>
      <c r="U333" s="4">
        <f>AVERAGE(L333:L334)</f>
        <v>4.0000000000000001E-8</v>
      </c>
      <c r="V333" s="1">
        <f>AVERAGE(M333:M334)</f>
        <v>9.2112805244907035E-10</v>
      </c>
      <c r="W333" s="6" t="s">
        <v>11</v>
      </c>
      <c r="X333" s="1" t="s">
        <v>119</v>
      </c>
      <c r="Y333" s="1" t="s">
        <v>13</v>
      </c>
    </row>
    <row r="334" spans="2:25">
      <c r="B334" s="1" t="s">
        <v>113</v>
      </c>
      <c r="C334" s="8" t="s">
        <v>36</v>
      </c>
      <c r="D334" s="1">
        <v>4</v>
      </c>
      <c r="E334" s="1">
        <v>0</v>
      </c>
      <c r="F334" s="2">
        <v>4295.1451973833973</v>
      </c>
      <c r="G334" s="3">
        <v>1.9578313253012049E-2</v>
      </c>
      <c r="H334" s="2">
        <v>1.5917894004406817E-2</v>
      </c>
      <c r="I334" s="2">
        <v>1</v>
      </c>
      <c r="J334" s="2">
        <f t="shared" si="10"/>
        <v>1.4971942579605818E-6</v>
      </c>
      <c r="K334" s="2">
        <f t="shared" si="11"/>
        <v>1.0111295024332832E-6</v>
      </c>
      <c r="L334" s="4">
        <v>4.0000000000000001E-8</v>
      </c>
      <c r="M334" s="15">
        <v>9.4459727650222077E-10</v>
      </c>
      <c r="N334" s="13">
        <v>667916</v>
      </c>
      <c r="O334" s="13">
        <v>988993</v>
      </c>
      <c r="Q334" s="3"/>
      <c r="U334" s="4"/>
    </row>
    <row r="335" spans="2:25">
      <c r="B335" s="1" t="s">
        <v>122</v>
      </c>
      <c r="C335" s="8" t="s">
        <v>75</v>
      </c>
      <c r="D335" s="1">
        <v>2</v>
      </c>
      <c r="E335" s="1">
        <v>0</v>
      </c>
      <c r="F335" s="2">
        <v>5.1278749719473193</v>
      </c>
      <c r="G335" s="3">
        <v>3.518029903254178E-2</v>
      </c>
      <c r="H335" s="2">
        <v>2.9393139841688655E-2</v>
      </c>
      <c r="I335" s="2">
        <v>1</v>
      </c>
      <c r="J335" s="2">
        <f t="shared" si="10"/>
        <v>1.2500000000000001E-6</v>
      </c>
      <c r="K335" s="2">
        <f t="shared" si="11"/>
        <v>1.0997832217291649E-7</v>
      </c>
      <c r="L335" s="4">
        <v>9.9999999999999995E-8</v>
      </c>
      <c r="M335" s="15">
        <v>5.5644758920739022E-9</v>
      </c>
      <c r="N335" s="13">
        <v>800000</v>
      </c>
      <c r="O335" s="13">
        <v>9092701</v>
      </c>
      <c r="P335" s="1">
        <f>AVERAGE(F335:F347)</f>
        <v>668.25132840541039</v>
      </c>
      <c r="Q335" s="3">
        <f>AVERAGE(G335:G347)</f>
        <v>2.7111976441207924E-2</v>
      </c>
      <c r="R335" s="1">
        <f>AVERAGE(H335:H347)</f>
        <v>2.1986433370245514E-2</v>
      </c>
      <c r="S335" s="1">
        <f>AVERAGE(I335:I347)</f>
        <v>1</v>
      </c>
      <c r="T335" s="1">
        <f>AVERAGE(J335:J347)</f>
        <v>1.0833333333333335E-6</v>
      </c>
      <c r="U335" s="4">
        <f>AVERAGE(L335:L347)</f>
        <v>3.9999999999999998E-7</v>
      </c>
      <c r="V335" s="1">
        <f>AVERAGE(M335:M347)</f>
        <v>2.09492181991882E-8</v>
      </c>
      <c r="W335" s="6" t="s">
        <v>11</v>
      </c>
      <c r="X335" s="1" t="s">
        <v>124</v>
      </c>
      <c r="Y335" s="1" t="s">
        <v>13</v>
      </c>
    </row>
    <row r="336" spans="2:25">
      <c r="B336" s="1" t="s">
        <v>99</v>
      </c>
      <c r="C336" s="8" t="s">
        <v>43</v>
      </c>
      <c r="D336" s="1">
        <v>2</v>
      </c>
      <c r="E336" s="1">
        <v>0</v>
      </c>
      <c r="F336" s="2">
        <v>1999.4641436095126</v>
      </c>
      <c r="G336" s="3">
        <v>2.5513162472457381E-2</v>
      </c>
      <c r="H336" s="2">
        <v>1.8433259886350455E-2</v>
      </c>
      <c r="I336" s="2">
        <v>1</v>
      </c>
      <c r="J336" s="2">
        <f t="shared" si="10"/>
        <v>9.9999999999999995E-7</v>
      </c>
      <c r="K336" s="2">
        <f t="shared" si="11"/>
        <v>9.3535657195557808E-7</v>
      </c>
      <c r="L336" s="4">
        <v>9.9999999999999995E-7</v>
      </c>
      <c r="M336" s="15">
        <v>5.1836420434454326E-8</v>
      </c>
      <c r="N336" s="13">
        <v>1000000</v>
      </c>
      <c r="O336" s="13">
        <v>1069111</v>
      </c>
      <c r="P336" s="1">
        <f>STDEVP(F335:F342)</f>
        <v>941.31179198114319</v>
      </c>
      <c r="Q336" s="3">
        <f>STDEVP(G335:G342)</f>
        <v>6.0417596046786568E-3</v>
      </c>
      <c r="R336" s="1">
        <f>STDEVP(H335:H342)</f>
        <v>5.2387676364737496E-3</v>
      </c>
      <c r="S336" s="1">
        <f>STDEVP(I335:I342)</f>
        <v>0</v>
      </c>
      <c r="T336" s="1">
        <f>STDEVP(J335:J342)</f>
        <v>1.17851130197758E-7</v>
      </c>
      <c r="U336" s="4">
        <f>STDEVP(L335:L342)</f>
        <v>4.2426406871192855E-7</v>
      </c>
      <c r="V336" s="1">
        <f>STDEVP(M335:M342)</f>
        <v>2.1840603025881971E-8</v>
      </c>
      <c r="W336" s="6" t="s">
        <v>16</v>
      </c>
      <c r="X336" s="1" t="s">
        <v>110</v>
      </c>
      <c r="Y336" s="1" t="s">
        <v>13</v>
      </c>
    </row>
    <row r="337" spans="2:15">
      <c r="B337" s="1" t="s">
        <v>99</v>
      </c>
      <c r="C337" s="8" t="s">
        <v>18</v>
      </c>
      <c r="D337" s="1">
        <v>2</v>
      </c>
      <c r="E337" s="1">
        <v>0</v>
      </c>
      <c r="F337" s="2">
        <v>0.16196663477119816</v>
      </c>
      <c r="G337" s="3">
        <v>2.064246781862461E-2</v>
      </c>
      <c r="H337" s="2">
        <v>1.813290038269744E-2</v>
      </c>
      <c r="I337" s="2">
        <v>1</v>
      </c>
      <c r="J337" s="2">
        <f t="shared" si="10"/>
        <v>9.9999999999999995E-7</v>
      </c>
      <c r="K337" s="2">
        <f t="shared" si="11"/>
        <v>9.3535657195557808E-7</v>
      </c>
      <c r="L337" s="4">
        <v>9.9999999999999995E-8</v>
      </c>
      <c r="M337" s="15">
        <v>5.4467582710363773E-9</v>
      </c>
      <c r="N337" s="13">
        <v>1000000</v>
      </c>
      <c r="O337" s="13">
        <v>1069111</v>
      </c>
    </row>
  </sheetData>
  <autoFilter ref="A1:Y337" xr:uid="{00000000-0009-0000-0000-000000000000}">
    <sortState xmlns:xlrd2="http://schemas.microsoft.com/office/spreadsheetml/2017/richdata2" ref="A2:Y337">
      <sortCondition descending="1" ref="J1:J337"/>
    </sortState>
  </autoFilter>
  <phoneticPr fontId="3" type="noConversion"/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theme="6" tint="-0.499984740745262"/>
        <color theme="9" tint="0.59999389629810485"/>
      </colorScale>
    </cfRule>
  </conditionalFormatting>
  <conditionalFormatting sqref="F1:O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7"/>
  <sheetViews>
    <sheetView zoomScale="55" zoomScaleNormal="55" workbookViewId="0"/>
  </sheetViews>
  <sheetFormatPr defaultRowHeight="15.75"/>
  <cols>
    <col min="1" max="1" width="11.7109375" customWidth="1"/>
    <col min="2" max="2" width="25.28515625" customWidth="1"/>
    <col min="4" max="4" width="9.140625" customWidth="1"/>
    <col min="5" max="6" width="17.5703125" customWidth="1"/>
    <col min="7" max="7" width="13.7109375" customWidth="1"/>
    <col min="8" max="8" width="13.140625" customWidth="1"/>
    <col min="9" max="9" width="13.140625" style="3" customWidth="1"/>
    <col min="10" max="10" width="12.5703125" style="1" customWidth="1"/>
    <col min="18" max="18" width="17.28515625" customWidth="1"/>
    <col min="19" max="19" width="29.7109375" customWidth="1"/>
    <col min="20" max="20" width="23.28515625" customWidth="1"/>
    <col min="21" max="21" width="22.5703125" customWidth="1"/>
    <col min="22" max="22" width="23.5703125" customWidth="1"/>
    <col min="23" max="23" width="18.140625" customWidth="1"/>
    <col min="24" max="24" width="21.140625" customWidth="1"/>
  </cols>
  <sheetData>
    <row r="1" spans="1:24" ht="125.25" customHeight="1">
      <c r="A1" s="7" t="s">
        <v>500</v>
      </c>
      <c r="B1" s="6" t="s">
        <v>0</v>
      </c>
      <c r="C1" s="6" t="s">
        <v>1</v>
      </c>
      <c r="D1" s="6" t="s">
        <v>2</v>
      </c>
      <c r="E1" s="10" t="s">
        <v>344</v>
      </c>
      <c r="F1" s="10" t="s">
        <v>345</v>
      </c>
      <c r="G1" s="10" t="s">
        <v>368</v>
      </c>
      <c r="H1" s="7" t="s">
        <v>8</v>
      </c>
      <c r="I1" s="9" t="s">
        <v>4</v>
      </c>
      <c r="J1" s="7" t="s">
        <v>5</v>
      </c>
      <c r="L1" s="10" t="s">
        <v>296</v>
      </c>
      <c r="M1" s="10" t="s">
        <v>297</v>
      </c>
      <c r="N1" s="10" t="s">
        <v>298</v>
      </c>
      <c r="O1" s="10" t="s">
        <v>299</v>
      </c>
      <c r="P1" s="10" t="s">
        <v>300</v>
      </c>
      <c r="Q1" s="10" t="s">
        <v>296</v>
      </c>
      <c r="S1" s="10" t="s">
        <v>181</v>
      </c>
      <c r="T1" s="10" t="s">
        <v>368</v>
      </c>
      <c r="U1" s="7" t="s">
        <v>8</v>
      </c>
      <c r="V1" s="9" t="s">
        <v>4</v>
      </c>
      <c r="W1" s="7" t="s">
        <v>5</v>
      </c>
      <c r="X1" s="10" t="s">
        <v>308</v>
      </c>
    </row>
    <row r="2" spans="1:24">
      <c r="A2" s="1" t="s">
        <v>218</v>
      </c>
      <c r="B2" s="8" t="s">
        <v>189</v>
      </c>
      <c r="C2" s="1">
        <v>1</v>
      </c>
      <c r="D2" s="1">
        <v>0</v>
      </c>
      <c r="E2" s="24">
        <v>1.945903872348706E-4</v>
      </c>
      <c r="F2" s="24">
        <f t="shared" ref="F2:F65" si="0">E2*E2</f>
        <v>3.786541880421689E-8</v>
      </c>
      <c r="G2" s="24">
        <v>7.952286282306163E-5</v>
      </c>
      <c r="H2" s="23">
        <v>4.2250156413460665E-8</v>
      </c>
      <c r="I2" s="22">
        <v>7.7000000000000002E-3</v>
      </c>
      <c r="J2" s="23">
        <v>8.5963003264417845E-3</v>
      </c>
      <c r="L2">
        <f t="shared" ref="L2:L65" si="1">IF(E2&gt;$S$3,1,0)</f>
        <v>0</v>
      </c>
      <c r="M2" s="37">
        <f t="shared" ref="M2:M65" si="2">IF(G2&gt;$T$3,1,0)</f>
        <v>0</v>
      </c>
      <c r="N2" s="37">
        <f t="shared" ref="N2:N65" si="3">IF(H2&gt;$U$3,1,0)</f>
        <v>0</v>
      </c>
      <c r="O2" s="37">
        <f t="shared" ref="O2:O65" si="4">IF(I2&gt;$V$3,1,0)</f>
        <v>0</v>
      </c>
      <c r="P2" s="37">
        <f t="shared" ref="P2:P65" si="5">IF(J2&gt;$W$3,1,0)</f>
        <v>0</v>
      </c>
      <c r="Q2">
        <f t="shared" ref="Q2:Q65" si="6">IF(E2&gt;$X$3,1,0)</f>
        <v>0</v>
      </c>
      <c r="R2" s="36" t="s">
        <v>185</v>
      </c>
      <c r="S2" s="36" t="s">
        <v>374</v>
      </c>
      <c r="T2" s="36" t="s">
        <v>375</v>
      </c>
      <c r="U2" s="36" t="s">
        <v>376</v>
      </c>
      <c r="V2" s="36" t="s">
        <v>377</v>
      </c>
      <c r="W2" s="36" t="s">
        <v>378</v>
      </c>
      <c r="X2" s="36" t="s">
        <v>374</v>
      </c>
    </row>
    <row r="3" spans="1:24">
      <c r="A3" s="1" t="s">
        <v>187</v>
      </c>
      <c r="B3" s="8" t="s">
        <v>189</v>
      </c>
      <c r="C3" s="1">
        <v>1</v>
      </c>
      <c r="D3" s="1">
        <v>0</v>
      </c>
      <c r="E3" s="24">
        <v>1.4419096022613711E-3</v>
      </c>
      <c r="F3" s="24">
        <f t="shared" si="0"/>
        <v>2.0791033010935452E-6</v>
      </c>
      <c r="G3" s="24">
        <v>6.1890035908476282E-4</v>
      </c>
      <c r="H3" s="23">
        <v>1.436505318057663E-6</v>
      </c>
      <c r="I3" s="22">
        <v>7.4499999999999997E-2</v>
      </c>
      <c r="J3" s="23">
        <v>2.47987567987568</v>
      </c>
      <c r="L3">
        <f t="shared" si="1"/>
        <v>0</v>
      </c>
      <c r="M3" s="37">
        <f t="shared" si="2"/>
        <v>0</v>
      </c>
      <c r="N3" s="37">
        <f t="shared" si="3"/>
        <v>1</v>
      </c>
      <c r="O3" s="37">
        <f t="shared" si="4"/>
        <v>0</v>
      </c>
      <c r="P3" s="37">
        <f t="shared" si="5"/>
        <v>1</v>
      </c>
      <c r="Q3">
        <f t="shared" si="6"/>
        <v>0</v>
      </c>
      <c r="R3">
        <f>COUNTIF($D$2:$D$337,0)</f>
        <v>158</v>
      </c>
      <c r="S3">
        <v>0.5</v>
      </c>
      <c r="T3">
        <v>1E-3</v>
      </c>
      <c r="U3">
        <v>1.9999999999999999E-7</v>
      </c>
      <c r="V3">
        <v>0.3</v>
      </c>
      <c r="W3">
        <v>1.55</v>
      </c>
      <c r="X3">
        <v>3.5000000000000001E-3</v>
      </c>
    </row>
    <row r="4" spans="1:24">
      <c r="A4" s="1" t="s">
        <v>211</v>
      </c>
      <c r="B4" s="8" t="s">
        <v>189</v>
      </c>
      <c r="C4" s="1">
        <v>1</v>
      </c>
      <c r="D4" s="1">
        <v>0</v>
      </c>
      <c r="E4" s="24">
        <v>4.3323239018641991E-6</v>
      </c>
      <c r="F4" s="24">
        <f t="shared" si="0"/>
        <v>1.8769030390663838E-11</v>
      </c>
      <c r="G4" s="24">
        <v>3.3683529764451077E-6</v>
      </c>
      <c r="H4" s="23">
        <v>4.2250156413460665E-8</v>
      </c>
      <c r="I4" s="22">
        <v>3.0999999999999999E-3</v>
      </c>
      <c r="J4" s="23">
        <v>7.3292357648150298E-3</v>
      </c>
      <c r="L4">
        <f t="shared" si="1"/>
        <v>0</v>
      </c>
      <c r="M4" s="37">
        <f t="shared" si="2"/>
        <v>0</v>
      </c>
      <c r="N4" s="37">
        <f t="shared" si="3"/>
        <v>0</v>
      </c>
      <c r="O4" s="37">
        <f t="shared" si="4"/>
        <v>0</v>
      </c>
      <c r="P4" s="37">
        <f t="shared" si="5"/>
        <v>0</v>
      </c>
      <c r="Q4">
        <f t="shared" si="6"/>
        <v>0</v>
      </c>
      <c r="R4" s="36" t="s">
        <v>186</v>
      </c>
      <c r="S4" s="48">
        <f>COUNTIFS($D$2:$D$337,"=0",$L$2:$L$337,"=0")</f>
        <v>158</v>
      </c>
      <c r="T4" s="48">
        <f>COUNTIFS($D$2:$D$337,"=0",$M$2:$M$337,"=0")</f>
        <v>126</v>
      </c>
      <c r="U4" s="48">
        <f>COUNTIFS($D$2:$D$337,"=0",$N$2:$N$337,"=0")</f>
        <v>111</v>
      </c>
      <c r="V4" s="48">
        <f>COUNTIFS($D$2:$D$337,"=0",$O$2:$O$337,"=0")</f>
        <v>118</v>
      </c>
      <c r="W4" s="48">
        <f>COUNTIFS($D$2:$D$337,"=0",$P$2:$P$337,"=0")</f>
        <v>121</v>
      </c>
      <c r="X4" s="48">
        <f>COUNTIFS($D$2:$D$337,"=0",$Q$2:$Q$337,"=0",$A$2:$A$337,"&lt;&gt;BYDV")</f>
        <v>84</v>
      </c>
    </row>
    <row r="5" spans="1:24">
      <c r="A5" s="1" t="s">
        <v>187</v>
      </c>
      <c r="B5" s="8" t="s">
        <v>199</v>
      </c>
      <c r="C5" s="1">
        <v>1</v>
      </c>
      <c r="D5" s="1">
        <v>0</v>
      </c>
      <c r="E5" s="24">
        <v>1.84640569530499E-3</v>
      </c>
      <c r="F5" s="24">
        <f t="shared" si="0"/>
        <v>3.4092139916547035E-6</v>
      </c>
      <c r="G5" s="24">
        <v>7.925192716993002E-4</v>
      </c>
      <c r="H5" s="23">
        <v>1.8721380889879529E-6</v>
      </c>
      <c r="I5" s="22">
        <v>7.4499999999999997E-2</v>
      </c>
      <c r="J5" s="23">
        <v>3.1609790209790209</v>
      </c>
      <c r="L5">
        <f t="shared" si="1"/>
        <v>0</v>
      </c>
      <c r="M5" s="37">
        <f t="shared" si="2"/>
        <v>0</v>
      </c>
      <c r="N5" s="37">
        <f t="shared" si="3"/>
        <v>1</v>
      </c>
      <c r="O5" s="37">
        <f t="shared" si="4"/>
        <v>0</v>
      </c>
      <c r="P5" s="37">
        <f t="shared" si="5"/>
        <v>1</v>
      </c>
      <c r="Q5">
        <f t="shared" si="6"/>
        <v>0</v>
      </c>
      <c r="R5">
        <f>COUNTIF($D$2:$D$337,1)</f>
        <v>176</v>
      </c>
      <c r="S5" s="48">
        <f>($S$4/$R$3)*100</f>
        <v>100</v>
      </c>
      <c r="T5" s="48">
        <f>($T$4/$R$3)*100</f>
        <v>79.74683544303798</v>
      </c>
      <c r="U5" s="48">
        <f>($U$4/$R$3)*100</f>
        <v>70.25316455696202</v>
      </c>
      <c r="V5" s="48">
        <f>($V$4/$R$3)*100</f>
        <v>74.683544303797461</v>
      </c>
      <c r="W5" s="48">
        <f>($W$4/$R$3)*100</f>
        <v>76.582278481012651</v>
      </c>
      <c r="X5" s="48">
        <f>($X$4/$R$9)*100</f>
        <v>76.363636363636374</v>
      </c>
    </row>
    <row r="6" spans="1:24">
      <c r="A6" s="1" t="s">
        <v>187</v>
      </c>
      <c r="B6" s="8" t="s">
        <v>198</v>
      </c>
      <c r="C6" s="1">
        <v>1</v>
      </c>
      <c r="D6" s="1">
        <v>0</v>
      </c>
      <c r="E6" s="24">
        <v>1.9939277998267807E-3</v>
      </c>
      <c r="F6" s="24">
        <f t="shared" si="0"/>
        <v>3.9757480709220665E-6</v>
      </c>
      <c r="G6" s="24">
        <v>8.5583911041754322E-4</v>
      </c>
      <c r="H6" s="23">
        <v>2.0221455402393687E-6</v>
      </c>
      <c r="I6" s="22">
        <v>7.4499999999999997E-2</v>
      </c>
      <c r="J6" s="23">
        <v>3.4406617456617452</v>
      </c>
      <c r="L6">
        <f t="shared" si="1"/>
        <v>0</v>
      </c>
      <c r="M6" s="37">
        <f t="shared" si="2"/>
        <v>0</v>
      </c>
      <c r="N6" s="37">
        <f t="shared" si="3"/>
        <v>1</v>
      </c>
      <c r="O6" s="37">
        <f t="shared" si="4"/>
        <v>0</v>
      </c>
      <c r="P6" s="37">
        <f t="shared" si="5"/>
        <v>1</v>
      </c>
      <c r="Q6">
        <f t="shared" si="6"/>
        <v>0</v>
      </c>
      <c r="S6" s="36" t="s">
        <v>369</v>
      </c>
      <c r="T6" s="36" t="s">
        <v>370</v>
      </c>
      <c r="U6" s="36" t="s">
        <v>371</v>
      </c>
      <c r="V6" s="36" t="s">
        <v>372</v>
      </c>
      <c r="W6" s="36" t="s">
        <v>373</v>
      </c>
      <c r="X6" s="36" t="s">
        <v>369</v>
      </c>
    </row>
    <row r="7" spans="1:24">
      <c r="A7" s="1" t="s">
        <v>187</v>
      </c>
      <c r="B7" s="8" t="s">
        <v>200</v>
      </c>
      <c r="C7" s="1">
        <v>1</v>
      </c>
      <c r="D7" s="1">
        <v>0</v>
      </c>
      <c r="E7" s="24">
        <v>1.7988179196527995E-3</v>
      </c>
      <c r="F7" s="24">
        <f t="shared" si="0"/>
        <v>3.2357459080640254E-6</v>
      </c>
      <c r="G7" s="24">
        <v>7.7209351727406056E-4</v>
      </c>
      <c r="H7" s="23">
        <v>1.8263070688305687E-6</v>
      </c>
      <c r="I7" s="22">
        <v>7.4499999999999997E-2</v>
      </c>
      <c r="J7" s="23">
        <v>3.0569930069930074</v>
      </c>
      <c r="L7">
        <f t="shared" si="1"/>
        <v>0</v>
      </c>
      <c r="M7" s="37">
        <f t="shared" si="2"/>
        <v>0</v>
      </c>
      <c r="N7" s="37">
        <f t="shared" si="3"/>
        <v>1</v>
      </c>
      <c r="O7" s="37">
        <f t="shared" si="4"/>
        <v>0</v>
      </c>
      <c r="P7" s="37">
        <f t="shared" si="5"/>
        <v>1</v>
      </c>
      <c r="Q7">
        <f t="shared" si="6"/>
        <v>0</v>
      </c>
      <c r="R7" t="s">
        <v>309</v>
      </c>
      <c r="S7">
        <v>2.5000000000000001E-3</v>
      </c>
      <c r="T7">
        <v>1E-3</v>
      </c>
      <c r="U7">
        <v>1.9999999999999999E-7</v>
      </c>
      <c r="V7">
        <v>0.3</v>
      </c>
      <c r="W7">
        <v>1.55</v>
      </c>
      <c r="X7">
        <v>3.5000000000000001E-3</v>
      </c>
    </row>
    <row r="8" spans="1:24">
      <c r="A8" s="1" t="s">
        <v>218</v>
      </c>
      <c r="B8" s="8" t="s">
        <v>197</v>
      </c>
      <c r="C8" s="1">
        <v>1</v>
      </c>
      <c r="D8" s="1">
        <v>0</v>
      </c>
      <c r="E8" s="24">
        <v>1.945903872348706E-4</v>
      </c>
      <c r="F8" s="24">
        <f t="shared" si="0"/>
        <v>3.786541880421689E-8</v>
      </c>
      <c r="G8" s="24">
        <v>7.952286282306163E-5</v>
      </c>
      <c r="H8" s="23">
        <v>3.8954275402999719E-8</v>
      </c>
      <c r="I8" s="22">
        <v>7.6E-3</v>
      </c>
      <c r="J8" s="23">
        <v>8.5418933623503807E-3</v>
      </c>
      <c r="L8">
        <f t="shared" si="1"/>
        <v>0</v>
      </c>
      <c r="M8" s="37">
        <f t="shared" si="2"/>
        <v>0</v>
      </c>
      <c r="N8" s="37">
        <f t="shared" si="3"/>
        <v>0</v>
      </c>
      <c r="O8" s="37">
        <f t="shared" si="4"/>
        <v>0</v>
      </c>
      <c r="P8" s="37">
        <f t="shared" si="5"/>
        <v>0</v>
      </c>
      <c r="Q8">
        <f t="shared" si="6"/>
        <v>0</v>
      </c>
      <c r="R8" s="36" t="s">
        <v>185</v>
      </c>
      <c r="S8" s="48">
        <f>COUNTIFS($D$2:$D$337,"=1",$L$2:$L$337,"=1")</f>
        <v>35</v>
      </c>
      <c r="T8" s="48">
        <f>COUNTIFS($D$2:$D$337,"=1",$M$2:$M$337,"=1")</f>
        <v>141</v>
      </c>
      <c r="U8" s="48">
        <f>COUNTIFS($D$2:$D$337,"=1",$N$2:$N$337,"=1")</f>
        <v>129</v>
      </c>
      <c r="V8" s="48">
        <f>COUNTIFS($D$2:$D$337,"=1",$O$2:$O$337,"=1")</f>
        <v>128</v>
      </c>
      <c r="W8" s="48">
        <f>COUNTIFS($D$2:$D$337,"=1",$P$2:$P$337,"=1")</f>
        <v>137</v>
      </c>
      <c r="X8" s="48">
        <f>COUNTIFS($D$2:$D$337,"=1",$Q$2:$Q$337,"=1",$A$2:$A$337,"&lt;&gt;BYDV")</f>
        <v>129</v>
      </c>
    </row>
    <row r="9" spans="1:24">
      <c r="A9" s="1" t="s">
        <v>187</v>
      </c>
      <c r="B9" s="8" t="s">
        <v>197</v>
      </c>
      <c r="C9" s="1">
        <v>1</v>
      </c>
      <c r="D9" s="1">
        <v>0</v>
      </c>
      <c r="E9" s="24">
        <v>2.1033796838268184E-3</v>
      </c>
      <c r="F9" s="24">
        <f t="shared" si="0"/>
        <v>4.4242060943354066E-6</v>
      </c>
      <c r="G9" s="24">
        <v>9.0281834559559457E-4</v>
      </c>
      <c r="H9" s="23">
        <v>2.103530871761985E-6</v>
      </c>
      <c r="I9" s="22">
        <v>7.4499999999999997E-2</v>
      </c>
      <c r="J9" s="23">
        <v>3.5946127946127944</v>
      </c>
      <c r="L9">
        <f t="shared" si="1"/>
        <v>0</v>
      </c>
      <c r="M9" s="37">
        <f t="shared" si="2"/>
        <v>0</v>
      </c>
      <c r="N9" s="37">
        <f t="shared" si="3"/>
        <v>1</v>
      </c>
      <c r="O9" s="37">
        <f t="shared" si="4"/>
        <v>0</v>
      </c>
      <c r="P9" s="37">
        <f t="shared" si="5"/>
        <v>1</v>
      </c>
      <c r="Q9">
        <f t="shared" si="6"/>
        <v>0</v>
      </c>
      <c r="R9">
        <f>COUNTIFS($D$2:$D$337,0,$A$2:$A$337,"&lt;&gt;BYDV")</f>
        <v>110</v>
      </c>
      <c r="S9" s="48">
        <f>($S$8/$R$5)*100</f>
        <v>19.886363636363637</v>
      </c>
      <c r="T9" s="48">
        <f>($T$8/$R$5)*100</f>
        <v>80.11363636363636</v>
      </c>
      <c r="U9" s="48">
        <f>($U$8/$R$5)*100</f>
        <v>73.295454545454547</v>
      </c>
      <c r="V9" s="48">
        <f>($V$8/$R$5)*100</f>
        <v>72.727272727272734</v>
      </c>
      <c r="W9" s="48">
        <f>($W$8/$R$5)*100</f>
        <v>77.840909090909093</v>
      </c>
      <c r="X9" s="48">
        <f>($X$8/$R$11)*100</f>
        <v>77.245508982035929</v>
      </c>
    </row>
    <row r="10" spans="1:24">
      <c r="A10" s="1" t="s">
        <v>218</v>
      </c>
      <c r="B10" s="8" t="s">
        <v>202</v>
      </c>
      <c r="C10" s="1">
        <v>1</v>
      </c>
      <c r="D10" s="1">
        <v>0</v>
      </c>
      <c r="E10" s="24">
        <v>1.945903872348706E-4</v>
      </c>
      <c r="F10" s="24">
        <f t="shared" si="0"/>
        <v>3.786541880421689E-8</v>
      </c>
      <c r="G10" s="24">
        <v>7.952286282306163E-5</v>
      </c>
      <c r="H10" s="23">
        <v>3.8365291586095425E-8</v>
      </c>
      <c r="I10" s="22">
        <v>7.7000000000000002E-3</v>
      </c>
      <c r="J10" s="23">
        <v>8.5282916213275297E-3</v>
      </c>
      <c r="L10">
        <f t="shared" si="1"/>
        <v>0</v>
      </c>
      <c r="M10" s="37">
        <f t="shared" si="2"/>
        <v>0</v>
      </c>
      <c r="N10" s="37">
        <f t="shared" si="3"/>
        <v>0</v>
      </c>
      <c r="O10" s="37">
        <f t="shared" si="4"/>
        <v>0</v>
      </c>
      <c r="P10" s="37">
        <f t="shared" si="5"/>
        <v>0</v>
      </c>
      <c r="Q10">
        <f t="shared" si="6"/>
        <v>0</v>
      </c>
      <c r="R10" s="36" t="s">
        <v>186</v>
      </c>
    </row>
    <row r="11" spans="1:24">
      <c r="A11" s="1" t="s">
        <v>187</v>
      </c>
      <c r="B11" s="8" t="s">
        <v>202</v>
      </c>
      <c r="C11" s="1">
        <v>1</v>
      </c>
      <c r="D11" s="1">
        <v>0</v>
      </c>
      <c r="E11" s="24">
        <v>5.0395454415669699E-3</v>
      </c>
      <c r="F11" s="24">
        <f t="shared" si="0"/>
        <v>2.5397018257618427E-5</v>
      </c>
      <c r="G11" s="24">
        <v>2.1630873936328838E-3</v>
      </c>
      <c r="H11" s="23">
        <v>5.0642184893645971E-6</v>
      </c>
      <c r="I11" s="22">
        <v>0.88819999999999999</v>
      </c>
      <c r="J11" s="23">
        <v>8.5987179487179493</v>
      </c>
      <c r="L11">
        <f t="shared" si="1"/>
        <v>0</v>
      </c>
      <c r="M11" s="37">
        <f t="shared" si="2"/>
        <v>1</v>
      </c>
      <c r="N11" s="37">
        <f t="shared" si="3"/>
        <v>1</v>
      </c>
      <c r="O11" s="37">
        <f t="shared" si="4"/>
        <v>1</v>
      </c>
      <c r="P11" s="37">
        <f t="shared" si="5"/>
        <v>1</v>
      </c>
      <c r="Q11">
        <f t="shared" si="6"/>
        <v>1</v>
      </c>
      <c r="R11">
        <f>COUNTIFS($D$2:$D$337,1,$A$2:$A$337,"&lt;&gt;BYDV")</f>
        <v>167</v>
      </c>
      <c r="S11" s="36" t="s">
        <v>374</v>
      </c>
      <c r="T11" s="36" t="s">
        <v>375</v>
      </c>
      <c r="U11" s="36" t="s">
        <v>376</v>
      </c>
      <c r="V11" s="36" t="s">
        <v>377</v>
      </c>
      <c r="W11" s="36" t="s">
        <v>378</v>
      </c>
      <c r="X11" s="36"/>
    </row>
    <row r="12" spans="1:24">
      <c r="A12" s="1" t="s">
        <v>216</v>
      </c>
      <c r="B12" s="8" t="s">
        <v>202</v>
      </c>
      <c r="C12" s="1">
        <v>1</v>
      </c>
      <c r="D12" s="1">
        <v>0</v>
      </c>
      <c r="E12" s="24">
        <v>1.641721618737516E-5</v>
      </c>
      <c r="F12" s="24">
        <f t="shared" si="0"/>
        <v>2.6952498734301296E-10</v>
      </c>
      <c r="G12" s="24">
        <v>7.0753382011660157E-6</v>
      </c>
      <c r="H12" s="23">
        <v>3.8365291586095425E-8</v>
      </c>
      <c r="I12" s="22">
        <v>0.05</v>
      </c>
      <c r="J12" s="23">
        <v>6.6174142480211084E-2</v>
      </c>
      <c r="L12">
        <f t="shared" si="1"/>
        <v>0</v>
      </c>
      <c r="M12" s="37">
        <f t="shared" si="2"/>
        <v>0</v>
      </c>
      <c r="N12" s="37">
        <f t="shared" si="3"/>
        <v>0</v>
      </c>
      <c r="O12" s="37">
        <f t="shared" si="4"/>
        <v>0</v>
      </c>
      <c r="P12" s="37">
        <f t="shared" si="5"/>
        <v>0</v>
      </c>
      <c r="Q12">
        <f t="shared" si="6"/>
        <v>0</v>
      </c>
      <c r="S12">
        <v>0.5</v>
      </c>
      <c r="T12">
        <v>0.5</v>
      </c>
      <c r="U12">
        <v>5.0000000000000002E-5</v>
      </c>
      <c r="V12">
        <v>0.99</v>
      </c>
      <c r="W12">
        <v>10</v>
      </c>
    </row>
    <row r="13" spans="1:24">
      <c r="A13" s="1" t="s">
        <v>216</v>
      </c>
      <c r="B13" s="8" t="s">
        <v>210</v>
      </c>
      <c r="C13" s="1">
        <v>1</v>
      </c>
      <c r="D13" s="1">
        <v>0</v>
      </c>
      <c r="E13" s="24">
        <v>1.0944810791583441E-5</v>
      </c>
      <c r="F13" s="24">
        <f t="shared" si="0"/>
        <v>1.1978888326356134E-10</v>
      </c>
      <c r="G13" s="24">
        <v>4.7168921341106769E-6</v>
      </c>
      <c r="H13" s="23">
        <v>3.9478128804014657E-8</v>
      </c>
      <c r="I13" s="22">
        <v>4.4400000000000002E-2</v>
      </c>
      <c r="J13" s="23">
        <v>4.393315743183817E-2</v>
      </c>
      <c r="L13">
        <f t="shared" si="1"/>
        <v>0</v>
      </c>
      <c r="M13" s="37">
        <f t="shared" si="2"/>
        <v>0</v>
      </c>
      <c r="N13" s="37">
        <f t="shared" si="3"/>
        <v>0</v>
      </c>
      <c r="O13" s="37">
        <f t="shared" si="4"/>
        <v>0</v>
      </c>
      <c r="P13" s="37">
        <f t="shared" si="5"/>
        <v>0</v>
      </c>
      <c r="Q13">
        <f t="shared" si="6"/>
        <v>0</v>
      </c>
      <c r="S13" s="38">
        <v>158</v>
      </c>
      <c r="T13" s="38">
        <v>158</v>
      </c>
      <c r="U13" s="38">
        <v>158</v>
      </c>
      <c r="V13" s="38">
        <v>157</v>
      </c>
      <c r="W13" s="38">
        <v>153</v>
      </c>
      <c r="X13" s="38"/>
    </row>
    <row r="14" spans="1:24">
      <c r="A14" s="1" t="s">
        <v>211</v>
      </c>
      <c r="B14" s="8" t="s">
        <v>210</v>
      </c>
      <c r="C14" s="1">
        <v>1</v>
      </c>
      <c r="D14" s="1">
        <v>0</v>
      </c>
      <c r="E14" s="24">
        <v>4.3323239018641991E-6</v>
      </c>
      <c r="F14" s="24">
        <f t="shared" si="0"/>
        <v>1.8769030390663838E-11</v>
      </c>
      <c r="G14" s="24">
        <v>3.3683529764451077E-6</v>
      </c>
      <c r="H14" s="23">
        <v>3.9478128804014657E-8</v>
      </c>
      <c r="I14" s="22">
        <v>8.8000000000000005E-3</v>
      </c>
      <c r="J14" s="23">
        <v>7.2410993853647219E-3</v>
      </c>
      <c r="L14">
        <f t="shared" si="1"/>
        <v>0</v>
      </c>
      <c r="M14" s="37">
        <f t="shared" si="2"/>
        <v>0</v>
      </c>
      <c r="N14" s="37">
        <f t="shared" si="3"/>
        <v>0</v>
      </c>
      <c r="O14" s="37">
        <f t="shared" si="4"/>
        <v>0</v>
      </c>
      <c r="P14" s="37">
        <f t="shared" si="5"/>
        <v>0</v>
      </c>
      <c r="Q14">
        <f t="shared" si="6"/>
        <v>0</v>
      </c>
      <c r="S14" s="39">
        <v>100</v>
      </c>
      <c r="T14" s="39">
        <v>100</v>
      </c>
      <c r="U14" s="39">
        <v>100</v>
      </c>
      <c r="V14" s="39">
        <v>99.367088607594937</v>
      </c>
      <c r="W14" s="39">
        <v>96.835443037974684</v>
      </c>
      <c r="X14" s="38"/>
    </row>
    <row r="15" spans="1:24">
      <c r="A15" s="1" t="s">
        <v>187</v>
      </c>
      <c r="B15" s="8" t="s">
        <v>194</v>
      </c>
      <c r="C15" s="1">
        <v>1</v>
      </c>
      <c r="D15" s="1">
        <v>0</v>
      </c>
      <c r="E15" s="24">
        <v>2.7600909878270469E-4</v>
      </c>
      <c r="F15" s="24">
        <f t="shared" si="0"/>
        <v>7.618102261084084E-8</v>
      </c>
      <c r="G15" s="24">
        <v>1.1846937566639024E-4</v>
      </c>
      <c r="H15" s="23">
        <v>2.9313343912606202E-7</v>
      </c>
      <c r="I15" s="22">
        <v>0.1241</v>
      </c>
      <c r="J15" s="23">
        <v>0.47176638176638175</v>
      </c>
      <c r="L15">
        <f t="shared" si="1"/>
        <v>0</v>
      </c>
      <c r="M15" s="37">
        <f t="shared" si="2"/>
        <v>0</v>
      </c>
      <c r="N15" s="37">
        <f t="shared" si="3"/>
        <v>1</v>
      </c>
      <c r="O15" s="37">
        <f t="shared" si="4"/>
        <v>0</v>
      </c>
      <c r="P15" s="37">
        <f t="shared" si="5"/>
        <v>0</v>
      </c>
      <c r="Q15">
        <f t="shared" si="6"/>
        <v>0</v>
      </c>
      <c r="S15" s="36" t="s">
        <v>369</v>
      </c>
      <c r="T15" s="36" t="s">
        <v>370</v>
      </c>
      <c r="U15" s="36" t="s">
        <v>371</v>
      </c>
      <c r="V15" s="36" t="s">
        <v>372</v>
      </c>
      <c r="W15" s="36" t="s">
        <v>373</v>
      </c>
      <c r="X15" s="36"/>
    </row>
    <row r="16" spans="1:24">
      <c r="A16" s="1" t="s">
        <v>187</v>
      </c>
      <c r="B16" s="8" t="s">
        <v>192</v>
      </c>
      <c r="C16" s="1">
        <v>1</v>
      </c>
      <c r="D16" s="1">
        <v>0</v>
      </c>
      <c r="E16" s="24">
        <v>7.2333418991329512E-4</v>
      </c>
      <c r="F16" s="24">
        <f t="shared" si="0"/>
        <v>5.232123502975229E-7</v>
      </c>
      <c r="G16" s="24">
        <v>3.104714672636434E-4</v>
      </c>
      <c r="H16" s="23">
        <v>7.2508285054529418E-7</v>
      </c>
      <c r="I16" s="22">
        <v>0.32179999999999997</v>
      </c>
      <c r="J16" s="23">
        <v>1.4871276871276873</v>
      </c>
      <c r="L16">
        <f t="shared" si="1"/>
        <v>0</v>
      </c>
      <c r="M16" s="37">
        <f t="shared" si="2"/>
        <v>0</v>
      </c>
      <c r="N16" s="37">
        <f t="shared" si="3"/>
        <v>1</v>
      </c>
      <c r="O16" s="37">
        <f t="shared" si="4"/>
        <v>1</v>
      </c>
      <c r="P16" s="37">
        <f t="shared" si="5"/>
        <v>0</v>
      </c>
      <c r="Q16">
        <f t="shared" si="6"/>
        <v>0</v>
      </c>
      <c r="S16">
        <v>0.5</v>
      </c>
      <c r="T16">
        <v>0.5</v>
      </c>
      <c r="U16">
        <v>5.0000000000000002E-5</v>
      </c>
      <c r="V16">
        <v>0.99</v>
      </c>
      <c r="W16">
        <v>10</v>
      </c>
    </row>
    <row r="17" spans="1:24">
      <c r="A17" s="1" t="s">
        <v>216</v>
      </c>
      <c r="B17" s="8" t="s">
        <v>192</v>
      </c>
      <c r="C17" s="1">
        <v>1</v>
      </c>
      <c r="D17" s="1">
        <v>0</v>
      </c>
      <c r="E17" s="24">
        <v>5.4724053957917205E-6</v>
      </c>
      <c r="F17" s="24">
        <f t="shared" si="0"/>
        <v>2.9947220815890336E-11</v>
      </c>
      <c r="G17" s="24">
        <v>2.3584460670553384E-6</v>
      </c>
      <c r="H17" s="23">
        <v>4.0282380585849675E-8</v>
      </c>
      <c r="I17" s="22">
        <v>2.64E-2</v>
      </c>
      <c r="J17" s="23">
        <v>2.6578715919085311E-2</v>
      </c>
      <c r="L17">
        <f t="shared" si="1"/>
        <v>0</v>
      </c>
      <c r="M17" s="37">
        <f t="shared" si="2"/>
        <v>0</v>
      </c>
      <c r="N17" s="37">
        <f t="shared" si="3"/>
        <v>0</v>
      </c>
      <c r="O17" s="37">
        <f t="shared" si="4"/>
        <v>0</v>
      </c>
      <c r="P17" s="37">
        <f t="shared" si="5"/>
        <v>0</v>
      </c>
      <c r="Q17">
        <f t="shared" si="6"/>
        <v>0</v>
      </c>
      <c r="S17" s="38">
        <v>35</v>
      </c>
      <c r="T17" s="38">
        <v>14</v>
      </c>
      <c r="U17" s="38">
        <v>36</v>
      </c>
      <c r="V17" s="38">
        <v>44</v>
      </c>
      <c r="W17" s="38">
        <v>100</v>
      </c>
      <c r="X17" s="38"/>
    </row>
    <row r="18" spans="1:24">
      <c r="A18" s="1" t="s">
        <v>211</v>
      </c>
      <c r="B18" s="8" t="s">
        <v>205</v>
      </c>
      <c r="C18" s="1">
        <v>1</v>
      </c>
      <c r="D18" s="1">
        <v>0</v>
      </c>
      <c r="E18" s="24">
        <v>1.2996971705592597E-5</v>
      </c>
      <c r="F18" s="24">
        <f t="shared" si="0"/>
        <v>1.6892127351597456E-10</v>
      </c>
      <c r="G18" s="24">
        <v>1.0105058929335323E-5</v>
      </c>
      <c r="H18" s="23">
        <v>4.1779761551418972E-8</v>
      </c>
      <c r="I18" s="22">
        <v>1.9599999999999999E-2</v>
      </c>
      <c r="J18" s="23">
        <v>2.1886814333758553E-2</v>
      </c>
      <c r="L18">
        <f t="shared" si="1"/>
        <v>0</v>
      </c>
      <c r="M18" s="37">
        <f t="shared" si="2"/>
        <v>0</v>
      </c>
      <c r="N18" s="37">
        <f t="shared" si="3"/>
        <v>0</v>
      </c>
      <c r="O18" s="37">
        <f t="shared" si="4"/>
        <v>0</v>
      </c>
      <c r="P18" s="37">
        <f t="shared" si="5"/>
        <v>0</v>
      </c>
      <c r="Q18">
        <f t="shared" si="6"/>
        <v>0</v>
      </c>
      <c r="S18" s="39">
        <v>19.886363636363637</v>
      </c>
      <c r="T18" s="39">
        <v>7.9545454545454541</v>
      </c>
      <c r="U18" s="39">
        <v>20.454545454545457</v>
      </c>
      <c r="V18" s="39">
        <v>25</v>
      </c>
      <c r="W18" s="39">
        <v>56.81818181818182</v>
      </c>
      <c r="X18" s="38"/>
    </row>
    <row r="19" spans="1:24">
      <c r="A19" s="1" t="s">
        <v>187</v>
      </c>
      <c r="B19" s="8" t="s">
        <v>190</v>
      </c>
      <c r="C19" s="1">
        <v>1</v>
      </c>
      <c r="D19" s="1">
        <v>0</v>
      </c>
      <c r="E19" s="24">
        <v>1.2087295015656377E-3</v>
      </c>
      <c r="F19" s="24">
        <f t="shared" si="0"/>
        <v>1.4610270079551151E-6</v>
      </c>
      <c r="G19" s="24">
        <v>5.1881416240108827E-4</v>
      </c>
      <c r="H19" s="23">
        <v>1.23032456626881E-6</v>
      </c>
      <c r="I19" s="22">
        <v>0.14299999999999999</v>
      </c>
      <c r="J19" s="23">
        <v>2.4847397047397046</v>
      </c>
      <c r="L19">
        <f t="shared" si="1"/>
        <v>0</v>
      </c>
      <c r="M19" s="37">
        <f t="shared" si="2"/>
        <v>0</v>
      </c>
      <c r="N19" s="37">
        <f t="shared" si="3"/>
        <v>1</v>
      </c>
      <c r="O19" s="37">
        <f t="shared" si="4"/>
        <v>0</v>
      </c>
      <c r="P19" s="37">
        <f t="shared" si="5"/>
        <v>1</v>
      </c>
      <c r="Q19">
        <f t="shared" si="6"/>
        <v>0</v>
      </c>
      <c r="S19" s="38"/>
      <c r="T19" s="38"/>
      <c r="U19" s="38"/>
      <c r="V19" s="38"/>
      <c r="W19" s="38"/>
      <c r="X19" s="38"/>
    </row>
    <row r="20" spans="1:24">
      <c r="A20" s="1" t="s">
        <v>187</v>
      </c>
      <c r="B20" s="8" t="s">
        <v>103</v>
      </c>
      <c r="C20" s="1">
        <v>1</v>
      </c>
      <c r="D20" s="1">
        <v>0</v>
      </c>
      <c r="E20" s="24">
        <v>2.8552665391314279E-4</v>
      </c>
      <c r="F20" s="24">
        <f t="shared" si="0"/>
        <v>8.1525470094835617E-8</v>
      </c>
      <c r="G20" s="24">
        <v>1.2255452655143817E-4</v>
      </c>
      <c r="H20" s="23">
        <v>2.8734094172510462E-7</v>
      </c>
      <c r="I20" s="22">
        <v>6.4399999999999999E-2</v>
      </c>
      <c r="J20" s="23">
        <v>0.48710178710178703</v>
      </c>
      <c r="L20">
        <f t="shared" si="1"/>
        <v>0</v>
      </c>
      <c r="M20" s="37">
        <f t="shared" si="2"/>
        <v>0</v>
      </c>
      <c r="N20" s="37">
        <f t="shared" si="3"/>
        <v>1</v>
      </c>
      <c r="O20" s="37">
        <f t="shared" si="4"/>
        <v>0</v>
      </c>
      <c r="P20" s="37">
        <f t="shared" si="5"/>
        <v>0</v>
      </c>
      <c r="Q20">
        <f t="shared" si="6"/>
        <v>0</v>
      </c>
      <c r="S20" s="36" t="s">
        <v>374</v>
      </c>
      <c r="T20" s="36" t="s">
        <v>375</v>
      </c>
      <c r="U20" s="36" t="s">
        <v>376</v>
      </c>
      <c r="V20" s="36" t="s">
        <v>377</v>
      </c>
      <c r="W20" s="36" t="s">
        <v>378</v>
      </c>
      <c r="X20" s="36"/>
    </row>
    <row r="21" spans="1:24">
      <c r="A21" s="1" t="s">
        <v>216</v>
      </c>
      <c r="B21" s="8" t="s">
        <v>212</v>
      </c>
      <c r="C21" s="1">
        <v>1</v>
      </c>
      <c r="D21" s="1">
        <v>0</v>
      </c>
      <c r="E21" s="24">
        <v>1.641721618737516E-5</v>
      </c>
      <c r="F21" s="24">
        <f t="shared" si="0"/>
        <v>2.6952498734301296E-10</v>
      </c>
      <c r="G21" s="24">
        <v>7.0753382011660157E-6</v>
      </c>
      <c r="H21" s="23">
        <v>4.1048705960729235E-8</v>
      </c>
      <c r="I21" s="22">
        <v>3.5200000000000002E-2</v>
      </c>
      <c r="J21" s="23">
        <v>6.6163588390501321E-2</v>
      </c>
      <c r="L21">
        <f t="shared" si="1"/>
        <v>0</v>
      </c>
      <c r="M21" s="37">
        <f t="shared" si="2"/>
        <v>0</v>
      </c>
      <c r="N21" s="37">
        <f t="shared" si="3"/>
        <v>0</v>
      </c>
      <c r="O21" s="37">
        <f t="shared" si="4"/>
        <v>0</v>
      </c>
      <c r="P21" s="37">
        <f t="shared" si="5"/>
        <v>0</v>
      </c>
      <c r="Q21">
        <f t="shared" si="6"/>
        <v>0</v>
      </c>
      <c r="S21">
        <v>0.1</v>
      </c>
      <c r="T21">
        <v>0.1</v>
      </c>
      <c r="U21">
        <v>9.9999999999999995E-7</v>
      </c>
      <c r="V21">
        <v>0.75</v>
      </c>
      <c r="W21">
        <v>5</v>
      </c>
    </row>
    <row r="22" spans="1:24">
      <c r="A22" s="1" t="s">
        <v>211</v>
      </c>
      <c r="B22" s="8" t="s">
        <v>212</v>
      </c>
      <c r="C22" s="1">
        <v>1</v>
      </c>
      <c r="D22" s="1">
        <v>0</v>
      </c>
      <c r="E22" s="24">
        <v>3.4658591214913593E-5</v>
      </c>
      <c r="F22" s="24">
        <f t="shared" si="0"/>
        <v>1.2012179450024856E-9</v>
      </c>
      <c r="G22" s="24">
        <v>2.6946823811560861E-5</v>
      </c>
      <c r="H22" s="23">
        <v>4.1048705960729235E-8</v>
      </c>
      <c r="I22" s="22">
        <v>1.7600000000000001E-2</v>
      </c>
      <c r="J22" s="23">
        <v>5.8160732923576479E-2</v>
      </c>
      <c r="L22">
        <f t="shared" si="1"/>
        <v>0</v>
      </c>
      <c r="M22" s="37">
        <f t="shared" si="2"/>
        <v>0</v>
      </c>
      <c r="N22" s="37">
        <f t="shared" si="3"/>
        <v>0</v>
      </c>
      <c r="O22" s="37">
        <f t="shared" si="4"/>
        <v>0</v>
      </c>
      <c r="P22" s="37">
        <f t="shared" si="5"/>
        <v>0</v>
      </c>
      <c r="Q22">
        <f t="shared" si="6"/>
        <v>0</v>
      </c>
      <c r="S22" s="38">
        <v>154</v>
      </c>
      <c r="T22" s="38">
        <v>157</v>
      </c>
      <c r="U22" s="38">
        <v>137</v>
      </c>
      <c r="V22" s="38">
        <v>139</v>
      </c>
      <c r="W22" s="38">
        <v>144</v>
      </c>
      <c r="X22" s="38"/>
    </row>
    <row r="23" spans="1:24">
      <c r="A23" s="1" t="s">
        <v>217</v>
      </c>
      <c r="B23" s="8" t="s">
        <v>188</v>
      </c>
      <c r="C23" s="1">
        <v>1</v>
      </c>
      <c r="D23" s="1">
        <v>0</v>
      </c>
      <c r="E23" s="24">
        <v>7.7562971437435773E-6</v>
      </c>
      <c r="F23" s="24">
        <f t="shared" si="0"/>
        <v>6.016014538204478E-11</v>
      </c>
      <c r="G23" s="24">
        <v>3.534361950472986E-6</v>
      </c>
      <c r="H23" s="23">
        <v>3.8616539046712924E-8</v>
      </c>
      <c r="I23" s="22">
        <v>1.5299999999999999E-2</v>
      </c>
      <c r="J23" s="23">
        <v>1.2970857790134901E-2</v>
      </c>
      <c r="L23">
        <f t="shared" si="1"/>
        <v>0</v>
      </c>
      <c r="M23" s="37">
        <f t="shared" si="2"/>
        <v>0</v>
      </c>
      <c r="N23" s="37">
        <f t="shared" si="3"/>
        <v>0</v>
      </c>
      <c r="O23" s="37">
        <f t="shared" si="4"/>
        <v>0</v>
      </c>
      <c r="P23" s="37">
        <f t="shared" si="5"/>
        <v>0</v>
      </c>
      <c r="Q23">
        <f t="shared" si="6"/>
        <v>0</v>
      </c>
      <c r="S23" s="39">
        <v>97.468354430379748</v>
      </c>
      <c r="T23" s="39">
        <v>99.367088607594937</v>
      </c>
      <c r="U23" s="39">
        <v>86.70886075949366</v>
      </c>
      <c r="V23" s="39">
        <v>87.974683544303801</v>
      </c>
      <c r="W23" s="39">
        <v>91.139240506329116</v>
      </c>
      <c r="X23" s="38"/>
    </row>
    <row r="24" spans="1:24">
      <c r="A24" s="1" t="s">
        <v>187</v>
      </c>
      <c r="B24" s="8" t="s">
        <v>188</v>
      </c>
      <c r="C24" s="1">
        <v>1</v>
      </c>
      <c r="D24" s="1">
        <v>0</v>
      </c>
      <c r="E24" s="24">
        <v>1.6037080394788188E-3</v>
      </c>
      <c r="F24" s="24">
        <f t="shared" si="0"/>
        <v>2.5718794758889967E-6</v>
      </c>
      <c r="G24" s="24">
        <v>6.883479241305778E-4</v>
      </c>
      <c r="H24" s="23">
        <v>1.6218946399619429E-6</v>
      </c>
      <c r="I24" s="22">
        <v>7.4499999999999997E-2</v>
      </c>
      <c r="J24" s="23">
        <v>2.7485444185444186</v>
      </c>
      <c r="L24">
        <f t="shared" si="1"/>
        <v>0</v>
      </c>
      <c r="M24" s="37">
        <f t="shared" si="2"/>
        <v>0</v>
      </c>
      <c r="N24" s="37">
        <f t="shared" si="3"/>
        <v>1</v>
      </c>
      <c r="O24" s="37">
        <f t="shared" si="4"/>
        <v>0</v>
      </c>
      <c r="P24" s="37">
        <f t="shared" si="5"/>
        <v>1</v>
      </c>
      <c r="Q24">
        <f t="shared" si="6"/>
        <v>0</v>
      </c>
      <c r="S24" s="36" t="s">
        <v>369</v>
      </c>
      <c r="T24" s="36" t="s">
        <v>370</v>
      </c>
      <c r="U24" s="36" t="s">
        <v>371</v>
      </c>
      <c r="V24" s="36" t="s">
        <v>372</v>
      </c>
      <c r="W24" s="36" t="s">
        <v>373</v>
      </c>
      <c r="X24" s="36"/>
    </row>
    <row r="25" spans="1:24">
      <c r="A25" s="1" t="s">
        <v>211</v>
      </c>
      <c r="B25" s="8" t="s">
        <v>203</v>
      </c>
      <c r="C25" s="1">
        <v>1</v>
      </c>
      <c r="D25" s="1">
        <v>0</v>
      </c>
      <c r="E25" s="24">
        <v>2.1661619509320994E-5</v>
      </c>
      <c r="F25" s="24">
        <f t="shared" si="0"/>
        <v>4.6922575976659587E-10</v>
      </c>
      <c r="G25" s="24">
        <v>1.6841764882225537E-5</v>
      </c>
      <c r="H25" s="23">
        <v>4.6151694665656376E-8</v>
      </c>
      <c r="I25" s="22">
        <v>2.3599999999999999E-2</v>
      </c>
      <c r="J25" s="23">
        <v>3.6501217673663461E-2</v>
      </c>
      <c r="L25">
        <f t="shared" si="1"/>
        <v>0</v>
      </c>
      <c r="M25" s="37">
        <f t="shared" si="2"/>
        <v>0</v>
      </c>
      <c r="N25" s="37">
        <f t="shared" si="3"/>
        <v>0</v>
      </c>
      <c r="O25" s="37">
        <f t="shared" si="4"/>
        <v>0</v>
      </c>
      <c r="P25" s="37">
        <f t="shared" si="5"/>
        <v>0</v>
      </c>
      <c r="Q25">
        <f t="shared" si="6"/>
        <v>0</v>
      </c>
      <c r="S25">
        <v>0.1</v>
      </c>
      <c r="T25">
        <v>0.1</v>
      </c>
      <c r="U25">
        <v>9.9999999999999995E-7</v>
      </c>
      <c r="V25">
        <v>0.75</v>
      </c>
      <c r="W25">
        <v>5</v>
      </c>
    </row>
    <row r="26" spans="1:24">
      <c r="A26" s="1" t="s">
        <v>211</v>
      </c>
      <c r="B26" s="8" t="s">
        <v>204</v>
      </c>
      <c r="C26" s="1">
        <v>1</v>
      </c>
      <c r="D26" s="1">
        <v>0</v>
      </c>
      <c r="E26" s="24">
        <v>8.6646478037283982E-6</v>
      </c>
      <c r="F26" s="24">
        <f t="shared" si="0"/>
        <v>7.5076121562655352E-11</v>
      </c>
      <c r="G26" s="24">
        <v>6.7367059528902153E-6</v>
      </c>
      <c r="H26" s="23">
        <v>4.2548168107309868E-8</v>
      </c>
      <c r="I26" s="22">
        <v>1.23E-2</v>
      </c>
      <c r="J26" s="23">
        <v>1.4528586338861185E-2</v>
      </c>
      <c r="L26">
        <f t="shared" si="1"/>
        <v>0</v>
      </c>
      <c r="M26" s="37">
        <f t="shared" si="2"/>
        <v>0</v>
      </c>
      <c r="N26" s="37">
        <f t="shared" si="3"/>
        <v>0</v>
      </c>
      <c r="O26" s="37">
        <f t="shared" si="4"/>
        <v>0</v>
      </c>
      <c r="P26" s="37">
        <f t="shared" si="5"/>
        <v>0</v>
      </c>
      <c r="Q26">
        <f t="shared" si="6"/>
        <v>0</v>
      </c>
      <c r="S26" s="38">
        <v>74</v>
      </c>
      <c r="T26" s="38">
        <v>51</v>
      </c>
      <c r="U26" s="38">
        <v>103</v>
      </c>
      <c r="V26" s="38">
        <v>92</v>
      </c>
      <c r="W26" s="38">
        <v>116</v>
      </c>
      <c r="X26" s="38"/>
    </row>
    <row r="27" spans="1:24">
      <c r="A27" s="1" t="s">
        <v>187</v>
      </c>
      <c r="B27" s="8" t="s">
        <v>191</v>
      </c>
      <c r="C27" s="1">
        <v>1</v>
      </c>
      <c r="D27" s="1">
        <v>0</v>
      </c>
      <c r="E27" s="24">
        <v>1.1421066156525712E-3</v>
      </c>
      <c r="F27" s="24">
        <f t="shared" si="0"/>
        <v>1.3044075215173699E-6</v>
      </c>
      <c r="G27" s="24">
        <v>4.9021810620575269E-4</v>
      </c>
      <c r="H27" s="23">
        <v>1.1626990541142597E-6</v>
      </c>
      <c r="I27" s="22">
        <v>7.4499999999999997E-2</v>
      </c>
      <c r="J27" s="23">
        <v>1.9397047397047396</v>
      </c>
      <c r="L27">
        <f t="shared" si="1"/>
        <v>0</v>
      </c>
      <c r="M27" s="37">
        <f t="shared" si="2"/>
        <v>0</v>
      </c>
      <c r="N27" s="37">
        <f t="shared" si="3"/>
        <v>1</v>
      </c>
      <c r="O27" s="37">
        <f t="shared" si="4"/>
        <v>0</v>
      </c>
      <c r="P27" s="37">
        <f t="shared" si="5"/>
        <v>1</v>
      </c>
      <c r="Q27">
        <f t="shared" si="6"/>
        <v>0</v>
      </c>
      <c r="S27" s="39">
        <v>42.045454545454547</v>
      </c>
      <c r="T27" s="39">
        <v>28.97727272727273</v>
      </c>
      <c r="U27" s="39">
        <v>58.522727272727273</v>
      </c>
      <c r="V27" s="39">
        <v>52.272727272727273</v>
      </c>
      <c r="W27" s="39">
        <v>65.909090909090907</v>
      </c>
      <c r="X27" s="38"/>
    </row>
    <row r="28" spans="1:24">
      <c r="A28" s="1" t="s">
        <v>216</v>
      </c>
      <c r="B28" s="8" t="s">
        <v>191</v>
      </c>
      <c r="C28" s="1">
        <v>1</v>
      </c>
      <c r="D28" s="1">
        <v>0</v>
      </c>
      <c r="E28" s="24">
        <v>1.641721618737516E-5</v>
      </c>
      <c r="F28" s="24">
        <f t="shared" si="0"/>
        <v>2.6952498734301296E-10</v>
      </c>
      <c r="G28" s="24">
        <v>7.0753382011660157E-6</v>
      </c>
      <c r="H28" s="23">
        <v>3.8756635137141986E-8</v>
      </c>
      <c r="I28" s="22">
        <v>5.1799999999999999E-2</v>
      </c>
      <c r="J28" s="23">
        <v>6.5868073878627961E-2</v>
      </c>
      <c r="L28">
        <f t="shared" si="1"/>
        <v>0</v>
      </c>
      <c r="M28" s="37">
        <f t="shared" si="2"/>
        <v>0</v>
      </c>
      <c r="N28" s="37">
        <f t="shared" si="3"/>
        <v>0</v>
      </c>
      <c r="O28" s="37">
        <f t="shared" si="4"/>
        <v>0</v>
      </c>
      <c r="P28" s="37">
        <f t="shared" si="5"/>
        <v>0</v>
      </c>
      <c r="Q28">
        <f t="shared" si="6"/>
        <v>0</v>
      </c>
    </row>
    <row r="29" spans="1:24">
      <c r="A29" s="1" t="s">
        <v>187</v>
      </c>
      <c r="B29" s="8" t="s">
        <v>193</v>
      </c>
      <c r="C29" s="1">
        <v>1</v>
      </c>
      <c r="D29" s="1">
        <v>0</v>
      </c>
      <c r="E29" s="24">
        <v>6.8526396939154271E-4</v>
      </c>
      <c r="F29" s="24">
        <f t="shared" si="0"/>
        <v>4.6958670774625316E-7</v>
      </c>
      <c r="G29" s="24">
        <v>2.9413086372345162E-4</v>
      </c>
      <c r="H29" s="23">
        <v>6.851985222022765E-7</v>
      </c>
      <c r="I29" s="22">
        <v>7.4499999999999997E-2</v>
      </c>
      <c r="J29" s="23">
        <v>1.166993006993007</v>
      </c>
      <c r="L29">
        <f t="shared" si="1"/>
        <v>0</v>
      </c>
      <c r="M29" s="37">
        <f t="shared" si="2"/>
        <v>0</v>
      </c>
      <c r="N29" s="37">
        <f t="shared" si="3"/>
        <v>1</v>
      </c>
      <c r="O29" s="37">
        <f t="shared" si="4"/>
        <v>0</v>
      </c>
      <c r="P29" s="37">
        <f t="shared" si="5"/>
        <v>0</v>
      </c>
      <c r="Q29">
        <f t="shared" si="6"/>
        <v>0</v>
      </c>
      <c r="S29" s="36" t="s">
        <v>374</v>
      </c>
      <c r="T29" s="36" t="s">
        <v>375</v>
      </c>
      <c r="U29" s="36" t="s">
        <v>376</v>
      </c>
      <c r="V29" s="36" t="s">
        <v>377</v>
      </c>
      <c r="W29" s="36" t="s">
        <v>378</v>
      </c>
      <c r="X29" s="36"/>
    </row>
    <row r="30" spans="1:24">
      <c r="A30" s="1" t="s">
        <v>216</v>
      </c>
      <c r="B30" s="8" t="s">
        <v>193</v>
      </c>
      <c r="C30" s="1">
        <v>1</v>
      </c>
      <c r="D30" s="1">
        <v>0</v>
      </c>
      <c r="E30" s="24">
        <v>1.641721618737516E-5</v>
      </c>
      <c r="F30" s="24">
        <f t="shared" si="0"/>
        <v>2.6952498734301296E-10</v>
      </c>
      <c r="G30" s="24">
        <v>7.0753382011660157E-6</v>
      </c>
      <c r="H30" s="23">
        <v>3.8066584566793128E-8</v>
      </c>
      <c r="I30" s="22">
        <v>5.1799999999999999E-2</v>
      </c>
      <c r="J30" s="23">
        <v>6.6047493403693938E-2</v>
      </c>
      <c r="L30">
        <f t="shared" si="1"/>
        <v>0</v>
      </c>
      <c r="M30" s="37">
        <f t="shared" si="2"/>
        <v>0</v>
      </c>
      <c r="N30" s="37">
        <f t="shared" si="3"/>
        <v>0</v>
      </c>
      <c r="O30" s="37">
        <f t="shared" si="4"/>
        <v>0</v>
      </c>
      <c r="P30" s="37">
        <f t="shared" si="5"/>
        <v>0</v>
      </c>
      <c r="Q30">
        <f t="shared" si="6"/>
        <v>0</v>
      </c>
      <c r="S30">
        <v>0.01</v>
      </c>
      <c r="T30">
        <v>0.01</v>
      </c>
      <c r="U30">
        <v>9.9999999999999995E-8</v>
      </c>
      <c r="V30">
        <v>0.5</v>
      </c>
      <c r="W30">
        <v>1.8</v>
      </c>
    </row>
    <row r="31" spans="1:24">
      <c r="A31" s="1" t="s">
        <v>187</v>
      </c>
      <c r="B31" s="8" t="s">
        <v>201</v>
      </c>
      <c r="C31" s="1">
        <v>1</v>
      </c>
      <c r="D31" s="1">
        <v>0</v>
      </c>
      <c r="E31" s="24">
        <v>1.0478828198612341E-2</v>
      </c>
      <c r="F31" s="24">
        <f t="shared" si="0"/>
        <v>1.0980584041603316E-4</v>
      </c>
      <c r="G31" s="24">
        <v>4.4977511244377807E-3</v>
      </c>
      <c r="H31" s="23">
        <v>1.0561545919669357E-5</v>
      </c>
      <c r="I31" s="22">
        <v>0.90110000000000001</v>
      </c>
      <c r="J31" s="23">
        <v>18.05913752913753</v>
      </c>
      <c r="L31">
        <f t="shared" si="1"/>
        <v>0</v>
      </c>
      <c r="M31" s="37">
        <f t="shared" si="2"/>
        <v>1</v>
      </c>
      <c r="N31" s="37">
        <f t="shared" si="3"/>
        <v>1</v>
      </c>
      <c r="O31" s="37">
        <f t="shared" si="4"/>
        <v>1</v>
      </c>
      <c r="P31" s="37">
        <f t="shared" si="5"/>
        <v>1</v>
      </c>
      <c r="Q31">
        <f t="shared" si="6"/>
        <v>1</v>
      </c>
      <c r="S31" s="38">
        <v>140</v>
      </c>
      <c r="T31" s="38">
        <v>146</v>
      </c>
      <c r="U31" s="38">
        <v>99</v>
      </c>
      <c r="V31" s="38">
        <v>131</v>
      </c>
      <c r="W31" s="38">
        <v>124</v>
      </c>
      <c r="X31" s="38"/>
    </row>
    <row r="32" spans="1:24">
      <c r="A32" s="1" t="s">
        <v>211</v>
      </c>
      <c r="B32" s="8" t="s">
        <v>206</v>
      </c>
      <c r="C32" s="1">
        <v>1</v>
      </c>
      <c r="D32" s="1">
        <v>0</v>
      </c>
      <c r="E32" s="24">
        <v>4.3323239018641991E-6</v>
      </c>
      <c r="F32" s="24">
        <f t="shared" si="0"/>
        <v>1.8769030390663838E-11</v>
      </c>
      <c r="G32" s="24">
        <v>3.3683529764451077E-6</v>
      </c>
      <c r="H32" s="23">
        <v>3.9389712178468497E-8</v>
      </c>
      <c r="I32" s="22">
        <v>3.5000000000000001E-3</v>
      </c>
      <c r="J32" s="23">
        <v>7.2851675750898763E-3</v>
      </c>
      <c r="L32">
        <f t="shared" si="1"/>
        <v>0</v>
      </c>
      <c r="M32" s="37">
        <f t="shared" si="2"/>
        <v>0</v>
      </c>
      <c r="N32" s="37">
        <f t="shared" si="3"/>
        <v>0</v>
      </c>
      <c r="O32" s="37">
        <f t="shared" si="4"/>
        <v>0</v>
      </c>
      <c r="P32" s="37">
        <f t="shared" si="5"/>
        <v>0</v>
      </c>
      <c r="Q32">
        <f t="shared" si="6"/>
        <v>0</v>
      </c>
      <c r="S32" s="39">
        <v>88.60759493670885</v>
      </c>
      <c r="T32" s="39">
        <v>92.405063291139243</v>
      </c>
      <c r="U32" s="39">
        <v>62.658227848101269</v>
      </c>
      <c r="V32" s="39">
        <v>82.911392405063282</v>
      </c>
      <c r="W32" s="39">
        <v>78.48101265822784</v>
      </c>
      <c r="X32" s="38"/>
    </row>
    <row r="33" spans="1:24">
      <c r="A33" s="1" t="s">
        <v>187</v>
      </c>
      <c r="B33" s="8" t="s">
        <v>195</v>
      </c>
      <c r="C33" s="1">
        <v>1</v>
      </c>
      <c r="D33" s="1">
        <v>0</v>
      </c>
      <c r="E33" s="24">
        <v>1.9035110260876187E-5</v>
      </c>
      <c r="F33" s="24">
        <f t="shared" si="0"/>
        <v>3.6233542264371394E-10</v>
      </c>
      <c r="G33" s="24">
        <v>8.1703017700958788E-6</v>
      </c>
      <c r="H33" s="23">
        <v>2.3624713268762789E-8</v>
      </c>
      <c r="I33" s="22">
        <v>3.6200000000000003E-2</v>
      </c>
      <c r="J33" s="23">
        <v>3.1556591556591559E-2</v>
      </c>
      <c r="L33">
        <f t="shared" si="1"/>
        <v>0</v>
      </c>
      <c r="M33" s="37">
        <f t="shared" si="2"/>
        <v>0</v>
      </c>
      <c r="N33" s="37">
        <f t="shared" si="3"/>
        <v>0</v>
      </c>
      <c r="O33" s="37">
        <f t="shared" si="4"/>
        <v>0</v>
      </c>
      <c r="P33" s="37">
        <f t="shared" si="5"/>
        <v>0</v>
      </c>
      <c r="Q33">
        <f t="shared" si="6"/>
        <v>0</v>
      </c>
      <c r="S33" s="36" t="s">
        <v>369</v>
      </c>
      <c r="T33" s="36" t="s">
        <v>370</v>
      </c>
      <c r="U33" s="36" t="s">
        <v>371</v>
      </c>
      <c r="V33" s="36" t="s">
        <v>372</v>
      </c>
      <c r="W33" s="36" t="s">
        <v>373</v>
      </c>
      <c r="X33" s="36"/>
    </row>
    <row r="34" spans="1:24">
      <c r="A34" s="1" t="s">
        <v>211</v>
      </c>
      <c r="B34" s="8" t="s">
        <v>213</v>
      </c>
      <c r="C34" s="1">
        <v>1</v>
      </c>
      <c r="D34" s="1">
        <v>0</v>
      </c>
      <c r="E34" s="24">
        <v>3.0326267313049392E-5</v>
      </c>
      <c r="F34" s="24">
        <f t="shared" si="0"/>
        <v>9.1968248914252803E-10</v>
      </c>
      <c r="G34" s="24">
        <v>2.3578470835115752E-5</v>
      </c>
      <c r="H34" s="23">
        <v>2.3431945076424683E-8</v>
      </c>
      <c r="I34" s="22">
        <v>2.3E-2</v>
      </c>
      <c r="J34" s="23">
        <v>4.9177780354864899E-2</v>
      </c>
      <c r="L34">
        <f t="shared" si="1"/>
        <v>0</v>
      </c>
      <c r="M34" s="37">
        <f t="shared" si="2"/>
        <v>0</v>
      </c>
      <c r="N34" s="37">
        <f t="shared" si="3"/>
        <v>0</v>
      </c>
      <c r="O34" s="37">
        <f t="shared" si="4"/>
        <v>0</v>
      </c>
      <c r="P34" s="37">
        <f t="shared" si="5"/>
        <v>0</v>
      </c>
      <c r="Q34">
        <f t="shared" si="6"/>
        <v>0</v>
      </c>
      <c r="S34">
        <v>0.01</v>
      </c>
      <c r="T34">
        <v>0.01</v>
      </c>
      <c r="U34">
        <v>9.9999999999999995E-8</v>
      </c>
      <c r="V34">
        <v>0.5</v>
      </c>
      <c r="W34">
        <v>1.8</v>
      </c>
    </row>
    <row r="35" spans="1:24">
      <c r="A35" s="1" t="s">
        <v>211</v>
      </c>
      <c r="B35" s="8" t="s">
        <v>215</v>
      </c>
      <c r="C35" s="1">
        <v>1</v>
      </c>
      <c r="D35" s="42">
        <v>0</v>
      </c>
      <c r="E35" s="24">
        <v>4.3323239018641991E-6</v>
      </c>
      <c r="F35" s="24">
        <f t="shared" si="0"/>
        <v>1.8769030390663838E-11</v>
      </c>
      <c r="G35" s="24">
        <v>3.3683529764451077E-6</v>
      </c>
      <c r="H35" s="23">
        <v>3.4122151927163308E-8</v>
      </c>
      <c r="I35" s="22">
        <v>8.8000000000000005E-3</v>
      </c>
      <c r="J35" s="23">
        <v>7.5774092543198423E-3</v>
      </c>
      <c r="L35">
        <f t="shared" si="1"/>
        <v>0</v>
      </c>
      <c r="M35" s="37">
        <f t="shared" si="2"/>
        <v>0</v>
      </c>
      <c r="N35" s="37">
        <f t="shared" si="3"/>
        <v>0</v>
      </c>
      <c r="O35" s="37">
        <f t="shared" si="4"/>
        <v>0</v>
      </c>
      <c r="P35" s="37">
        <f t="shared" si="5"/>
        <v>0</v>
      </c>
      <c r="Q35">
        <f t="shared" si="6"/>
        <v>0</v>
      </c>
      <c r="S35" s="38">
        <v>119</v>
      </c>
      <c r="T35" s="38">
        <v>109</v>
      </c>
      <c r="U35" s="38">
        <v>137</v>
      </c>
      <c r="V35" s="38">
        <v>106</v>
      </c>
      <c r="W35" s="38">
        <v>132</v>
      </c>
      <c r="X35" s="38"/>
    </row>
    <row r="36" spans="1:24">
      <c r="A36" s="1" t="s">
        <v>211</v>
      </c>
      <c r="B36" s="8" t="s">
        <v>214</v>
      </c>
      <c r="C36" s="1">
        <v>1</v>
      </c>
      <c r="D36" s="1">
        <v>0</v>
      </c>
      <c r="E36" s="24">
        <v>1.7329295607456796E-5</v>
      </c>
      <c r="F36" s="24">
        <f t="shared" si="0"/>
        <v>3.0030448625062141E-10</v>
      </c>
      <c r="G36" s="24">
        <v>1.3473411905780431E-5</v>
      </c>
      <c r="H36" s="23">
        <v>2.2434201004710753E-8</v>
      </c>
      <c r="I36" s="22">
        <v>3.4000000000000002E-2</v>
      </c>
      <c r="J36" s="23">
        <v>2.8166531369592948E-2</v>
      </c>
      <c r="L36">
        <f t="shared" si="1"/>
        <v>0</v>
      </c>
      <c r="M36" s="37">
        <f t="shared" si="2"/>
        <v>0</v>
      </c>
      <c r="N36" s="37">
        <f t="shared" si="3"/>
        <v>0</v>
      </c>
      <c r="O36" s="37">
        <f t="shared" si="4"/>
        <v>0</v>
      </c>
      <c r="P36" s="37">
        <f t="shared" si="5"/>
        <v>0</v>
      </c>
      <c r="Q36">
        <f t="shared" si="6"/>
        <v>0</v>
      </c>
      <c r="S36" s="39">
        <v>67.61363636363636</v>
      </c>
      <c r="T36" s="39">
        <v>61.93181818181818</v>
      </c>
      <c r="U36" s="39">
        <v>77.840909090909093</v>
      </c>
      <c r="V36" s="39">
        <v>60.227272727272727</v>
      </c>
      <c r="W36" s="39">
        <v>75</v>
      </c>
      <c r="X36" s="38"/>
    </row>
    <row r="37" spans="1:24">
      <c r="A37" s="1" t="s">
        <v>218</v>
      </c>
      <c r="B37" s="8" t="s">
        <v>196</v>
      </c>
      <c r="C37" s="1">
        <v>1</v>
      </c>
      <c r="D37" s="1">
        <v>0.5</v>
      </c>
      <c r="E37" s="24">
        <v>7.7836154893948239E-4</v>
      </c>
      <c r="F37" s="24">
        <f t="shared" si="0"/>
        <v>6.0584670086747025E-7</v>
      </c>
      <c r="G37" s="24">
        <v>3.1809145129224652E-4</v>
      </c>
      <c r="H37" s="23">
        <v>4.3589477915171259E-8</v>
      </c>
      <c r="I37" s="22">
        <v>2.01E-2</v>
      </c>
      <c r="J37" s="23">
        <v>3.415669205658324E-2</v>
      </c>
      <c r="L37">
        <f t="shared" si="1"/>
        <v>0</v>
      </c>
      <c r="M37" s="37">
        <f t="shared" si="2"/>
        <v>0</v>
      </c>
      <c r="N37" s="37">
        <f t="shared" si="3"/>
        <v>0</v>
      </c>
      <c r="O37" s="37">
        <f t="shared" si="4"/>
        <v>0</v>
      </c>
      <c r="P37" s="37">
        <f t="shared" si="5"/>
        <v>0</v>
      </c>
      <c r="Q37">
        <f t="shared" si="6"/>
        <v>0</v>
      </c>
    </row>
    <row r="38" spans="1:24">
      <c r="A38" s="1" t="s">
        <v>218</v>
      </c>
      <c r="B38" s="8" t="s">
        <v>210</v>
      </c>
      <c r="C38" s="1">
        <v>1</v>
      </c>
      <c r="D38" s="1">
        <v>1</v>
      </c>
      <c r="E38" s="43">
        <v>0.14010507880910683</v>
      </c>
      <c r="F38" s="24">
        <f t="shared" si="0"/>
        <v>1.9629433108106036E-2</v>
      </c>
      <c r="G38" s="43">
        <v>5.7256461232604375E-2</v>
      </c>
      <c r="H38" s="45">
        <v>3.4345972059492754E-6</v>
      </c>
      <c r="I38" s="44">
        <v>5.4600000000000003E-2</v>
      </c>
      <c r="J38" s="45">
        <v>6.1149075081610444</v>
      </c>
      <c r="L38">
        <f t="shared" si="1"/>
        <v>0</v>
      </c>
      <c r="M38" s="37">
        <f t="shared" si="2"/>
        <v>1</v>
      </c>
      <c r="N38" s="37">
        <f t="shared" si="3"/>
        <v>1</v>
      </c>
      <c r="O38" s="37">
        <f t="shared" si="4"/>
        <v>0</v>
      </c>
      <c r="P38" s="37">
        <f t="shared" si="5"/>
        <v>1</v>
      </c>
      <c r="Q38">
        <f t="shared" si="6"/>
        <v>1</v>
      </c>
      <c r="S38" s="36" t="s">
        <v>366</v>
      </c>
      <c r="T38" s="36" t="s">
        <v>375</v>
      </c>
      <c r="U38" s="36" t="s">
        <v>376</v>
      </c>
      <c r="V38" s="36" t="s">
        <v>377</v>
      </c>
      <c r="W38" s="36" t="s">
        <v>378</v>
      </c>
      <c r="X38" s="36"/>
    </row>
    <row r="39" spans="1:24">
      <c r="A39" s="1" t="s">
        <v>187</v>
      </c>
      <c r="B39" s="8" t="s">
        <v>210</v>
      </c>
      <c r="C39" s="1">
        <v>1</v>
      </c>
      <c r="D39" s="1">
        <v>1</v>
      </c>
      <c r="E39" s="43">
        <v>6.3672443822630842E-3</v>
      </c>
      <c r="F39" s="24">
        <f t="shared" si="0"/>
        <v>4.0541801023460808E-5</v>
      </c>
      <c r="G39" s="43">
        <v>2.7329659420970713E-3</v>
      </c>
      <c r="H39" s="45">
        <v>6.4349349950543905E-6</v>
      </c>
      <c r="I39" s="44">
        <v>0.88800000000000001</v>
      </c>
      <c r="J39" s="45">
        <v>10.819052059052058</v>
      </c>
      <c r="L39">
        <f t="shared" si="1"/>
        <v>0</v>
      </c>
      <c r="M39" s="37">
        <f t="shared" si="2"/>
        <v>1</v>
      </c>
      <c r="N39" s="37">
        <f t="shared" si="3"/>
        <v>1</v>
      </c>
      <c r="O39" s="37">
        <f t="shared" si="4"/>
        <v>1</v>
      </c>
      <c r="P39" s="37">
        <f t="shared" si="5"/>
        <v>1</v>
      </c>
      <c r="Q39">
        <f t="shared" si="6"/>
        <v>1</v>
      </c>
      <c r="S39">
        <v>1E-3</v>
      </c>
      <c r="T39">
        <v>1E-3</v>
      </c>
      <c r="U39">
        <v>1E-8</v>
      </c>
      <c r="V39">
        <v>0.25</v>
      </c>
      <c r="W39">
        <v>1.3</v>
      </c>
    </row>
    <row r="40" spans="1:24">
      <c r="A40" s="1" t="s">
        <v>187</v>
      </c>
      <c r="B40" s="8" t="s">
        <v>205</v>
      </c>
      <c r="C40" s="1">
        <v>1</v>
      </c>
      <c r="D40" s="1">
        <v>1</v>
      </c>
      <c r="E40" s="43">
        <v>0.16698074598597112</v>
      </c>
      <c r="F40" s="24">
        <f t="shared" si="0"/>
        <v>2.7882569530031411E-2</v>
      </c>
      <c r="G40" s="43">
        <v>7.1671929702723569E-2</v>
      </c>
      <c r="H40" s="45">
        <v>1.682470997675642E-4</v>
      </c>
      <c r="I40" s="44">
        <v>1</v>
      </c>
      <c r="J40" s="45">
        <v>285.86493006993004</v>
      </c>
      <c r="L40">
        <f t="shared" si="1"/>
        <v>0</v>
      </c>
      <c r="M40" s="37">
        <f t="shared" si="2"/>
        <v>1</v>
      </c>
      <c r="N40" s="37">
        <f t="shared" si="3"/>
        <v>1</v>
      </c>
      <c r="O40" s="37">
        <f t="shared" si="4"/>
        <v>1</v>
      </c>
      <c r="P40" s="37">
        <f t="shared" si="5"/>
        <v>1</v>
      </c>
      <c r="Q40">
        <f t="shared" si="6"/>
        <v>1</v>
      </c>
      <c r="S40" s="38">
        <v>116</v>
      </c>
      <c r="T40" s="38">
        <v>126</v>
      </c>
      <c r="U40" s="38">
        <v>36</v>
      </c>
      <c r="V40" s="38">
        <v>115</v>
      </c>
      <c r="W40" s="38">
        <v>117</v>
      </c>
      <c r="X40" s="38"/>
    </row>
    <row r="41" spans="1:24">
      <c r="A41" s="1" t="s">
        <v>218</v>
      </c>
      <c r="B41" s="8" t="s">
        <v>190</v>
      </c>
      <c r="C41" s="1">
        <v>1</v>
      </c>
      <c r="D41" s="1">
        <v>1</v>
      </c>
      <c r="E41" s="43">
        <v>0.15567230978789648</v>
      </c>
      <c r="F41" s="24">
        <f t="shared" si="0"/>
        <v>2.4233868034698808E-2</v>
      </c>
      <c r="G41" s="43">
        <v>6.3618290258449298E-2</v>
      </c>
      <c r="H41" s="45">
        <v>3.8276764283918529E-6</v>
      </c>
      <c r="I41" s="44">
        <v>0.10299999999999999</v>
      </c>
      <c r="J41" s="45">
        <v>8.2198041349292712</v>
      </c>
      <c r="L41">
        <f t="shared" si="1"/>
        <v>0</v>
      </c>
      <c r="M41" s="37">
        <f t="shared" si="2"/>
        <v>1</v>
      </c>
      <c r="N41" s="37">
        <f t="shared" si="3"/>
        <v>1</v>
      </c>
      <c r="O41" s="37">
        <f t="shared" si="4"/>
        <v>0</v>
      </c>
      <c r="P41" s="37">
        <f t="shared" si="5"/>
        <v>1</v>
      </c>
      <c r="Q41">
        <f t="shared" si="6"/>
        <v>1</v>
      </c>
      <c r="S41" s="39">
        <v>73.417721518987349</v>
      </c>
      <c r="T41" s="39">
        <v>79.74683544303798</v>
      </c>
      <c r="U41" s="39">
        <v>22.784810126582279</v>
      </c>
      <c r="V41" s="39">
        <v>72.784810126582272</v>
      </c>
      <c r="W41" s="39">
        <v>74.050632911392398</v>
      </c>
      <c r="X41" s="38"/>
    </row>
    <row r="42" spans="1:24">
      <c r="A42" s="1" t="s">
        <v>187</v>
      </c>
      <c r="B42" s="8" t="s">
        <v>203</v>
      </c>
      <c r="C42" s="1">
        <v>1</v>
      </c>
      <c r="D42" s="1">
        <v>1</v>
      </c>
      <c r="E42" s="43">
        <v>1</v>
      </c>
      <c r="F42" s="24">
        <f t="shared" si="0"/>
        <v>1</v>
      </c>
      <c r="G42" s="43">
        <v>0.42922271834110193</v>
      </c>
      <c r="H42" s="45">
        <v>1.0076761013299413E-3</v>
      </c>
      <c r="I42" s="44">
        <v>1</v>
      </c>
      <c r="J42" s="45">
        <v>1713.0519425019427</v>
      </c>
      <c r="L42">
        <f t="shared" si="1"/>
        <v>1</v>
      </c>
      <c r="M42" s="37">
        <f t="shared" si="2"/>
        <v>1</v>
      </c>
      <c r="N42" s="37">
        <f t="shared" si="3"/>
        <v>1</v>
      </c>
      <c r="O42" s="37">
        <f t="shared" si="4"/>
        <v>1</v>
      </c>
      <c r="P42" s="37">
        <f t="shared" si="5"/>
        <v>1</v>
      </c>
      <c r="Q42">
        <f t="shared" si="6"/>
        <v>1</v>
      </c>
      <c r="S42" s="36" t="s">
        <v>369</v>
      </c>
      <c r="T42" s="36" t="s">
        <v>370</v>
      </c>
      <c r="U42" s="36" t="s">
        <v>371</v>
      </c>
      <c r="V42" s="36" t="s">
        <v>372</v>
      </c>
      <c r="W42" s="36" t="s">
        <v>373</v>
      </c>
      <c r="X42" s="36"/>
    </row>
    <row r="43" spans="1:24">
      <c r="A43" s="1" t="s">
        <v>187</v>
      </c>
      <c r="B43" s="8" t="s">
        <v>204</v>
      </c>
      <c r="C43" s="1">
        <v>1</v>
      </c>
      <c r="D43" s="1">
        <v>1</v>
      </c>
      <c r="E43" s="43">
        <v>0.78699235740323026</v>
      </c>
      <c r="F43" s="24">
        <f t="shared" si="0"/>
        <v>0.61935697061109374</v>
      </c>
      <c r="G43" s="43">
        <v>0.33779499895828652</v>
      </c>
      <c r="H43" s="45">
        <v>7.9305530535214881E-4</v>
      </c>
      <c r="I43" s="44">
        <v>1</v>
      </c>
      <c r="J43" s="45">
        <v>1341.5197202797201</v>
      </c>
      <c r="L43">
        <f t="shared" si="1"/>
        <v>1</v>
      </c>
      <c r="M43" s="37">
        <f t="shared" si="2"/>
        <v>1</v>
      </c>
      <c r="N43" s="37">
        <f t="shared" si="3"/>
        <v>1</v>
      </c>
      <c r="O43" s="37">
        <f t="shared" si="4"/>
        <v>1</v>
      </c>
      <c r="P43" s="37">
        <f t="shared" si="5"/>
        <v>1</v>
      </c>
      <c r="Q43">
        <f t="shared" si="6"/>
        <v>1</v>
      </c>
      <c r="S43">
        <v>1E-3</v>
      </c>
      <c r="T43">
        <v>1E-3</v>
      </c>
      <c r="U43">
        <v>1E-8</v>
      </c>
      <c r="V43">
        <v>0.25</v>
      </c>
      <c r="W43">
        <v>1.3</v>
      </c>
    </row>
    <row r="44" spans="1:24">
      <c r="A44" s="1" t="s">
        <v>218</v>
      </c>
      <c r="B44" s="8" t="s">
        <v>201</v>
      </c>
      <c r="C44" s="1">
        <v>1</v>
      </c>
      <c r="D44" s="1">
        <v>1</v>
      </c>
      <c r="E44" s="43">
        <v>0.69916326133489004</v>
      </c>
      <c r="F44" s="24">
        <f t="shared" si="0"/>
        <v>0.48882926600043974</v>
      </c>
      <c r="G44" s="43">
        <v>0.28572564612326046</v>
      </c>
      <c r="H44" s="45">
        <v>1.7205898751761817E-5</v>
      </c>
      <c r="I44" s="44">
        <v>0.2059</v>
      </c>
      <c r="J44" s="45">
        <v>30.950039445048965</v>
      </c>
      <c r="L44">
        <f t="shared" si="1"/>
        <v>1</v>
      </c>
      <c r="M44" s="37">
        <f t="shared" si="2"/>
        <v>1</v>
      </c>
      <c r="N44" s="37">
        <f t="shared" si="3"/>
        <v>1</v>
      </c>
      <c r="O44" s="37">
        <f t="shared" si="4"/>
        <v>0</v>
      </c>
      <c r="P44" s="37">
        <f t="shared" si="5"/>
        <v>1</v>
      </c>
      <c r="Q44">
        <f t="shared" si="6"/>
        <v>1</v>
      </c>
      <c r="S44" s="38">
        <v>150</v>
      </c>
      <c r="T44" s="38">
        <v>141</v>
      </c>
      <c r="U44" s="38">
        <v>165</v>
      </c>
      <c r="V44" s="38">
        <v>136</v>
      </c>
      <c r="W44" s="38">
        <v>141</v>
      </c>
      <c r="X44" s="38"/>
    </row>
    <row r="45" spans="1:24">
      <c r="A45" s="1" t="s">
        <v>218</v>
      </c>
      <c r="B45" s="8" t="s">
        <v>206</v>
      </c>
      <c r="C45" s="1">
        <v>1</v>
      </c>
      <c r="D45" s="1">
        <v>1</v>
      </c>
      <c r="E45" s="43">
        <v>1</v>
      </c>
      <c r="F45" s="24">
        <f t="shared" si="0"/>
        <v>1</v>
      </c>
      <c r="G45" s="43">
        <v>0.4086679920477137</v>
      </c>
      <c r="H45" s="45">
        <v>2.4657959823721287E-5</v>
      </c>
      <c r="I45" s="44">
        <v>0.30890000000000001</v>
      </c>
      <c r="J45" s="45">
        <v>43.91076985854189</v>
      </c>
      <c r="L45">
        <f t="shared" si="1"/>
        <v>1</v>
      </c>
      <c r="M45" s="37">
        <f t="shared" si="2"/>
        <v>1</v>
      </c>
      <c r="N45" s="37">
        <f t="shared" si="3"/>
        <v>1</v>
      </c>
      <c r="O45" s="37">
        <f t="shared" si="4"/>
        <v>1</v>
      </c>
      <c r="P45" s="37">
        <f t="shared" si="5"/>
        <v>1</v>
      </c>
      <c r="Q45">
        <f t="shared" si="6"/>
        <v>1</v>
      </c>
      <c r="S45" s="39">
        <v>85.227272727272734</v>
      </c>
      <c r="T45" s="39">
        <v>80.11363636363636</v>
      </c>
      <c r="U45" s="39">
        <v>93.75</v>
      </c>
      <c r="V45" s="39">
        <v>77.272727272727266</v>
      </c>
      <c r="W45" s="39">
        <v>80.11363636363636</v>
      </c>
      <c r="X45" s="38"/>
    </row>
    <row r="46" spans="1:24">
      <c r="A46" s="1" t="s">
        <v>187</v>
      </c>
      <c r="B46" s="8" t="s">
        <v>206</v>
      </c>
      <c r="C46" s="1">
        <v>1</v>
      </c>
      <c r="D46" s="1">
        <v>1</v>
      </c>
      <c r="E46" s="43">
        <v>0.13767143496178702</v>
      </c>
      <c r="F46" s="24">
        <f t="shared" si="0"/>
        <v>1.8953424004437554E-2</v>
      </c>
      <c r="G46" s="43">
        <v>5.9091707552218438E-2</v>
      </c>
      <c r="H46" s="45">
        <v>1.3873056629256606E-4</v>
      </c>
      <c r="I46" s="44">
        <v>1</v>
      </c>
      <c r="J46" s="45">
        <v>235.35128205128206</v>
      </c>
      <c r="L46">
        <f t="shared" si="1"/>
        <v>0</v>
      </c>
      <c r="M46" s="37">
        <f t="shared" si="2"/>
        <v>1</v>
      </c>
      <c r="N46" s="37">
        <f t="shared" si="3"/>
        <v>1</v>
      </c>
      <c r="O46" s="37">
        <f t="shared" si="4"/>
        <v>1</v>
      </c>
      <c r="P46" s="37">
        <f t="shared" si="5"/>
        <v>1</v>
      </c>
      <c r="Q46">
        <f t="shared" si="6"/>
        <v>1</v>
      </c>
    </row>
    <row r="47" spans="1:24">
      <c r="A47" s="1" t="s">
        <v>218</v>
      </c>
      <c r="B47" s="8" t="s">
        <v>208</v>
      </c>
      <c r="C47" s="1">
        <v>1</v>
      </c>
      <c r="D47" s="1">
        <v>1</v>
      </c>
      <c r="E47" s="43">
        <v>0.22358435493286632</v>
      </c>
      <c r="F47" s="24">
        <f t="shared" si="0"/>
        <v>4.9989963770745945E-2</v>
      </c>
      <c r="G47" s="43">
        <v>9.1371769383697815E-2</v>
      </c>
      <c r="H47" s="45">
        <v>5.4987630375980072E-6</v>
      </c>
      <c r="I47" s="44">
        <v>0.10299999999999999</v>
      </c>
      <c r="J47" s="45">
        <v>9.9459140369967365</v>
      </c>
      <c r="L47">
        <f t="shared" si="1"/>
        <v>0</v>
      </c>
      <c r="M47" s="37">
        <f t="shared" si="2"/>
        <v>1</v>
      </c>
      <c r="N47" s="37">
        <f t="shared" si="3"/>
        <v>1</v>
      </c>
      <c r="O47" s="37">
        <f t="shared" si="4"/>
        <v>0</v>
      </c>
      <c r="P47" s="37">
        <f t="shared" si="5"/>
        <v>1</v>
      </c>
      <c r="Q47">
        <f t="shared" si="6"/>
        <v>1</v>
      </c>
      <c r="S47" s="36" t="s">
        <v>374</v>
      </c>
      <c r="T47" s="36" t="s">
        <v>375</v>
      </c>
      <c r="U47" s="36" t="s">
        <v>376</v>
      </c>
      <c r="V47" s="36" t="s">
        <v>377</v>
      </c>
      <c r="W47" s="36" t="s">
        <v>378</v>
      </c>
      <c r="X47" s="36"/>
    </row>
    <row r="48" spans="1:24">
      <c r="A48" s="1" t="s">
        <v>217</v>
      </c>
      <c r="B48" s="8" t="s">
        <v>208</v>
      </c>
      <c r="C48" s="1">
        <v>1</v>
      </c>
      <c r="D48" s="1">
        <v>1</v>
      </c>
      <c r="E48" s="43">
        <v>0.32512458552287138</v>
      </c>
      <c r="F48" s="24">
        <f t="shared" si="0"/>
        <v>0.10570599611141891</v>
      </c>
      <c r="G48" s="43">
        <v>0.14815161705895138</v>
      </c>
      <c r="H48" s="45">
        <v>4.0201040695044254E-4</v>
      </c>
      <c r="I48" s="44">
        <v>1</v>
      </c>
      <c r="J48" s="45">
        <v>549.40370713623724</v>
      </c>
      <c r="L48">
        <f t="shared" si="1"/>
        <v>0</v>
      </c>
      <c r="M48" s="37">
        <f t="shared" si="2"/>
        <v>1</v>
      </c>
      <c r="N48" s="37">
        <f t="shared" si="3"/>
        <v>1</v>
      </c>
      <c r="O48" s="37">
        <f t="shared" si="4"/>
        <v>1</v>
      </c>
      <c r="P48" s="37">
        <f t="shared" si="5"/>
        <v>1</v>
      </c>
      <c r="Q48">
        <f t="shared" si="6"/>
        <v>1</v>
      </c>
      <c r="S48">
        <v>1E-4</v>
      </c>
      <c r="T48">
        <v>1E-4</v>
      </c>
      <c r="U48">
        <v>5.0000000000000001E-9</v>
      </c>
      <c r="V48">
        <v>0.1</v>
      </c>
      <c r="W48">
        <v>0.5</v>
      </c>
    </row>
    <row r="49" spans="1:24">
      <c r="A49" s="1" t="s">
        <v>219</v>
      </c>
      <c r="B49" s="8" t="s">
        <v>208</v>
      </c>
      <c r="C49" s="1">
        <v>1</v>
      </c>
      <c r="D49" s="1">
        <v>1</v>
      </c>
      <c r="E49" s="43">
        <v>1</v>
      </c>
      <c r="F49" s="24">
        <f t="shared" si="0"/>
        <v>1</v>
      </c>
      <c r="G49" s="43">
        <v>0.64435146443514646</v>
      </c>
      <c r="H49" s="45">
        <v>7.3932948404679092E-7</v>
      </c>
      <c r="I49" s="44">
        <v>0.47620000000000001</v>
      </c>
      <c r="J49" s="45">
        <v>1.5322951844903063</v>
      </c>
      <c r="L49">
        <f t="shared" si="1"/>
        <v>1</v>
      </c>
      <c r="M49" s="37">
        <f t="shared" si="2"/>
        <v>1</v>
      </c>
      <c r="N49" s="37">
        <f t="shared" si="3"/>
        <v>1</v>
      </c>
      <c r="O49" s="37">
        <f t="shared" si="4"/>
        <v>1</v>
      </c>
      <c r="P49" s="37">
        <f t="shared" si="5"/>
        <v>0</v>
      </c>
      <c r="Q49">
        <f t="shared" si="6"/>
        <v>1</v>
      </c>
      <c r="S49" s="38">
        <v>88</v>
      </c>
      <c r="T49" s="38">
        <v>99</v>
      </c>
      <c r="U49" s="38">
        <v>22</v>
      </c>
      <c r="V49" s="38">
        <v>90</v>
      </c>
      <c r="W49" s="38">
        <v>100</v>
      </c>
      <c r="X49" s="38"/>
    </row>
    <row r="50" spans="1:24">
      <c r="A50" s="1" t="s">
        <v>187</v>
      </c>
      <c r="B50" s="8" t="s">
        <v>208</v>
      </c>
      <c r="C50" s="1">
        <v>1</v>
      </c>
      <c r="D50" s="1">
        <v>1</v>
      </c>
      <c r="E50" s="43">
        <v>7.5973883828722083E-2</v>
      </c>
      <c r="F50" s="24">
        <f t="shared" si="0"/>
        <v>5.7720310240201586E-3</v>
      </c>
      <c r="G50" s="43">
        <v>3.2609716939895173E-2</v>
      </c>
      <c r="H50" s="45">
        <v>7.6566809691595779E-5</v>
      </c>
      <c r="I50" s="44">
        <v>1</v>
      </c>
      <c r="J50" s="45">
        <v>131.57376327376326</v>
      </c>
      <c r="L50">
        <f t="shared" si="1"/>
        <v>0</v>
      </c>
      <c r="M50" s="37">
        <f t="shared" si="2"/>
        <v>1</v>
      </c>
      <c r="N50" s="37">
        <f t="shared" si="3"/>
        <v>1</v>
      </c>
      <c r="O50" s="37">
        <f t="shared" si="4"/>
        <v>1</v>
      </c>
      <c r="P50" s="37">
        <f t="shared" si="5"/>
        <v>1</v>
      </c>
      <c r="Q50">
        <f t="shared" si="6"/>
        <v>1</v>
      </c>
      <c r="S50" s="39">
        <v>55.696202531645568</v>
      </c>
      <c r="T50" s="39">
        <v>62.658227848101269</v>
      </c>
      <c r="U50" s="39">
        <v>13.924050632911392</v>
      </c>
      <c r="V50" s="39">
        <v>56.962025316455701</v>
      </c>
      <c r="W50" s="39">
        <v>63.291139240506332</v>
      </c>
      <c r="X50" s="38"/>
    </row>
    <row r="51" spans="1:24">
      <c r="A51" s="1" t="s">
        <v>211</v>
      </c>
      <c r="B51" s="8" t="s">
        <v>208</v>
      </c>
      <c r="C51" s="1">
        <v>1</v>
      </c>
      <c r="D51" s="1">
        <v>1</v>
      </c>
      <c r="E51" s="43">
        <v>0.22217023433539984</v>
      </c>
      <c r="F51" s="24">
        <f t="shared" si="0"/>
        <v>4.9359613024646476E-2</v>
      </c>
      <c r="G51" s="43">
        <v>0.17273587733805801</v>
      </c>
      <c r="H51" s="45">
        <v>2.4591946963106384E-4</v>
      </c>
      <c r="I51" s="44">
        <v>0.92820000000000003</v>
      </c>
      <c r="J51" s="45">
        <v>378.47460048706944</v>
      </c>
      <c r="L51">
        <f t="shared" si="1"/>
        <v>0</v>
      </c>
      <c r="M51" s="37">
        <f t="shared" si="2"/>
        <v>1</v>
      </c>
      <c r="N51" s="37">
        <f t="shared" si="3"/>
        <v>1</v>
      </c>
      <c r="O51" s="37">
        <f t="shared" si="4"/>
        <v>1</v>
      </c>
      <c r="P51" s="37">
        <f t="shared" si="5"/>
        <v>1</v>
      </c>
      <c r="Q51">
        <f t="shared" si="6"/>
        <v>1</v>
      </c>
      <c r="S51" s="36" t="s">
        <v>369</v>
      </c>
      <c r="T51" s="36" t="s">
        <v>370</v>
      </c>
      <c r="U51" s="36" t="s">
        <v>371</v>
      </c>
      <c r="V51" s="36" t="s">
        <v>372</v>
      </c>
      <c r="W51" s="36" t="s">
        <v>373</v>
      </c>
      <c r="X51" s="36"/>
    </row>
    <row r="52" spans="1:24">
      <c r="A52" s="1" t="s">
        <v>217</v>
      </c>
      <c r="B52" s="8" t="s">
        <v>196</v>
      </c>
      <c r="C52" s="1">
        <v>1</v>
      </c>
      <c r="D52" s="1">
        <v>1</v>
      </c>
      <c r="E52" s="43">
        <v>2.0166372573733301E-3</v>
      </c>
      <c r="F52" s="24">
        <f t="shared" si="0"/>
        <v>4.0668258278262268E-6</v>
      </c>
      <c r="G52" s="43">
        <v>9.1893410712297634E-4</v>
      </c>
      <c r="H52" s="45">
        <v>2.4846002411647621E-6</v>
      </c>
      <c r="I52" s="44">
        <v>0.97829999999999995</v>
      </c>
      <c r="J52" s="45">
        <v>3.3617135207496656</v>
      </c>
      <c r="L52">
        <f t="shared" si="1"/>
        <v>0</v>
      </c>
      <c r="M52" s="37">
        <f t="shared" si="2"/>
        <v>0</v>
      </c>
      <c r="N52" s="37">
        <f t="shared" si="3"/>
        <v>1</v>
      </c>
      <c r="O52" s="37">
        <f t="shared" si="4"/>
        <v>1</v>
      </c>
      <c r="P52" s="37">
        <f t="shared" si="5"/>
        <v>1</v>
      </c>
      <c r="Q52">
        <f t="shared" si="6"/>
        <v>0</v>
      </c>
      <c r="S52">
        <v>1E-4</v>
      </c>
      <c r="T52">
        <v>1E-4</v>
      </c>
      <c r="U52">
        <v>5.0000000000000001E-9</v>
      </c>
      <c r="V52">
        <v>0.1</v>
      </c>
      <c r="W52">
        <v>0.5</v>
      </c>
    </row>
    <row r="53" spans="1:24">
      <c r="A53" s="1" t="s">
        <v>187</v>
      </c>
      <c r="B53" s="8" t="s">
        <v>196</v>
      </c>
      <c r="C53" s="1">
        <v>1</v>
      </c>
      <c r="D53" s="1">
        <v>1</v>
      </c>
      <c r="E53" s="43">
        <v>9.7079062330468545E-4</v>
      </c>
      <c r="F53" s="24">
        <f t="shared" si="0"/>
        <v>9.4243443429629969E-7</v>
      </c>
      <c r="G53" s="43">
        <v>4.166853902748898E-4</v>
      </c>
      <c r="H53" s="45">
        <v>9.5896851413376765E-7</v>
      </c>
      <c r="I53" s="44">
        <v>0.63160000000000005</v>
      </c>
      <c r="J53" s="45">
        <v>1.6585236985236986</v>
      </c>
      <c r="L53">
        <f t="shared" si="1"/>
        <v>0</v>
      </c>
      <c r="M53" s="37">
        <f t="shared" si="2"/>
        <v>0</v>
      </c>
      <c r="N53" s="37">
        <f t="shared" si="3"/>
        <v>1</v>
      </c>
      <c r="O53" s="37">
        <f t="shared" si="4"/>
        <v>1</v>
      </c>
      <c r="P53" s="37">
        <f t="shared" si="5"/>
        <v>1</v>
      </c>
      <c r="Q53">
        <f t="shared" si="6"/>
        <v>0</v>
      </c>
      <c r="S53" s="38">
        <v>173</v>
      </c>
      <c r="T53" s="38">
        <v>158</v>
      </c>
      <c r="U53" s="38">
        <v>168</v>
      </c>
      <c r="V53" s="38">
        <v>163</v>
      </c>
      <c r="W53" s="38">
        <v>155</v>
      </c>
      <c r="X53" s="38"/>
    </row>
    <row r="54" spans="1:24">
      <c r="A54" s="1" t="s">
        <v>211</v>
      </c>
      <c r="B54" s="8" t="s">
        <v>196</v>
      </c>
      <c r="C54" s="1">
        <v>1</v>
      </c>
      <c r="D54" s="1">
        <v>1</v>
      </c>
      <c r="E54" s="43">
        <v>5.2923668785173052E-2</v>
      </c>
      <c r="F54" s="24">
        <f t="shared" si="0"/>
        <v>2.8009147176827004E-3</v>
      </c>
      <c r="G54" s="43">
        <v>4.1147799960253438E-2</v>
      </c>
      <c r="H54" s="45">
        <v>5.8584258317990174E-5</v>
      </c>
      <c r="I54" s="44">
        <v>0.81220000000000003</v>
      </c>
      <c r="J54" s="45">
        <v>88.93894004406819</v>
      </c>
      <c r="L54">
        <f t="shared" si="1"/>
        <v>0</v>
      </c>
      <c r="M54" s="37">
        <f t="shared" si="2"/>
        <v>1</v>
      </c>
      <c r="N54" s="37">
        <f t="shared" si="3"/>
        <v>1</v>
      </c>
      <c r="O54" s="37">
        <f t="shared" si="4"/>
        <v>1</v>
      </c>
      <c r="P54" s="37">
        <f t="shared" si="5"/>
        <v>1</v>
      </c>
      <c r="Q54">
        <f t="shared" si="6"/>
        <v>1</v>
      </c>
      <c r="S54" s="39">
        <v>98.295454545454547</v>
      </c>
      <c r="T54" s="39">
        <v>89.772727272727266</v>
      </c>
      <c r="U54" s="39">
        <v>95.454545454545453</v>
      </c>
      <c r="V54" s="39">
        <v>92.61363636363636</v>
      </c>
      <c r="W54" s="39">
        <v>88.068181818181827</v>
      </c>
      <c r="X54" s="38"/>
    </row>
    <row r="55" spans="1:24">
      <c r="A55" s="1" t="s">
        <v>218</v>
      </c>
      <c r="B55" s="8" t="s">
        <v>209</v>
      </c>
      <c r="C55" s="1">
        <v>1</v>
      </c>
      <c r="D55" s="1">
        <v>1</v>
      </c>
      <c r="E55" s="43">
        <v>7.7057793345008757E-2</v>
      </c>
      <c r="F55" s="24">
        <f t="shared" si="0"/>
        <v>5.9379035152020759E-3</v>
      </c>
      <c r="G55" s="43">
        <v>3.1491053677932403E-2</v>
      </c>
      <c r="H55" s="45">
        <v>1.9026696186381096E-6</v>
      </c>
      <c r="I55" s="44">
        <v>4.5699999999999998E-2</v>
      </c>
      <c r="J55" s="45">
        <v>3.3890533188248098</v>
      </c>
      <c r="L55">
        <f t="shared" si="1"/>
        <v>0</v>
      </c>
      <c r="M55" s="37">
        <f t="shared" si="2"/>
        <v>1</v>
      </c>
      <c r="N55" s="37">
        <f t="shared" si="3"/>
        <v>1</v>
      </c>
      <c r="O55" s="37">
        <f t="shared" si="4"/>
        <v>0</v>
      </c>
      <c r="P55" s="37">
        <f t="shared" si="5"/>
        <v>1</v>
      </c>
      <c r="Q55">
        <f t="shared" si="6"/>
        <v>1</v>
      </c>
    </row>
    <row r="56" spans="1:24">
      <c r="A56" s="1" t="s">
        <v>217</v>
      </c>
      <c r="B56" s="8" t="s">
        <v>209</v>
      </c>
      <c r="C56" s="1">
        <v>1</v>
      </c>
      <c r="D56" s="1">
        <v>1</v>
      </c>
      <c r="E56" s="43">
        <v>0.86739834403055982</v>
      </c>
      <c r="F56" s="24">
        <f t="shared" si="0"/>
        <v>0.75237988722695737</v>
      </c>
      <c r="G56" s="43">
        <v>0.39525299846431972</v>
      </c>
      <c r="H56" s="45">
        <v>1.0725435125245688E-3</v>
      </c>
      <c r="I56" s="44">
        <v>1</v>
      </c>
      <c r="J56" s="45">
        <v>1449.1685676037484</v>
      </c>
      <c r="L56">
        <f t="shared" si="1"/>
        <v>1</v>
      </c>
      <c r="M56" s="37">
        <f t="shared" si="2"/>
        <v>1</v>
      </c>
      <c r="N56" s="37">
        <f t="shared" si="3"/>
        <v>1</v>
      </c>
      <c r="O56" s="37">
        <f t="shared" si="4"/>
        <v>1</v>
      </c>
      <c r="P56" s="37">
        <f t="shared" si="5"/>
        <v>1</v>
      </c>
      <c r="Q56">
        <f t="shared" si="6"/>
        <v>1</v>
      </c>
    </row>
    <row r="57" spans="1:24">
      <c r="A57" s="1" t="s">
        <v>219</v>
      </c>
      <c r="B57" s="8" t="s">
        <v>209</v>
      </c>
      <c r="C57" s="1">
        <v>1</v>
      </c>
      <c r="D57" s="1">
        <v>1</v>
      </c>
      <c r="E57" s="43">
        <v>0.29870129870129869</v>
      </c>
      <c r="F57" s="24">
        <f t="shared" si="0"/>
        <v>8.9222465845842466E-2</v>
      </c>
      <c r="G57" s="43">
        <v>0.19246861924686193</v>
      </c>
      <c r="H57" s="45">
        <v>2.1621245666342155E-7</v>
      </c>
      <c r="I57" s="44">
        <v>0.47620000000000001</v>
      </c>
      <c r="J57" s="45">
        <v>0.45252032520325208</v>
      </c>
      <c r="L57">
        <f t="shared" si="1"/>
        <v>0</v>
      </c>
      <c r="M57" s="37">
        <f t="shared" si="2"/>
        <v>1</v>
      </c>
      <c r="N57" s="37">
        <f t="shared" si="3"/>
        <v>1</v>
      </c>
      <c r="O57" s="37">
        <f t="shared" si="4"/>
        <v>1</v>
      </c>
      <c r="P57" s="37">
        <f t="shared" si="5"/>
        <v>0</v>
      </c>
      <c r="Q57">
        <f t="shared" si="6"/>
        <v>1</v>
      </c>
    </row>
    <row r="58" spans="1:24">
      <c r="A58" s="1" t="s">
        <v>187</v>
      </c>
      <c r="B58" s="8" t="s">
        <v>209</v>
      </c>
      <c r="C58" s="1">
        <v>1</v>
      </c>
      <c r="D58" s="1">
        <v>1</v>
      </c>
      <c r="E58" s="43">
        <v>5.4026401697931832E-2</v>
      </c>
      <c r="F58" s="24">
        <f t="shared" si="0"/>
        <v>2.9188520804262915E-3</v>
      </c>
      <c r="G58" s="43">
        <v>2.3189358998974625E-2</v>
      </c>
      <c r="H58" s="45">
        <v>5.444229658784954E-5</v>
      </c>
      <c r="I58" s="44">
        <v>1</v>
      </c>
      <c r="J58" s="45">
        <v>92.505925925925922</v>
      </c>
      <c r="L58">
        <f t="shared" si="1"/>
        <v>0</v>
      </c>
      <c r="M58" s="37">
        <f t="shared" si="2"/>
        <v>1</v>
      </c>
      <c r="N58" s="37">
        <f t="shared" si="3"/>
        <v>1</v>
      </c>
      <c r="O58" s="37">
        <f t="shared" si="4"/>
        <v>1</v>
      </c>
      <c r="P58" s="37">
        <f t="shared" si="5"/>
        <v>1</v>
      </c>
      <c r="Q58">
        <f t="shared" si="6"/>
        <v>1</v>
      </c>
    </row>
    <row r="59" spans="1:24">
      <c r="A59" s="1" t="s">
        <v>211</v>
      </c>
      <c r="B59" s="8" t="s">
        <v>209</v>
      </c>
      <c r="C59" s="1">
        <v>1</v>
      </c>
      <c r="D59" s="1">
        <v>1</v>
      </c>
      <c r="E59" s="43">
        <v>1</v>
      </c>
      <c r="F59" s="24">
        <f t="shared" si="0"/>
        <v>1</v>
      </c>
      <c r="G59" s="43">
        <v>0.77749333908198903</v>
      </c>
      <c r="H59" s="45">
        <v>1.1068780506427204E-3</v>
      </c>
      <c r="I59" s="44">
        <v>0.92820000000000003</v>
      </c>
      <c r="J59" s="45">
        <v>1684.3267354748928</v>
      </c>
      <c r="L59">
        <f t="shared" si="1"/>
        <v>1</v>
      </c>
      <c r="M59" s="37">
        <f t="shared" si="2"/>
        <v>1</v>
      </c>
      <c r="N59" s="37">
        <f t="shared" si="3"/>
        <v>1</v>
      </c>
      <c r="O59" s="37">
        <f t="shared" si="4"/>
        <v>1</v>
      </c>
      <c r="P59" s="37">
        <f t="shared" si="5"/>
        <v>1</v>
      </c>
      <c r="Q59">
        <f t="shared" si="6"/>
        <v>1</v>
      </c>
    </row>
    <row r="60" spans="1:24">
      <c r="A60" s="1" t="s">
        <v>218</v>
      </c>
      <c r="B60" s="8" t="s">
        <v>207</v>
      </c>
      <c r="C60" s="1">
        <v>1</v>
      </c>
      <c r="D60" s="1">
        <v>1</v>
      </c>
      <c r="E60" s="43">
        <v>0.15061295971978983</v>
      </c>
      <c r="F60" s="24">
        <f t="shared" si="0"/>
        <v>2.2684263635555035E-2</v>
      </c>
      <c r="G60" s="43">
        <v>6.1550695825049705E-2</v>
      </c>
      <c r="H60" s="45">
        <v>3.7305706659234003E-6</v>
      </c>
      <c r="I60" s="44">
        <v>0.10299999999999999</v>
      </c>
      <c r="J60" s="45">
        <v>6.6282698585418931</v>
      </c>
      <c r="L60">
        <f t="shared" si="1"/>
        <v>0</v>
      </c>
      <c r="M60" s="37">
        <f t="shared" si="2"/>
        <v>1</v>
      </c>
      <c r="N60" s="37">
        <f t="shared" si="3"/>
        <v>1</v>
      </c>
      <c r="O60" s="37">
        <f t="shared" si="4"/>
        <v>0</v>
      </c>
      <c r="P60" s="37">
        <f t="shared" si="5"/>
        <v>1</v>
      </c>
      <c r="Q60">
        <f t="shared" si="6"/>
        <v>1</v>
      </c>
    </row>
    <row r="61" spans="1:24">
      <c r="A61" s="1" t="s">
        <v>217</v>
      </c>
      <c r="B61" s="8" t="s">
        <v>207</v>
      </c>
      <c r="C61" s="1">
        <v>1</v>
      </c>
      <c r="D61" s="1">
        <v>1</v>
      </c>
      <c r="E61" s="43">
        <v>1</v>
      </c>
      <c r="F61" s="24">
        <f t="shared" si="0"/>
        <v>1</v>
      </c>
      <c r="G61" s="43">
        <v>0.45567645036960591</v>
      </c>
      <c r="H61" s="45">
        <v>1.2365111080423015E-3</v>
      </c>
      <c r="I61" s="44">
        <v>1</v>
      </c>
      <c r="J61" s="45">
        <v>1671.7692101740295</v>
      </c>
      <c r="L61">
        <f t="shared" si="1"/>
        <v>1</v>
      </c>
      <c r="M61" s="37">
        <f t="shared" si="2"/>
        <v>1</v>
      </c>
      <c r="N61" s="37">
        <f t="shared" si="3"/>
        <v>1</v>
      </c>
      <c r="O61" s="37">
        <f t="shared" si="4"/>
        <v>1</v>
      </c>
      <c r="P61" s="37">
        <f t="shared" si="5"/>
        <v>1</v>
      </c>
      <c r="Q61">
        <f t="shared" si="6"/>
        <v>1</v>
      </c>
    </row>
    <row r="62" spans="1:24">
      <c r="A62" s="1" t="s">
        <v>219</v>
      </c>
      <c r="B62" s="8" t="s">
        <v>207</v>
      </c>
      <c r="C62" s="1">
        <v>1</v>
      </c>
      <c r="D62" s="1">
        <v>1</v>
      </c>
      <c r="E62" s="43">
        <v>0.25324675324675322</v>
      </c>
      <c r="F62" s="24">
        <f t="shared" si="0"/>
        <v>6.4133918030021914E-2</v>
      </c>
      <c r="G62" s="43">
        <v>0.16317991631799164</v>
      </c>
      <c r="H62" s="45">
        <v>1.9229745700636088E-7</v>
      </c>
      <c r="I62" s="44">
        <v>0.3175</v>
      </c>
      <c r="J62" s="45">
        <v>0.38390243902439025</v>
      </c>
      <c r="L62">
        <f t="shared" si="1"/>
        <v>0</v>
      </c>
      <c r="M62" s="37">
        <f t="shared" si="2"/>
        <v>1</v>
      </c>
      <c r="N62" s="37">
        <f t="shared" si="3"/>
        <v>0</v>
      </c>
      <c r="O62" s="37">
        <f t="shared" si="4"/>
        <v>1</v>
      </c>
      <c r="P62" s="37">
        <f t="shared" si="5"/>
        <v>0</v>
      </c>
      <c r="Q62">
        <f t="shared" si="6"/>
        <v>1</v>
      </c>
    </row>
    <row r="63" spans="1:24">
      <c r="A63" s="1" t="s">
        <v>187</v>
      </c>
      <c r="B63" s="8" t="s">
        <v>207</v>
      </c>
      <c r="C63" s="1">
        <v>1</v>
      </c>
      <c r="D63" s="1">
        <v>1</v>
      </c>
      <c r="E63" s="43">
        <v>0.10080994394160028</v>
      </c>
      <c r="F63" s="24">
        <f t="shared" si="0"/>
        <v>1.0162644797508592E-2</v>
      </c>
      <c r="G63" s="43">
        <v>4.3269918174427775E-2</v>
      </c>
      <c r="H63" s="45">
        <v>1.015715167907598E-4</v>
      </c>
      <c r="I63" s="44">
        <v>1</v>
      </c>
      <c r="J63" s="45">
        <v>172.72010360010361</v>
      </c>
      <c r="L63">
        <f t="shared" si="1"/>
        <v>0</v>
      </c>
      <c r="M63" s="37">
        <f t="shared" si="2"/>
        <v>1</v>
      </c>
      <c r="N63" s="37">
        <f t="shared" si="3"/>
        <v>1</v>
      </c>
      <c r="O63" s="37">
        <f t="shared" si="4"/>
        <v>1</v>
      </c>
      <c r="P63" s="37">
        <f t="shared" si="5"/>
        <v>1</v>
      </c>
      <c r="Q63">
        <f t="shared" si="6"/>
        <v>1</v>
      </c>
    </row>
    <row r="64" spans="1:24">
      <c r="A64" s="1" t="s">
        <v>211</v>
      </c>
      <c r="B64" s="8" t="s">
        <v>207</v>
      </c>
      <c r="C64" s="1">
        <v>1</v>
      </c>
      <c r="D64" s="1">
        <v>1</v>
      </c>
      <c r="E64" s="43">
        <v>1.1090749188772349E-2</v>
      </c>
      <c r="F64" s="24">
        <f t="shared" si="0"/>
        <v>1.2300471756825451E-4</v>
      </c>
      <c r="G64" s="43">
        <v>8.6229836196994748E-3</v>
      </c>
      <c r="H64" s="45">
        <v>1.2268577757005824E-5</v>
      </c>
      <c r="I64" s="44">
        <v>0.69610000000000005</v>
      </c>
      <c r="J64" s="45">
        <v>18.691592253276124</v>
      </c>
      <c r="L64">
        <f t="shared" si="1"/>
        <v>0</v>
      </c>
      <c r="M64" s="37">
        <f t="shared" si="2"/>
        <v>1</v>
      </c>
      <c r="N64" s="37">
        <f t="shared" si="3"/>
        <v>1</v>
      </c>
      <c r="O64" s="37">
        <f t="shared" si="4"/>
        <v>1</v>
      </c>
      <c r="P64" s="37">
        <f t="shared" si="5"/>
        <v>1</v>
      </c>
      <c r="Q64">
        <f t="shared" si="6"/>
        <v>1</v>
      </c>
    </row>
    <row r="65" spans="1:17">
      <c r="A65" s="1" t="s">
        <v>216</v>
      </c>
      <c r="B65" s="8" t="s">
        <v>195</v>
      </c>
      <c r="C65" s="1">
        <v>1</v>
      </c>
      <c r="D65" s="1">
        <v>1</v>
      </c>
      <c r="E65" s="43">
        <v>0.66828467452868912</v>
      </c>
      <c r="F65" s="24">
        <f t="shared" si="0"/>
        <v>0.44660440620991593</v>
      </c>
      <c r="G65" s="43">
        <v>0.2880110752627309</v>
      </c>
      <c r="H65" s="45">
        <v>1.1711951602989153E-3</v>
      </c>
      <c r="I65" s="44">
        <v>1</v>
      </c>
      <c r="J65" s="45">
        <v>2617.2346455584875</v>
      </c>
      <c r="L65">
        <f t="shared" si="1"/>
        <v>1</v>
      </c>
      <c r="M65" s="37">
        <f t="shared" si="2"/>
        <v>1</v>
      </c>
      <c r="N65" s="37">
        <f t="shared" si="3"/>
        <v>1</v>
      </c>
      <c r="O65" s="37">
        <f t="shared" si="4"/>
        <v>1</v>
      </c>
      <c r="P65" s="37">
        <f t="shared" si="5"/>
        <v>1</v>
      </c>
      <c r="Q65">
        <f t="shared" si="6"/>
        <v>1</v>
      </c>
    </row>
    <row r="66" spans="1:17">
      <c r="A66" s="1" t="s">
        <v>216</v>
      </c>
      <c r="B66" s="8" t="s">
        <v>213</v>
      </c>
      <c r="C66" s="1">
        <v>1</v>
      </c>
      <c r="D66" s="1">
        <v>1</v>
      </c>
      <c r="E66" s="43">
        <v>8.7183626563055797E-2</v>
      </c>
      <c r="F66" s="24">
        <f t="shared" ref="F66:F129" si="7">E66*E66</f>
        <v>7.600984740686368E-3</v>
      </c>
      <c r="G66" s="43">
        <v>3.7573583517292126E-2</v>
      </c>
      <c r="H66" s="45">
        <v>1.5279971384336534E-4</v>
      </c>
      <c r="I66" s="44">
        <v>1</v>
      </c>
      <c r="J66" s="45">
        <v>339.53571503957784</v>
      </c>
      <c r="L66">
        <f t="shared" ref="L66:L129" si="8">IF(E66&gt;$S$3,1,0)</f>
        <v>0</v>
      </c>
      <c r="M66" s="37">
        <f t="shared" ref="M66:M129" si="9">IF(G66&gt;$T$3,1,0)</f>
        <v>1</v>
      </c>
      <c r="N66" s="37">
        <f t="shared" ref="N66:N129" si="10">IF(H66&gt;$U$3,1,0)</f>
        <v>1</v>
      </c>
      <c r="O66" s="37">
        <f t="shared" ref="O66:O129" si="11">IF(I66&gt;$V$3,1,0)</f>
        <v>1</v>
      </c>
      <c r="P66" s="37">
        <f t="shared" ref="P66:P129" si="12">IF(J66&gt;$W$3,1,0)</f>
        <v>1</v>
      </c>
      <c r="Q66">
        <f t="shared" ref="Q66:Q129" si="13">IF(E66&gt;$X$3,1,0)</f>
        <v>1</v>
      </c>
    </row>
    <row r="67" spans="1:17">
      <c r="A67" s="1" t="s">
        <v>216</v>
      </c>
      <c r="B67" s="8" t="s">
        <v>215</v>
      </c>
      <c r="C67" s="1">
        <v>1</v>
      </c>
      <c r="D67" s="1">
        <v>1</v>
      </c>
      <c r="E67" s="43">
        <v>0.56487536596711085</v>
      </c>
      <c r="F67" s="24">
        <f t="shared" si="7"/>
        <v>0.3190841790764774</v>
      </c>
      <c r="G67" s="43">
        <v>0.24344469915661968</v>
      </c>
      <c r="H67" s="45">
        <v>9.8998599386278903E-4</v>
      </c>
      <c r="I67" s="44">
        <v>1</v>
      </c>
      <c r="J67" s="45">
        <v>2372.7557255936676</v>
      </c>
      <c r="L67">
        <f t="shared" si="8"/>
        <v>1</v>
      </c>
      <c r="M67" s="37">
        <f t="shared" si="9"/>
        <v>1</v>
      </c>
      <c r="N67" s="37">
        <f t="shared" si="10"/>
        <v>1</v>
      </c>
      <c r="O67" s="37">
        <f t="shared" si="11"/>
        <v>1</v>
      </c>
      <c r="P67" s="37">
        <f t="shared" si="12"/>
        <v>1</v>
      </c>
      <c r="Q67">
        <f t="shared" si="13"/>
        <v>1</v>
      </c>
    </row>
    <row r="68" spans="1:17">
      <c r="A68" s="1" t="s">
        <v>216</v>
      </c>
      <c r="B68" s="8" t="s">
        <v>214</v>
      </c>
      <c r="C68" s="1">
        <v>1</v>
      </c>
      <c r="D68" s="1">
        <v>1</v>
      </c>
      <c r="E68" s="43">
        <v>1</v>
      </c>
      <c r="F68" s="24">
        <f t="shared" si="7"/>
        <v>1</v>
      </c>
      <c r="G68" s="43">
        <v>0.43097064206335728</v>
      </c>
      <c r="H68" s="45">
        <v>1.752559782488004E-3</v>
      </c>
      <c r="I68" s="44">
        <v>1</v>
      </c>
      <c r="J68" s="45">
        <v>3903.4896042216355</v>
      </c>
      <c r="L68">
        <f t="shared" si="8"/>
        <v>1</v>
      </c>
      <c r="M68" s="37">
        <f t="shared" si="9"/>
        <v>1</v>
      </c>
      <c r="N68" s="37">
        <f t="shared" si="10"/>
        <v>1</v>
      </c>
      <c r="O68" s="37">
        <f t="shared" si="11"/>
        <v>1</v>
      </c>
      <c r="P68" s="37">
        <f t="shared" si="12"/>
        <v>1</v>
      </c>
      <c r="Q68">
        <f t="shared" si="13"/>
        <v>1</v>
      </c>
    </row>
    <row r="69" spans="1:17">
      <c r="A69" s="1" t="s">
        <v>187</v>
      </c>
      <c r="B69" s="8" t="s">
        <v>227</v>
      </c>
      <c r="C69" s="1">
        <v>2</v>
      </c>
      <c r="D69" s="1">
        <v>0</v>
      </c>
      <c r="E69" s="24">
        <v>2.7897622214292667E-3</v>
      </c>
      <c r="F69" s="24">
        <f t="shared" si="7"/>
        <v>7.7827732521139566E-6</v>
      </c>
      <c r="G69" s="24">
        <v>2.0682771972439003E-3</v>
      </c>
      <c r="H69" s="26">
        <v>8.9636667827832501E-7</v>
      </c>
      <c r="I69" s="22">
        <v>0.91379999999999995</v>
      </c>
      <c r="J69" s="24">
        <v>3.617078477078477</v>
      </c>
      <c r="L69">
        <f t="shared" si="8"/>
        <v>0</v>
      </c>
      <c r="M69" s="37">
        <f t="shared" si="9"/>
        <v>1</v>
      </c>
      <c r="N69" s="37">
        <f t="shared" si="10"/>
        <v>1</v>
      </c>
      <c r="O69" s="37">
        <f t="shared" si="11"/>
        <v>1</v>
      </c>
      <c r="P69" s="37">
        <f t="shared" si="12"/>
        <v>1</v>
      </c>
      <c r="Q69">
        <f t="shared" si="13"/>
        <v>0</v>
      </c>
    </row>
    <row r="70" spans="1:17">
      <c r="A70" s="1" t="s">
        <v>216</v>
      </c>
      <c r="B70" s="8" t="s">
        <v>227</v>
      </c>
      <c r="C70" s="1">
        <v>2</v>
      </c>
      <c r="D70" s="1">
        <v>0</v>
      </c>
      <c r="E70" s="24">
        <v>3.7499999999999997E-5</v>
      </c>
      <c r="F70" s="24">
        <f t="shared" si="7"/>
        <v>1.4062499999999998E-9</v>
      </c>
      <c r="G70" s="24">
        <v>3.2993496651874949E-6</v>
      </c>
      <c r="H70" s="23">
        <v>1.4939444637972084E-7</v>
      </c>
      <c r="I70" s="22">
        <v>0.35180299032541779</v>
      </c>
      <c r="J70" s="23">
        <v>0.85693931398416878</v>
      </c>
      <c r="L70">
        <f t="shared" si="8"/>
        <v>0</v>
      </c>
      <c r="M70" s="37">
        <f t="shared" si="9"/>
        <v>0</v>
      </c>
      <c r="N70" s="37">
        <f t="shared" si="10"/>
        <v>0</v>
      </c>
      <c r="O70" s="37">
        <f t="shared" si="11"/>
        <v>1</v>
      </c>
      <c r="P70" s="37">
        <f t="shared" si="12"/>
        <v>0</v>
      </c>
      <c r="Q70">
        <f t="shared" si="13"/>
        <v>0</v>
      </c>
    </row>
    <row r="71" spans="1:17">
      <c r="A71" s="1" t="s">
        <v>211</v>
      </c>
      <c r="B71" s="8" t="s">
        <v>227</v>
      </c>
      <c r="C71" s="1">
        <v>2</v>
      </c>
      <c r="D71" s="1">
        <v>0</v>
      </c>
      <c r="E71" s="24">
        <v>6.0000000000000002E-6</v>
      </c>
      <c r="F71" s="24">
        <f t="shared" si="7"/>
        <v>3.6000000000000005E-11</v>
      </c>
      <c r="G71" s="24">
        <v>5.6121394317334683E-6</v>
      </c>
      <c r="H71" s="26">
        <v>2.9878889275944164E-8</v>
      </c>
      <c r="I71" s="22">
        <v>0.1275658123622869</v>
      </c>
      <c r="J71" s="24">
        <v>0.11299315783370056</v>
      </c>
      <c r="L71">
        <f t="shared" si="8"/>
        <v>0</v>
      </c>
      <c r="M71" s="37">
        <f t="shared" si="9"/>
        <v>0</v>
      </c>
      <c r="N71" s="37">
        <f t="shared" si="10"/>
        <v>0</v>
      </c>
      <c r="O71" s="37">
        <f t="shared" si="11"/>
        <v>0</v>
      </c>
      <c r="P71" s="37">
        <f t="shared" si="12"/>
        <v>0</v>
      </c>
      <c r="Q71">
        <f t="shared" si="13"/>
        <v>0</v>
      </c>
    </row>
    <row r="72" spans="1:17">
      <c r="A72" s="1" t="s">
        <v>216</v>
      </c>
      <c r="B72" s="8" t="s">
        <v>228</v>
      </c>
      <c r="C72" s="1">
        <v>2</v>
      </c>
      <c r="D72" s="1">
        <v>0</v>
      </c>
      <c r="E72" s="24">
        <v>5.0000000000000002E-5</v>
      </c>
      <c r="F72" s="24">
        <f t="shared" si="7"/>
        <v>2.5000000000000001E-9</v>
      </c>
      <c r="G72" s="24">
        <v>4.3991328869166599E-6</v>
      </c>
      <c r="H72" s="26">
        <v>2.1106691468680753E-7</v>
      </c>
      <c r="I72" s="22">
        <v>0.15831134564643801</v>
      </c>
      <c r="J72" s="24">
        <v>1.140193491644679</v>
      </c>
      <c r="L72">
        <f t="shared" si="8"/>
        <v>0</v>
      </c>
      <c r="M72" s="37">
        <f t="shared" si="9"/>
        <v>0</v>
      </c>
      <c r="N72" s="37">
        <f t="shared" si="10"/>
        <v>1</v>
      </c>
      <c r="O72" s="37">
        <f t="shared" si="11"/>
        <v>0</v>
      </c>
      <c r="P72" s="37">
        <f t="shared" si="12"/>
        <v>0</v>
      </c>
      <c r="Q72">
        <f t="shared" si="13"/>
        <v>0</v>
      </c>
    </row>
    <row r="73" spans="1:17">
      <c r="A73" s="1" t="s">
        <v>211</v>
      </c>
      <c r="B73" s="8" t="s">
        <v>228</v>
      </c>
      <c r="C73" s="1">
        <v>2</v>
      </c>
      <c r="D73" s="1">
        <v>0</v>
      </c>
      <c r="E73" s="24">
        <v>1.5E-5</v>
      </c>
      <c r="F73" s="24">
        <f t="shared" si="7"/>
        <v>2.25E-10</v>
      </c>
      <c r="G73" s="24">
        <v>1.4030348579333671E-5</v>
      </c>
      <c r="H73" s="26">
        <v>5.2766728671701883E-8</v>
      </c>
      <c r="I73" s="22">
        <v>0.15075959642815726</v>
      </c>
      <c r="J73" s="24">
        <v>0.28189145309057173</v>
      </c>
      <c r="L73">
        <f t="shared" si="8"/>
        <v>0</v>
      </c>
      <c r="M73" s="37">
        <f t="shared" si="9"/>
        <v>0</v>
      </c>
      <c r="N73" s="37">
        <f t="shared" si="10"/>
        <v>0</v>
      </c>
      <c r="O73" s="37">
        <f t="shared" si="11"/>
        <v>0</v>
      </c>
      <c r="P73" s="37">
        <f t="shared" si="12"/>
        <v>0</v>
      </c>
      <c r="Q73">
        <f t="shared" si="13"/>
        <v>0</v>
      </c>
    </row>
    <row r="74" spans="1:17">
      <c r="A74" s="1" t="s">
        <v>217</v>
      </c>
      <c r="B74" s="8" t="s">
        <v>233</v>
      </c>
      <c r="C74" s="1">
        <v>2</v>
      </c>
      <c r="D74" s="1">
        <v>0</v>
      </c>
      <c r="E74" s="24">
        <v>2.976190476190476E-3</v>
      </c>
      <c r="F74" s="24">
        <f t="shared" si="7"/>
        <v>8.857709750566892E-6</v>
      </c>
      <c r="G74" s="24">
        <v>2.976190476190476E-3</v>
      </c>
      <c r="H74" s="26">
        <v>5.5644758920739022E-9</v>
      </c>
      <c r="I74" s="22">
        <v>2.3169601482854494E-2</v>
      </c>
      <c r="J74" s="27">
        <v>1.7207290701266604E-2</v>
      </c>
      <c r="L74">
        <f t="shared" si="8"/>
        <v>0</v>
      </c>
      <c r="M74" s="37">
        <f t="shared" si="9"/>
        <v>1</v>
      </c>
      <c r="N74" s="37">
        <f t="shared" si="10"/>
        <v>0</v>
      </c>
      <c r="O74" s="37">
        <f t="shared" si="11"/>
        <v>0</v>
      </c>
      <c r="P74" s="37">
        <f t="shared" si="12"/>
        <v>0</v>
      </c>
      <c r="Q74">
        <f t="shared" si="13"/>
        <v>0</v>
      </c>
    </row>
    <row r="75" spans="1:17">
      <c r="A75" s="1" t="s">
        <v>216</v>
      </c>
      <c r="B75" s="8" t="s">
        <v>233</v>
      </c>
      <c r="C75" s="1">
        <v>2</v>
      </c>
      <c r="D75" s="1">
        <v>0</v>
      </c>
      <c r="E75" s="24">
        <v>1.2500000000000001E-6</v>
      </c>
      <c r="F75" s="24">
        <f t="shared" si="7"/>
        <v>1.5625000000000003E-12</v>
      </c>
      <c r="G75" s="24">
        <v>1.0997832217291649E-7</v>
      </c>
      <c r="H75" s="23">
        <v>5.5644758920739022E-9</v>
      </c>
      <c r="I75" s="22">
        <v>3.518029903254178E-2</v>
      </c>
      <c r="J75" s="23">
        <v>2.9393139841688655E-2</v>
      </c>
      <c r="L75">
        <f t="shared" si="8"/>
        <v>0</v>
      </c>
      <c r="M75" s="37">
        <f t="shared" si="9"/>
        <v>0</v>
      </c>
      <c r="N75" s="37">
        <f t="shared" si="10"/>
        <v>0</v>
      </c>
      <c r="O75" s="37">
        <f t="shared" si="11"/>
        <v>0</v>
      </c>
      <c r="P75" s="37">
        <f t="shared" si="12"/>
        <v>0</v>
      </c>
      <c r="Q75">
        <f t="shared" si="13"/>
        <v>0</v>
      </c>
    </row>
    <row r="76" spans="1:17">
      <c r="A76" s="1" t="s">
        <v>217</v>
      </c>
      <c r="B76" s="8" t="s">
        <v>230</v>
      </c>
      <c r="C76" s="1">
        <v>2</v>
      </c>
      <c r="D76" s="1">
        <v>0</v>
      </c>
      <c r="E76" s="24">
        <v>2.3809523809523808E-2</v>
      </c>
      <c r="F76" s="24">
        <f t="shared" si="7"/>
        <v>5.6689342403628109E-4</v>
      </c>
      <c r="G76" s="24">
        <v>2.3809523809523808E-2</v>
      </c>
      <c r="H76" s="26">
        <v>4.1062042589270942E-8</v>
      </c>
      <c r="I76" s="22">
        <v>0.12944084028421377</v>
      </c>
      <c r="J76" s="24">
        <v>0.13447842652661932</v>
      </c>
      <c r="L76">
        <f t="shared" si="8"/>
        <v>0</v>
      </c>
      <c r="M76" s="37">
        <f t="shared" si="9"/>
        <v>1</v>
      </c>
      <c r="N76" s="37">
        <f t="shared" si="10"/>
        <v>0</v>
      </c>
      <c r="O76" s="37">
        <f t="shared" si="11"/>
        <v>0</v>
      </c>
      <c r="P76" s="37">
        <f t="shared" si="12"/>
        <v>0</v>
      </c>
      <c r="Q76">
        <f t="shared" si="13"/>
        <v>1</v>
      </c>
    </row>
    <row r="77" spans="1:17">
      <c r="A77" s="1" t="s">
        <v>219</v>
      </c>
      <c r="B77" s="8" t="s">
        <v>230</v>
      </c>
      <c r="C77" s="1">
        <v>2</v>
      </c>
      <c r="D77" s="1">
        <v>0</v>
      </c>
      <c r="E77" s="24">
        <v>2.9153668989242296E-5</v>
      </c>
      <c r="F77" s="24">
        <f t="shared" si="7"/>
        <v>8.4993641553430793E-10</v>
      </c>
      <c r="G77" s="24">
        <v>2.8094622689217283E-5</v>
      </c>
      <c r="H77" s="26">
        <v>5.1327553236588678E-9</v>
      </c>
      <c r="I77" s="22">
        <v>2.9237023139462165E-2</v>
      </c>
      <c r="J77" s="27">
        <v>2.5522201375859914E-2</v>
      </c>
      <c r="L77">
        <f t="shared" si="8"/>
        <v>0</v>
      </c>
      <c r="M77" s="37">
        <f t="shared" si="9"/>
        <v>0</v>
      </c>
      <c r="N77" s="37">
        <f t="shared" si="10"/>
        <v>0</v>
      </c>
      <c r="O77" s="37">
        <f t="shared" si="11"/>
        <v>0</v>
      </c>
      <c r="P77" s="37">
        <f t="shared" si="12"/>
        <v>0</v>
      </c>
      <c r="Q77">
        <f t="shared" si="13"/>
        <v>0</v>
      </c>
    </row>
    <row r="78" spans="1:17">
      <c r="A78" s="1" t="s">
        <v>216</v>
      </c>
      <c r="B78" s="8" t="s">
        <v>230</v>
      </c>
      <c r="C78" s="1">
        <v>2</v>
      </c>
      <c r="D78" s="1">
        <v>0</v>
      </c>
      <c r="E78" s="24">
        <v>2.5000000000000002E-6</v>
      </c>
      <c r="F78" s="24">
        <f t="shared" si="7"/>
        <v>6.250000000000001E-12</v>
      </c>
      <c r="G78" s="24">
        <v>2.1995664434583299E-7</v>
      </c>
      <c r="H78" s="23">
        <v>1.0265510647317736E-8</v>
      </c>
      <c r="I78" s="22">
        <v>5.7167985927880388E-2</v>
      </c>
      <c r="J78" s="23">
        <v>5.7428320140721197E-2</v>
      </c>
      <c r="L78">
        <f t="shared" si="8"/>
        <v>0</v>
      </c>
      <c r="M78" s="37">
        <f t="shared" si="9"/>
        <v>0</v>
      </c>
      <c r="N78" s="37">
        <f t="shared" si="10"/>
        <v>0</v>
      </c>
      <c r="O78" s="37">
        <f t="shared" si="11"/>
        <v>0</v>
      </c>
      <c r="P78" s="37">
        <f t="shared" si="12"/>
        <v>0</v>
      </c>
      <c r="Q78">
        <f t="shared" si="13"/>
        <v>0</v>
      </c>
    </row>
    <row r="79" spans="1:17">
      <c r="A79" s="1" t="s">
        <v>217</v>
      </c>
      <c r="B79" s="8" t="s">
        <v>223</v>
      </c>
      <c r="C79" s="1">
        <v>2</v>
      </c>
      <c r="D79" s="1">
        <v>0</v>
      </c>
      <c r="E79" s="24">
        <v>8.9285714285714281E-3</v>
      </c>
      <c r="F79" s="24">
        <f t="shared" si="7"/>
        <v>7.9719387755102034E-5</v>
      </c>
      <c r="G79" s="24">
        <v>8.9285714285714281E-3</v>
      </c>
      <c r="H79" s="26">
        <v>1.6150030610532347E-8</v>
      </c>
      <c r="I79" s="22">
        <v>4.9016579137061062E-2</v>
      </c>
      <c r="J79" s="27">
        <v>4.9261662032746373E-2</v>
      </c>
      <c r="L79">
        <f t="shared" si="8"/>
        <v>0</v>
      </c>
      <c r="M79" s="37">
        <f t="shared" si="9"/>
        <v>1</v>
      </c>
      <c r="N79" s="37">
        <f t="shared" si="10"/>
        <v>0</v>
      </c>
      <c r="O79" s="37">
        <f t="shared" si="11"/>
        <v>0</v>
      </c>
      <c r="P79" s="37">
        <f t="shared" si="12"/>
        <v>0</v>
      </c>
      <c r="Q79">
        <f t="shared" si="13"/>
        <v>1</v>
      </c>
    </row>
    <row r="80" spans="1:17">
      <c r="A80" s="1" t="s">
        <v>187</v>
      </c>
      <c r="B80" s="8" t="s">
        <v>223</v>
      </c>
      <c r="C80" s="1">
        <v>2</v>
      </c>
      <c r="D80" s="1">
        <v>0</v>
      </c>
      <c r="E80" s="24">
        <v>7.1366010315632405E-4</v>
      </c>
      <c r="F80" s="24">
        <f t="shared" si="7"/>
        <v>5.0931074283709507E-7</v>
      </c>
      <c r="G80" s="24">
        <v>5.2909416673681178E-4</v>
      </c>
      <c r="H80" s="26">
        <v>2.1533374147376467E-7</v>
      </c>
      <c r="I80" s="22">
        <v>0.30170000000000002</v>
      </c>
      <c r="J80" s="24">
        <v>0.90860398860398872</v>
      </c>
      <c r="L80">
        <f t="shared" si="8"/>
        <v>0</v>
      </c>
      <c r="M80" s="37">
        <f t="shared" si="9"/>
        <v>0</v>
      </c>
      <c r="N80" s="37">
        <f t="shared" si="10"/>
        <v>1</v>
      </c>
      <c r="O80" s="37">
        <f t="shared" si="11"/>
        <v>1</v>
      </c>
      <c r="P80" s="37">
        <f t="shared" si="12"/>
        <v>0</v>
      </c>
      <c r="Q80">
        <f t="shared" si="13"/>
        <v>0</v>
      </c>
    </row>
    <row r="81" spans="1:17">
      <c r="A81" s="1" t="s">
        <v>216</v>
      </c>
      <c r="B81" s="8" t="s">
        <v>223</v>
      </c>
      <c r="C81" s="1">
        <v>2</v>
      </c>
      <c r="D81" s="1">
        <v>0</v>
      </c>
      <c r="E81" s="24">
        <v>4.2500000000000003E-5</v>
      </c>
      <c r="F81" s="24">
        <f t="shared" si="7"/>
        <v>1.8062500000000003E-9</v>
      </c>
      <c r="G81" s="24">
        <v>3.739262953879161E-6</v>
      </c>
      <c r="H81" s="26">
        <v>1.615003061053235E-7</v>
      </c>
      <c r="I81" s="22">
        <v>0.17590149516270889</v>
      </c>
      <c r="J81" s="24">
        <v>0.95367458223394908</v>
      </c>
      <c r="L81">
        <f t="shared" si="8"/>
        <v>0</v>
      </c>
      <c r="M81" s="37">
        <f t="shared" si="9"/>
        <v>0</v>
      </c>
      <c r="N81" s="37">
        <f t="shared" si="10"/>
        <v>0</v>
      </c>
      <c r="O81" s="37">
        <f t="shared" si="11"/>
        <v>0</v>
      </c>
      <c r="P81" s="37">
        <f t="shared" si="12"/>
        <v>0</v>
      </c>
      <c r="Q81">
        <f t="shared" si="13"/>
        <v>0</v>
      </c>
    </row>
    <row r="82" spans="1:17">
      <c r="A82" s="1" t="s">
        <v>217</v>
      </c>
      <c r="B82" s="8" t="s">
        <v>235</v>
      </c>
      <c r="C82" s="1">
        <v>2</v>
      </c>
      <c r="D82" s="1">
        <v>0</v>
      </c>
      <c r="E82" s="24">
        <v>0.14583333333333334</v>
      </c>
      <c r="F82" s="24">
        <f t="shared" si="7"/>
        <v>2.1267361111111115E-2</v>
      </c>
      <c r="G82" s="24">
        <v>0.14583333333333334</v>
      </c>
      <c r="H82" s="26">
        <v>2.5743099334784467E-7</v>
      </c>
      <c r="I82" s="22">
        <v>0.41190402636185769</v>
      </c>
      <c r="J82" s="24">
        <v>0.82549685923179894</v>
      </c>
      <c r="L82">
        <f t="shared" si="8"/>
        <v>0</v>
      </c>
      <c r="M82" s="37">
        <f t="shared" si="9"/>
        <v>1</v>
      </c>
      <c r="N82" s="37">
        <f t="shared" si="10"/>
        <v>1</v>
      </c>
      <c r="O82" s="37">
        <f t="shared" si="11"/>
        <v>1</v>
      </c>
      <c r="P82" s="37">
        <f t="shared" si="12"/>
        <v>0</v>
      </c>
      <c r="Q82">
        <f t="shared" si="13"/>
        <v>1</v>
      </c>
    </row>
    <row r="83" spans="1:17">
      <c r="A83" s="1" t="s">
        <v>211</v>
      </c>
      <c r="B83" s="8" t="s">
        <v>235</v>
      </c>
      <c r="C83" s="1">
        <v>2</v>
      </c>
      <c r="D83" s="1">
        <v>0</v>
      </c>
      <c r="E83" s="24">
        <v>9.0000000000000002E-6</v>
      </c>
      <c r="F83" s="24">
        <f t="shared" si="7"/>
        <v>8.1000000000000005E-11</v>
      </c>
      <c r="G83" s="24">
        <v>8.418209147600202E-6</v>
      </c>
      <c r="H83" s="23">
        <v>4.6337578802612036E-7</v>
      </c>
      <c r="I83" s="22">
        <v>6.3782906181143448E-2</v>
      </c>
      <c r="J83" s="23">
        <v>0.17075263829293746</v>
      </c>
      <c r="L83">
        <f t="shared" si="8"/>
        <v>0</v>
      </c>
      <c r="M83" s="37">
        <f t="shared" si="9"/>
        <v>0</v>
      </c>
      <c r="N83" s="37">
        <f t="shared" si="10"/>
        <v>1</v>
      </c>
      <c r="O83" s="37">
        <f t="shared" si="11"/>
        <v>0</v>
      </c>
      <c r="P83" s="37">
        <f t="shared" si="12"/>
        <v>0</v>
      </c>
      <c r="Q83">
        <f t="shared" si="13"/>
        <v>0</v>
      </c>
    </row>
    <row r="84" spans="1:17">
      <c r="A84" s="1" t="s">
        <v>217</v>
      </c>
      <c r="B84" s="8" t="s">
        <v>221</v>
      </c>
      <c r="C84" s="1">
        <v>2</v>
      </c>
      <c r="D84" s="1">
        <v>0</v>
      </c>
      <c r="E84" s="24">
        <v>5.9523809523809521E-3</v>
      </c>
      <c r="F84" s="24">
        <f t="shared" si="7"/>
        <v>3.5430839002267568E-5</v>
      </c>
      <c r="G84" s="24">
        <v>5.9523809523809521E-3</v>
      </c>
      <c r="H84" s="23">
        <v>1.0367284086890865E-8</v>
      </c>
      <c r="I84" s="22">
        <v>3.4805890227576977E-2</v>
      </c>
      <c r="J84" s="23">
        <v>3.273607249510864E-2</v>
      </c>
      <c r="L84">
        <f t="shared" si="8"/>
        <v>0</v>
      </c>
      <c r="M84" s="37">
        <f t="shared" si="9"/>
        <v>1</v>
      </c>
      <c r="N84" s="37">
        <f t="shared" si="10"/>
        <v>0</v>
      </c>
      <c r="O84" s="37">
        <f t="shared" si="11"/>
        <v>0</v>
      </c>
      <c r="P84" s="37">
        <f t="shared" si="12"/>
        <v>0</v>
      </c>
      <c r="Q84">
        <f t="shared" si="13"/>
        <v>1</v>
      </c>
    </row>
    <row r="85" spans="1:17">
      <c r="A85" s="1" t="s">
        <v>187</v>
      </c>
      <c r="B85" s="8" t="s">
        <v>221</v>
      </c>
      <c r="C85" s="1">
        <v>2</v>
      </c>
      <c r="D85" s="1">
        <v>0</v>
      </c>
      <c r="E85" s="24">
        <v>7.4609919875433868E-4</v>
      </c>
      <c r="F85" s="24">
        <f t="shared" si="7"/>
        <v>5.5666401438186618E-7</v>
      </c>
      <c r="G85" s="24">
        <v>5.5314390158848494E-4</v>
      </c>
      <c r="H85" s="26">
        <v>2.073456817378173E-7</v>
      </c>
      <c r="I85" s="22">
        <v>0.29599999999999999</v>
      </c>
      <c r="J85" s="24">
        <v>0.9468660968660968</v>
      </c>
      <c r="L85">
        <f t="shared" si="8"/>
        <v>0</v>
      </c>
      <c r="M85" s="37">
        <f t="shared" si="9"/>
        <v>0</v>
      </c>
      <c r="N85" s="37">
        <f t="shared" si="10"/>
        <v>1</v>
      </c>
      <c r="O85" s="37">
        <f t="shared" si="11"/>
        <v>0</v>
      </c>
      <c r="P85" s="37">
        <f t="shared" si="12"/>
        <v>0</v>
      </c>
      <c r="Q85">
        <f t="shared" si="13"/>
        <v>0</v>
      </c>
    </row>
    <row r="86" spans="1:17">
      <c r="A86" s="1" t="s">
        <v>216</v>
      </c>
      <c r="B86" s="8" t="s">
        <v>221</v>
      </c>
      <c r="C86" s="1">
        <v>2</v>
      </c>
      <c r="D86" s="1">
        <v>0</v>
      </c>
      <c r="E86" s="24">
        <v>1.1250000000000001E-5</v>
      </c>
      <c r="F86" s="24">
        <f t="shared" si="7"/>
        <v>1.2656250000000002E-10</v>
      </c>
      <c r="G86" s="24">
        <v>9.8980489955624857E-7</v>
      </c>
      <c r="H86" s="23">
        <v>4.6652778391008894E-8</v>
      </c>
      <c r="I86" s="22">
        <v>0.11785400175901495</v>
      </c>
      <c r="J86" s="23">
        <v>0.25163588390501318</v>
      </c>
      <c r="L86">
        <f t="shared" si="8"/>
        <v>0</v>
      </c>
      <c r="M86" s="37">
        <f t="shared" si="9"/>
        <v>0</v>
      </c>
      <c r="N86" s="37">
        <f t="shared" si="10"/>
        <v>0</v>
      </c>
      <c r="O86" s="37">
        <f t="shared" si="11"/>
        <v>0</v>
      </c>
      <c r="P86" s="37">
        <f t="shared" si="12"/>
        <v>0</v>
      </c>
      <c r="Q86">
        <f t="shared" si="13"/>
        <v>0</v>
      </c>
    </row>
    <row r="87" spans="1:17">
      <c r="A87" s="1" t="s">
        <v>211</v>
      </c>
      <c r="B87" s="8" t="s">
        <v>221</v>
      </c>
      <c r="C87" s="1">
        <v>2</v>
      </c>
      <c r="D87" s="1">
        <v>0</v>
      </c>
      <c r="E87" s="24">
        <v>9.9999999999999995E-7</v>
      </c>
      <c r="F87" s="24">
        <f t="shared" si="7"/>
        <v>9.9999999999999998E-13</v>
      </c>
      <c r="G87" s="24">
        <v>9.3535657195557808E-7</v>
      </c>
      <c r="H87" s="26">
        <v>5.1836420434454326E-8</v>
      </c>
      <c r="I87" s="22">
        <v>2.5513162472457381E-2</v>
      </c>
      <c r="J87" s="27">
        <v>1.8433259886350455E-2</v>
      </c>
      <c r="L87">
        <f t="shared" si="8"/>
        <v>0</v>
      </c>
      <c r="M87" s="37">
        <f t="shared" si="9"/>
        <v>0</v>
      </c>
      <c r="N87" s="37">
        <f t="shared" si="10"/>
        <v>0</v>
      </c>
      <c r="O87" s="37">
        <f t="shared" si="11"/>
        <v>0</v>
      </c>
      <c r="P87" s="37">
        <f t="shared" si="12"/>
        <v>0</v>
      </c>
      <c r="Q87">
        <f t="shared" si="13"/>
        <v>0</v>
      </c>
    </row>
    <row r="88" spans="1:17">
      <c r="A88" s="1" t="s">
        <v>187</v>
      </c>
      <c r="B88" s="8" t="s">
        <v>222</v>
      </c>
      <c r="C88" s="1">
        <v>2</v>
      </c>
      <c r="D88" s="1">
        <v>0</v>
      </c>
      <c r="E88" s="24">
        <v>7.4609919875433868E-4</v>
      </c>
      <c r="F88" s="24">
        <f t="shared" si="7"/>
        <v>5.5666401438186618E-7</v>
      </c>
      <c r="G88" s="24">
        <v>5.5314390158848494E-4</v>
      </c>
      <c r="H88" s="26">
        <v>2.0964348071782616E-7</v>
      </c>
      <c r="I88" s="22">
        <v>0.3861</v>
      </c>
      <c r="J88" s="24">
        <v>0.95764827764827753</v>
      </c>
      <c r="L88">
        <f t="shared" si="8"/>
        <v>0</v>
      </c>
      <c r="M88" s="37">
        <f t="shared" si="9"/>
        <v>0</v>
      </c>
      <c r="N88" s="37">
        <f t="shared" si="10"/>
        <v>1</v>
      </c>
      <c r="O88" s="37">
        <f t="shared" si="11"/>
        <v>1</v>
      </c>
      <c r="P88" s="37">
        <f t="shared" si="12"/>
        <v>0</v>
      </c>
      <c r="Q88">
        <f t="shared" si="13"/>
        <v>0</v>
      </c>
    </row>
    <row r="89" spans="1:17">
      <c r="A89" s="1" t="s">
        <v>216</v>
      </c>
      <c r="B89" s="8" t="s">
        <v>222</v>
      </c>
      <c r="C89" s="1">
        <v>2</v>
      </c>
      <c r="D89" s="1">
        <v>0</v>
      </c>
      <c r="E89" s="24">
        <v>1.8875000000000001E-4</v>
      </c>
      <c r="F89" s="24">
        <f t="shared" si="7"/>
        <v>3.56265625E-8</v>
      </c>
      <c r="G89" s="24">
        <v>1.6606726648110389E-5</v>
      </c>
      <c r="H89" s="23">
        <v>7.8616305269184804E-7</v>
      </c>
      <c r="I89" s="22">
        <v>0.38698328935795956</v>
      </c>
      <c r="J89" s="23">
        <v>4.2699665787159189</v>
      </c>
      <c r="L89">
        <f t="shared" si="8"/>
        <v>0</v>
      </c>
      <c r="M89" s="37">
        <f t="shared" si="9"/>
        <v>0</v>
      </c>
      <c r="N89" s="37">
        <f t="shared" si="10"/>
        <v>1</v>
      </c>
      <c r="O89" s="37">
        <f t="shared" si="11"/>
        <v>1</v>
      </c>
      <c r="P89" s="37">
        <f t="shared" si="12"/>
        <v>1</v>
      </c>
      <c r="Q89">
        <f t="shared" si="13"/>
        <v>0</v>
      </c>
    </row>
    <row r="90" spans="1:17">
      <c r="A90" s="1" t="s">
        <v>216</v>
      </c>
      <c r="B90" s="8" t="s">
        <v>126</v>
      </c>
      <c r="C90" s="1">
        <v>2</v>
      </c>
      <c r="D90" s="1">
        <v>0</v>
      </c>
      <c r="E90" s="24">
        <v>3.2499999999999997E-5</v>
      </c>
      <c r="F90" s="24">
        <f t="shared" si="7"/>
        <v>1.0562499999999997E-9</v>
      </c>
      <c r="G90" s="24">
        <v>2.8594363764958289E-6</v>
      </c>
      <c r="H90" s="23">
        <v>1.0743091422680921E-7</v>
      </c>
      <c r="I90" s="22">
        <v>0.22867194371152155</v>
      </c>
      <c r="J90" s="23">
        <v>0.73582058047493393</v>
      </c>
      <c r="L90">
        <f t="shared" si="8"/>
        <v>0</v>
      </c>
      <c r="M90" s="37">
        <f t="shared" si="9"/>
        <v>0</v>
      </c>
      <c r="N90" s="37">
        <f t="shared" si="10"/>
        <v>0</v>
      </c>
      <c r="O90" s="37">
        <f t="shared" si="11"/>
        <v>0</v>
      </c>
      <c r="P90" s="37">
        <f t="shared" si="12"/>
        <v>0</v>
      </c>
      <c r="Q90">
        <f t="shared" si="13"/>
        <v>0</v>
      </c>
    </row>
    <row r="91" spans="1:17">
      <c r="A91" s="1" t="s">
        <v>217</v>
      </c>
      <c r="B91" s="8" t="s">
        <v>229</v>
      </c>
      <c r="C91" s="1">
        <v>2</v>
      </c>
      <c r="D91" s="1">
        <v>0</v>
      </c>
      <c r="E91" s="24">
        <v>4.1666666666666664E-2</v>
      </c>
      <c r="F91" s="24">
        <f t="shared" si="7"/>
        <v>1.736111111111111E-3</v>
      </c>
      <c r="G91" s="24">
        <v>4.1666666666666664E-2</v>
      </c>
      <c r="H91" s="23">
        <v>5.0790967819778703E-8</v>
      </c>
      <c r="I91" s="22">
        <v>0.1788693234476367</v>
      </c>
      <c r="J91" s="23">
        <v>0.23490474719390381</v>
      </c>
      <c r="L91">
        <f t="shared" si="8"/>
        <v>0</v>
      </c>
      <c r="M91" s="37">
        <f t="shared" si="9"/>
        <v>1</v>
      </c>
      <c r="N91" s="37">
        <f t="shared" si="10"/>
        <v>0</v>
      </c>
      <c r="O91" s="37">
        <f t="shared" si="11"/>
        <v>0</v>
      </c>
      <c r="P91" s="37">
        <f t="shared" si="12"/>
        <v>0</v>
      </c>
      <c r="Q91">
        <f t="shared" si="13"/>
        <v>1</v>
      </c>
    </row>
    <row r="92" spans="1:17">
      <c r="A92" s="1" t="s">
        <v>217</v>
      </c>
      <c r="B92" s="8" t="s">
        <v>224</v>
      </c>
      <c r="C92" s="1">
        <v>2</v>
      </c>
      <c r="D92" s="1">
        <v>0</v>
      </c>
      <c r="E92" s="24">
        <v>2.6785714285714284E-2</v>
      </c>
      <c r="F92" s="24">
        <f t="shared" si="7"/>
        <v>7.174744897959183E-4</v>
      </c>
      <c r="G92" s="24">
        <v>2.6785714285714284E-2</v>
      </c>
      <c r="H92" s="23">
        <v>4.4682960407968335E-8</v>
      </c>
      <c r="I92" s="22">
        <v>0.13386880856760375</v>
      </c>
      <c r="J92" s="23">
        <v>0.15036144578313254</v>
      </c>
      <c r="L92">
        <f t="shared" si="8"/>
        <v>0</v>
      </c>
      <c r="M92" s="37">
        <f t="shared" si="9"/>
        <v>1</v>
      </c>
      <c r="N92" s="37">
        <f t="shared" si="10"/>
        <v>0</v>
      </c>
      <c r="O92" s="37">
        <f t="shared" si="11"/>
        <v>0</v>
      </c>
      <c r="P92" s="37">
        <f t="shared" si="12"/>
        <v>0</v>
      </c>
      <c r="Q92">
        <f t="shared" si="13"/>
        <v>1</v>
      </c>
    </row>
    <row r="93" spans="1:17">
      <c r="A93" s="1" t="s">
        <v>187</v>
      </c>
      <c r="B93" s="8" t="s">
        <v>224</v>
      </c>
      <c r="C93" s="1">
        <v>2</v>
      </c>
      <c r="D93" s="1">
        <v>0</v>
      </c>
      <c r="E93" s="24">
        <v>1.6219547799007363E-5</v>
      </c>
      <c r="F93" s="24">
        <f t="shared" si="7"/>
        <v>2.6307373080428459E-10</v>
      </c>
      <c r="G93" s="24">
        <v>1.2024867425836629E-5</v>
      </c>
      <c r="H93" s="23">
        <v>5.5853700509960418E-9</v>
      </c>
      <c r="I93" s="22">
        <v>1.6299999999999999E-2</v>
      </c>
      <c r="J93" s="23">
        <v>2.101010101010101E-2</v>
      </c>
      <c r="L93">
        <f t="shared" si="8"/>
        <v>0</v>
      </c>
      <c r="M93" s="37">
        <f t="shared" si="9"/>
        <v>0</v>
      </c>
      <c r="N93" s="37">
        <f t="shared" si="10"/>
        <v>0</v>
      </c>
      <c r="O93" s="37">
        <f t="shared" si="11"/>
        <v>0</v>
      </c>
      <c r="P93" s="37">
        <f t="shared" si="12"/>
        <v>0</v>
      </c>
      <c r="Q93">
        <f t="shared" si="13"/>
        <v>0</v>
      </c>
    </row>
    <row r="94" spans="1:17">
      <c r="A94" s="1" t="s">
        <v>187</v>
      </c>
      <c r="B94" s="8" t="s">
        <v>220</v>
      </c>
      <c r="C94" s="1">
        <v>2</v>
      </c>
      <c r="D94" s="1">
        <v>0</v>
      </c>
      <c r="E94" s="24">
        <v>1.7679307100918027E-3</v>
      </c>
      <c r="F94" s="24">
        <f t="shared" si="7"/>
        <v>3.1255789956857057E-6</v>
      </c>
      <c r="G94" s="24">
        <v>1.3107105494161927E-3</v>
      </c>
      <c r="H94" s="23">
        <v>5.8845489225478393E-7</v>
      </c>
      <c r="I94" s="22">
        <v>0.3861</v>
      </c>
      <c r="J94" s="23">
        <v>2.3465630665630663</v>
      </c>
      <c r="L94">
        <f t="shared" si="8"/>
        <v>0</v>
      </c>
      <c r="M94" s="37">
        <f t="shared" si="9"/>
        <v>1</v>
      </c>
      <c r="N94" s="37">
        <f t="shared" si="10"/>
        <v>1</v>
      </c>
      <c r="O94" s="37">
        <f t="shared" si="11"/>
        <v>1</v>
      </c>
      <c r="P94" s="37">
        <f t="shared" si="12"/>
        <v>1</v>
      </c>
      <c r="Q94">
        <f t="shared" si="13"/>
        <v>0</v>
      </c>
    </row>
    <row r="95" spans="1:17">
      <c r="A95" s="1" t="s">
        <v>216</v>
      </c>
      <c r="B95" s="8" t="s">
        <v>220</v>
      </c>
      <c r="C95" s="1">
        <v>2</v>
      </c>
      <c r="D95" s="1">
        <v>0</v>
      </c>
      <c r="E95" s="24">
        <v>3.0249999999999998E-4</v>
      </c>
      <c r="F95" s="24">
        <f t="shared" si="7"/>
        <v>9.1506249999999993E-8</v>
      </c>
      <c r="G95" s="24">
        <v>2.6614753965845791E-5</v>
      </c>
      <c r="H95" s="23">
        <v>1.235755273735046E-6</v>
      </c>
      <c r="I95" s="22">
        <v>0.52770448548812665</v>
      </c>
      <c r="J95" s="23">
        <v>7.076531222515392</v>
      </c>
      <c r="L95">
        <f t="shared" si="8"/>
        <v>0</v>
      </c>
      <c r="M95" s="37">
        <f t="shared" si="9"/>
        <v>0</v>
      </c>
      <c r="N95" s="37">
        <f t="shared" si="10"/>
        <v>1</v>
      </c>
      <c r="O95" s="37">
        <f t="shared" si="11"/>
        <v>1</v>
      </c>
      <c r="P95" s="37">
        <f t="shared" si="12"/>
        <v>1</v>
      </c>
      <c r="Q95">
        <f t="shared" si="13"/>
        <v>0</v>
      </c>
    </row>
    <row r="96" spans="1:17">
      <c r="A96" s="1" t="s">
        <v>216</v>
      </c>
      <c r="B96" s="8" t="s">
        <v>231</v>
      </c>
      <c r="C96" s="1">
        <v>2</v>
      </c>
      <c r="D96" s="1">
        <v>0</v>
      </c>
      <c r="E96" s="24">
        <v>7.1249999999999997E-5</v>
      </c>
      <c r="F96" s="24">
        <f t="shared" si="7"/>
        <v>5.0765624999999992E-9</v>
      </c>
      <c r="G96" s="24">
        <v>6.2687643638562406E-6</v>
      </c>
      <c r="H96" s="26">
        <v>3.093404740429791E-7</v>
      </c>
      <c r="I96" s="22">
        <v>0.17590149516270889</v>
      </c>
      <c r="J96" s="24">
        <v>1.5998100263852242</v>
      </c>
      <c r="L96">
        <f t="shared" si="8"/>
        <v>0</v>
      </c>
      <c r="M96" s="37">
        <f t="shared" si="9"/>
        <v>0</v>
      </c>
      <c r="N96" s="37">
        <f t="shared" si="10"/>
        <v>1</v>
      </c>
      <c r="O96" s="37">
        <f t="shared" si="11"/>
        <v>0</v>
      </c>
      <c r="P96" s="37">
        <f t="shared" si="12"/>
        <v>1</v>
      </c>
      <c r="Q96">
        <f t="shared" si="13"/>
        <v>0</v>
      </c>
    </row>
    <row r="97" spans="1:17">
      <c r="A97" s="1" t="s">
        <v>187</v>
      </c>
      <c r="B97" s="8" t="s">
        <v>225</v>
      </c>
      <c r="C97" s="1">
        <v>2</v>
      </c>
      <c r="D97" s="1">
        <v>0</v>
      </c>
      <c r="E97" s="24">
        <v>4.2787167093781428E-2</v>
      </c>
      <c r="F97" s="24">
        <f t="shared" si="7"/>
        <v>1.8307416679111722E-3</v>
      </c>
      <c r="G97" s="24">
        <v>3.1721600269357032E-2</v>
      </c>
      <c r="H97" s="23">
        <v>1.3617121643131054E-5</v>
      </c>
      <c r="I97" s="22">
        <v>1</v>
      </c>
      <c r="J97" s="23">
        <v>55.274333074333079</v>
      </c>
      <c r="L97">
        <f t="shared" si="8"/>
        <v>0</v>
      </c>
      <c r="M97" s="37">
        <f t="shared" si="9"/>
        <v>1</v>
      </c>
      <c r="N97" s="37">
        <f t="shared" si="10"/>
        <v>1</v>
      </c>
      <c r="O97" s="37">
        <f t="shared" si="11"/>
        <v>1</v>
      </c>
      <c r="P97" s="37">
        <f t="shared" si="12"/>
        <v>1</v>
      </c>
      <c r="Q97">
        <f t="shared" si="13"/>
        <v>1</v>
      </c>
    </row>
    <row r="98" spans="1:17">
      <c r="A98" s="1" t="s">
        <v>216</v>
      </c>
      <c r="B98" s="8" t="s">
        <v>225</v>
      </c>
      <c r="C98" s="1">
        <v>2</v>
      </c>
      <c r="D98" s="1">
        <v>0</v>
      </c>
      <c r="E98" s="24">
        <v>8.3750000000000003E-5</v>
      </c>
      <c r="F98" s="24">
        <f t="shared" si="7"/>
        <v>7.0140625000000009E-9</v>
      </c>
      <c r="G98" s="24">
        <v>7.3685475855854056E-6</v>
      </c>
      <c r="H98" s="26">
        <v>3.6106004356786881E-7</v>
      </c>
      <c r="I98" s="22">
        <v>0.24626209322779244</v>
      </c>
      <c r="J98" s="24">
        <v>1.9068777484608619</v>
      </c>
      <c r="L98">
        <f t="shared" si="8"/>
        <v>0</v>
      </c>
      <c r="M98" s="37">
        <f t="shared" si="9"/>
        <v>0</v>
      </c>
      <c r="N98" s="37">
        <f t="shared" si="10"/>
        <v>1</v>
      </c>
      <c r="O98" s="37">
        <f t="shared" si="11"/>
        <v>0</v>
      </c>
      <c r="P98" s="37">
        <f t="shared" si="12"/>
        <v>1</v>
      </c>
      <c r="Q98">
        <f t="shared" si="13"/>
        <v>0</v>
      </c>
    </row>
    <row r="99" spans="1:17">
      <c r="A99" s="1" t="s">
        <v>187</v>
      </c>
      <c r="B99" s="8" t="s">
        <v>226</v>
      </c>
      <c r="C99" s="1">
        <v>2</v>
      </c>
      <c r="D99" s="1">
        <v>0</v>
      </c>
      <c r="E99" s="24">
        <v>3.2276900120024655E-3</v>
      </c>
      <c r="F99" s="24">
        <f t="shared" si="7"/>
        <v>1.0417982813580475E-5</v>
      </c>
      <c r="G99" s="24">
        <v>2.3929486177414892E-3</v>
      </c>
      <c r="H99" s="23">
        <v>1.001547204090663E-6</v>
      </c>
      <c r="I99" s="22">
        <v>0.77229999999999999</v>
      </c>
      <c r="J99" s="23">
        <v>4.179206164206164</v>
      </c>
      <c r="L99">
        <f t="shared" si="8"/>
        <v>0</v>
      </c>
      <c r="M99" s="37">
        <f t="shared" si="9"/>
        <v>1</v>
      </c>
      <c r="N99" s="37">
        <f t="shared" si="10"/>
        <v>1</v>
      </c>
      <c r="O99" s="37">
        <f t="shared" si="11"/>
        <v>1</v>
      </c>
      <c r="P99" s="37">
        <f t="shared" si="12"/>
        <v>1</v>
      </c>
      <c r="Q99">
        <f t="shared" si="13"/>
        <v>0</v>
      </c>
    </row>
    <row r="100" spans="1:17">
      <c r="A100" s="1" t="s">
        <v>216</v>
      </c>
      <c r="B100" s="8" t="s">
        <v>226</v>
      </c>
      <c r="C100" s="1">
        <v>2</v>
      </c>
      <c r="D100" s="1">
        <v>0</v>
      </c>
      <c r="E100" s="24">
        <v>6.3750000000000005E-5</v>
      </c>
      <c r="F100" s="24">
        <f t="shared" si="7"/>
        <v>4.0640625000000009E-9</v>
      </c>
      <c r="G100" s="24">
        <v>5.6088944308187413E-6</v>
      </c>
      <c r="H100" s="23">
        <v>2.7820755669185088E-7</v>
      </c>
      <c r="I100" s="22">
        <v>0.52770448548812665</v>
      </c>
      <c r="J100" s="23">
        <v>1.4548232189973616</v>
      </c>
      <c r="L100">
        <f t="shared" si="8"/>
        <v>0</v>
      </c>
      <c r="M100" s="37">
        <f t="shared" si="9"/>
        <v>0</v>
      </c>
      <c r="N100" s="37">
        <f t="shared" si="10"/>
        <v>1</v>
      </c>
      <c r="O100" s="37">
        <f t="shared" si="11"/>
        <v>1</v>
      </c>
      <c r="P100" s="37">
        <f t="shared" si="12"/>
        <v>0</v>
      </c>
      <c r="Q100">
        <f t="shared" si="13"/>
        <v>0</v>
      </c>
    </row>
    <row r="101" spans="1:17">
      <c r="A101" s="1" t="s">
        <v>211</v>
      </c>
      <c r="B101" s="8" t="s">
        <v>226</v>
      </c>
      <c r="C101" s="1">
        <v>2</v>
      </c>
      <c r="D101" s="1">
        <v>0</v>
      </c>
      <c r="E101" s="24">
        <v>3.6999999999999998E-5</v>
      </c>
      <c r="F101" s="24">
        <f t="shared" si="7"/>
        <v>1.3689999999999999E-9</v>
      </c>
      <c r="G101" s="24">
        <v>3.4608193162356388E-5</v>
      </c>
      <c r="H101" s="23">
        <v>1.6692453401511051E-7</v>
      </c>
      <c r="I101" s="22">
        <v>0.34790676098805517</v>
      </c>
      <c r="J101" s="23">
        <v>0.69584715296300592</v>
      </c>
      <c r="L101">
        <f t="shared" si="8"/>
        <v>0</v>
      </c>
      <c r="M101" s="37">
        <f t="shared" si="9"/>
        <v>0</v>
      </c>
      <c r="N101" s="37">
        <f t="shared" si="10"/>
        <v>0</v>
      </c>
      <c r="O101" s="37">
        <f t="shared" si="11"/>
        <v>1</v>
      </c>
      <c r="P101" s="37">
        <f t="shared" si="12"/>
        <v>0</v>
      </c>
      <c r="Q101">
        <f t="shared" si="13"/>
        <v>0</v>
      </c>
    </row>
    <row r="102" spans="1:17">
      <c r="A102" s="1" t="s">
        <v>218</v>
      </c>
      <c r="B102" s="8" t="s">
        <v>232</v>
      </c>
      <c r="C102" s="1">
        <v>2</v>
      </c>
      <c r="D102" s="1">
        <v>0</v>
      </c>
      <c r="E102" s="24">
        <v>8.9802882672533783E-5</v>
      </c>
      <c r="F102" s="24">
        <f t="shared" si="7"/>
        <v>8.0645577362968683E-9</v>
      </c>
      <c r="G102" s="24">
        <v>8.7081464710236426E-5</v>
      </c>
      <c r="H102" s="26">
        <v>1.1107645988989103E-8</v>
      </c>
      <c r="I102" s="22">
        <v>4.2709466811751903E-2</v>
      </c>
      <c r="J102" s="27">
        <v>4.4028835690968444E-2</v>
      </c>
      <c r="L102">
        <f t="shared" si="8"/>
        <v>0</v>
      </c>
      <c r="M102" s="37">
        <f t="shared" si="9"/>
        <v>0</v>
      </c>
      <c r="N102" s="37">
        <f t="shared" si="10"/>
        <v>0</v>
      </c>
      <c r="O102" s="37">
        <f t="shared" si="11"/>
        <v>0</v>
      </c>
      <c r="P102" s="37">
        <f t="shared" si="12"/>
        <v>0</v>
      </c>
      <c r="Q102">
        <f t="shared" si="13"/>
        <v>0</v>
      </c>
    </row>
    <row r="103" spans="1:17">
      <c r="A103" s="1" t="s">
        <v>217</v>
      </c>
      <c r="B103" s="8" t="s">
        <v>232</v>
      </c>
      <c r="C103" s="1">
        <v>2</v>
      </c>
      <c r="D103" s="1">
        <v>0</v>
      </c>
      <c r="E103" s="24">
        <v>5.9523809523809521E-3</v>
      </c>
      <c r="F103" s="24">
        <f t="shared" si="7"/>
        <v>3.5430839002267568E-5</v>
      </c>
      <c r="G103" s="24">
        <v>5.9523809523809521E-3</v>
      </c>
      <c r="H103" s="23">
        <v>1.1107645988989103E-8</v>
      </c>
      <c r="I103" s="22">
        <v>3.1098753990320256E-2</v>
      </c>
      <c r="J103" s="23">
        <v>3.3333333333333333E-2</v>
      </c>
      <c r="L103">
        <f t="shared" si="8"/>
        <v>0</v>
      </c>
      <c r="M103" s="37">
        <f t="shared" si="9"/>
        <v>1</v>
      </c>
      <c r="N103" s="37">
        <f t="shared" si="10"/>
        <v>0</v>
      </c>
      <c r="O103" s="37">
        <f t="shared" si="11"/>
        <v>0</v>
      </c>
      <c r="P103" s="37">
        <f t="shared" si="12"/>
        <v>0</v>
      </c>
      <c r="Q103">
        <f t="shared" si="13"/>
        <v>1</v>
      </c>
    </row>
    <row r="104" spans="1:17">
      <c r="A104" s="1" t="s">
        <v>216</v>
      </c>
      <c r="B104" s="8" t="s">
        <v>232</v>
      </c>
      <c r="C104" s="1">
        <v>2</v>
      </c>
      <c r="D104" s="1">
        <v>0</v>
      </c>
      <c r="E104" s="24">
        <v>2.1250000000000002E-5</v>
      </c>
      <c r="F104" s="24">
        <f t="shared" si="7"/>
        <v>4.5156250000000006E-10</v>
      </c>
      <c r="G104" s="24">
        <v>1.8696314769395805E-6</v>
      </c>
      <c r="H104" s="26">
        <v>1.1107645988989102E-7</v>
      </c>
      <c r="I104" s="22">
        <v>8.7950747581354446E-2</v>
      </c>
      <c r="J104" s="24">
        <v>0.48398416886543533</v>
      </c>
      <c r="L104">
        <f t="shared" si="8"/>
        <v>0</v>
      </c>
      <c r="M104" s="37">
        <f t="shared" si="9"/>
        <v>0</v>
      </c>
      <c r="N104" s="37">
        <f t="shared" si="10"/>
        <v>0</v>
      </c>
      <c r="O104" s="37">
        <f t="shared" si="11"/>
        <v>0</v>
      </c>
      <c r="P104" s="37">
        <f t="shared" si="12"/>
        <v>0</v>
      </c>
      <c r="Q104">
        <f t="shared" si="13"/>
        <v>0</v>
      </c>
    </row>
    <row r="105" spans="1:17">
      <c r="A105" s="1" t="s">
        <v>218</v>
      </c>
      <c r="B105" s="8" t="s">
        <v>164</v>
      </c>
      <c r="C105" s="1">
        <v>2</v>
      </c>
      <c r="D105" s="1">
        <v>0</v>
      </c>
      <c r="E105" s="24">
        <v>8.9802882672533783E-5</v>
      </c>
      <c r="F105" s="24">
        <f t="shared" si="7"/>
        <v>8.0645577362968683E-9</v>
      </c>
      <c r="G105" s="24">
        <v>8.7081464710236426E-5</v>
      </c>
      <c r="H105" s="26">
        <v>1.0893516542072755E-8</v>
      </c>
      <c r="I105" s="22">
        <v>1.4961915125136017E-2</v>
      </c>
      <c r="J105" s="27">
        <v>4.2535364526659417E-2</v>
      </c>
      <c r="L105">
        <f t="shared" si="8"/>
        <v>0</v>
      </c>
      <c r="M105" s="37">
        <f t="shared" si="9"/>
        <v>0</v>
      </c>
      <c r="N105" s="37">
        <f t="shared" si="10"/>
        <v>0</v>
      </c>
      <c r="O105" s="37">
        <f t="shared" si="11"/>
        <v>0</v>
      </c>
      <c r="P105" s="37">
        <f t="shared" si="12"/>
        <v>0</v>
      </c>
      <c r="Q105">
        <f t="shared" si="13"/>
        <v>0</v>
      </c>
    </row>
    <row r="106" spans="1:17">
      <c r="A106" s="1" t="s">
        <v>187</v>
      </c>
      <c r="B106" s="8" t="s">
        <v>164</v>
      </c>
      <c r="C106" s="1">
        <v>2</v>
      </c>
      <c r="D106" s="1">
        <v>0</v>
      </c>
      <c r="E106" s="24">
        <v>3.2439095598014726E-5</v>
      </c>
      <c r="F106" s="24">
        <f t="shared" si="7"/>
        <v>1.0522949232171383E-9</v>
      </c>
      <c r="G106" s="24">
        <v>2.4049734851673259E-5</v>
      </c>
      <c r="H106" s="26">
        <v>1.0893516542072755E-8</v>
      </c>
      <c r="I106" s="22">
        <v>3.8600000000000002E-2</v>
      </c>
      <c r="J106" s="24">
        <v>4.0497280497280498E-2</v>
      </c>
      <c r="L106">
        <f t="shared" si="8"/>
        <v>0</v>
      </c>
      <c r="M106" s="37">
        <f t="shared" si="9"/>
        <v>0</v>
      </c>
      <c r="N106" s="37">
        <f t="shared" si="10"/>
        <v>0</v>
      </c>
      <c r="O106" s="37">
        <f t="shared" si="11"/>
        <v>0</v>
      </c>
      <c r="P106" s="37">
        <f t="shared" si="12"/>
        <v>0</v>
      </c>
      <c r="Q106">
        <f t="shared" si="13"/>
        <v>0</v>
      </c>
    </row>
    <row r="107" spans="1:17">
      <c r="A107" s="1" t="s">
        <v>211</v>
      </c>
      <c r="B107" s="8" t="s">
        <v>164</v>
      </c>
      <c r="C107" s="1">
        <v>2</v>
      </c>
      <c r="D107" s="1">
        <v>0</v>
      </c>
      <c r="E107" s="24">
        <v>9.9999999999999995E-7</v>
      </c>
      <c r="F107" s="24">
        <f t="shared" si="7"/>
        <v>9.9999999999999998E-13</v>
      </c>
      <c r="G107" s="24">
        <v>9.3535657195557808E-7</v>
      </c>
      <c r="H107" s="26">
        <v>5.4467582710363773E-9</v>
      </c>
      <c r="I107" s="22">
        <v>2.064246781862461E-2</v>
      </c>
      <c r="J107" s="24">
        <v>1.813290038269744E-2</v>
      </c>
      <c r="L107">
        <f t="shared" si="8"/>
        <v>0</v>
      </c>
      <c r="M107" s="37">
        <f t="shared" si="9"/>
        <v>0</v>
      </c>
      <c r="N107" s="37">
        <f t="shared" si="10"/>
        <v>0</v>
      </c>
      <c r="O107" s="37">
        <f t="shared" si="11"/>
        <v>0</v>
      </c>
      <c r="P107" s="37">
        <f t="shared" si="12"/>
        <v>0</v>
      </c>
      <c r="Q107">
        <f t="shared" si="13"/>
        <v>0</v>
      </c>
    </row>
    <row r="108" spans="1:17">
      <c r="A108" s="1" t="s">
        <v>187</v>
      </c>
      <c r="B108" s="8" t="s">
        <v>48</v>
      </c>
      <c r="C108" s="1">
        <v>2</v>
      </c>
      <c r="D108" s="1">
        <v>0</v>
      </c>
      <c r="E108" s="24">
        <v>8.8072144548609985E-3</v>
      </c>
      <c r="F108" s="24">
        <f t="shared" si="7"/>
        <v>7.7567026453912518E-5</v>
      </c>
      <c r="G108" s="24">
        <v>6.5295030122292904E-3</v>
      </c>
      <c r="H108" s="23">
        <v>2.8067817980123948E-6</v>
      </c>
      <c r="I108" s="22">
        <v>0.77229999999999999</v>
      </c>
      <c r="J108" s="23">
        <v>10.556223776223776</v>
      </c>
      <c r="L108">
        <f t="shared" si="8"/>
        <v>0</v>
      </c>
      <c r="M108" s="37">
        <f t="shared" si="9"/>
        <v>1</v>
      </c>
      <c r="N108" s="37">
        <f t="shared" si="10"/>
        <v>1</v>
      </c>
      <c r="O108" s="37">
        <f t="shared" si="11"/>
        <v>1</v>
      </c>
      <c r="P108" s="37">
        <f t="shared" si="12"/>
        <v>1</v>
      </c>
      <c r="Q108">
        <f t="shared" si="13"/>
        <v>1</v>
      </c>
    </row>
    <row r="109" spans="1:17">
      <c r="A109" s="1" t="s">
        <v>211</v>
      </c>
      <c r="B109" s="8" t="s">
        <v>48</v>
      </c>
      <c r="C109" s="1">
        <v>2</v>
      </c>
      <c r="D109" s="1">
        <v>0</v>
      </c>
      <c r="E109" s="24">
        <v>6.0000000000000002E-5</v>
      </c>
      <c r="F109" s="24">
        <f t="shared" si="7"/>
        <v>3.6E-9</v>
      </c>
      <c r="G109" s="24">
        <v>5.6121394317334685E-5</v>
      </c>
      <c r="H109" s="26">
        <v>2.8640630591963217E-7</v>
      </c>
      <c r="I109" s="22">
        <v>0.69581352197611035</v>
      </c>
      <c r="J109" s="24">
        <v>1.0445552591905369</v>
      </c>
      <c r="L109">
        <f t="shared" si="8"/>
        <v>0</v>
      </c>
      <c r="M109" s="37">
        <f t="shared" si="9"/>
        <v>0</v>
      </c>
      <c r="N109" s="37">
        <f t="shared" si="10"/>
        <v>1</v>
      </c>
      <c r="O109" s="37">
        <f t="shared" si="11"/>
        <v>1</v>
      </c>
      <c r="P109" s="37">
        <f t="shared" si="12"/>
        <v>0</v>
      </c>
      <c r="Q109">
        <f t="shared" si="13"/>
        <v>0</v>
      </c>
    </row>
    <row r="110" spans="1:17">
      <c r="A110" s="1" t="s">
        <v>211</v>
      </c>
      <c r="B110" s="8" t="s">
        <v>220</v>
      </c>
      <c r="C110" s="1">
        <v>2</v>
      </c>
      <c r="D110" s="1">
        <v>0.5</v>
      </c>
      <c r="E110" s="24">
        <v>1.8286E-2</v>
      </c>
      <c r="F110" s="24">
        <f t="shared" si="7"/>
        <v>3.3437779600000003E-4</v>
      </c>
      <c r="G110" s="24">
        <v>1.7103930274779699E-2</v>
      </c>
      <c r="H110" s="26">
        <v>9.4564701185343781E-5</v>
      </c>
      <c r="I110" s="22">
        <v>0.81178244230546215</v>
      </c>
      <c r="J110" s="24">
        <v>159.74308709265918</v>
      </c>
      <c r="L110">
        <f t="shared" si="8"/>
        <v>0</v>
      </c>
      <c r="M110" s="37">
        <f t="shared" si="9"/>
        <v>1</v>
      </c>
      <c r="N110" s="37">
        <f t="shared" si="10"/>
        <v>1</v>
      </c>
      <c r="O110" s="37">
        <f t="shared" si="11"/>
        <v>1</v>
      </c>
      <c r="P110" s="37">
        <f t="shared" si="12"/>
        <v>1</v>
      </c>
      <c r="Q110">
        <f t="shared" si="13"/>
        <v>1</v>
      </c>
    </row>
    <row r="111" spans="1:17">
      <c r="A111" s="1" t="s">
        <v>187</v>
      </c>
      <c r="B111" s="8" t="s">
        <v>228</v>
      </c>
      <c r="C111" s="1">
        <v>2</v>
      </c>
      <c r="D111" s="1">
        <v>1</v>
      </c>
      <c r="E111" s="43">
        <v>1</v>
      </c>
      <c r="F111" s="24">
        <f t="shared" si="7"/>
        <v>1</v>
      </c>
      <c r="G111" s="43">
        <v>0.74138117627253164</v>
      </c>
      <c r="H111" s="46">
        <v>3.1881657463442281E-4</v>
      </c>
      <c r="I111" s="44">
        <v>1</v>
      </c>
      <c r="J111" s="43">
        <v>34.710010360010358</v>
      </c>
      <c r="L111">
        <f t="shared" si="8"/>
        <v>1</v>
      </c>
      <c r="M111" s="37">
        <f t="shared" si="9"/>
        <v>1</v>
      </c>
      <c r="N111" s="37">
        <f t="shared" si="10"/>
        <v>1</v>
      </c>
      <c r="O111" s="37">
        <f t="shared" si="11"/>
        <v>1</v>
      </c>
      <c r="P111" s="37">
        <f t="shared" si="12"/>
        <v>1</v>
      </c>
      <c r="Q111">
        <f t="shared" si="13"/>
        <v>1</v>
      </c>
    </row>
    <row r="112" spans="1:17">
      <c r="A112" s="1" t="s">
        <v>219</v>
      </c>
      <c r="B112" s="8" t="s">
        <v>233</v>
      </c>
      <c r="C112" s="1">
        <v>2</v>
      </c>
      <c r="D112" s="1">
        <v>1</v>
      </c>
      <c r="E112" s="43">
        <v>1</v>
      </c>
      <c r="F112" s="24">
        <f t="shared" si="7"/>
        <v>1</v>
      </c>
      <c r="G112" s="43">
        <v>0.96367365286284201</v>
      </c>
      <c r="H112" s="46">
        <v>1.7739549143931598E-4</v>
      </c>
      <c r="I112" s="44">
        <v>0.18761726078799248</v>
      </c>
      <c r="J112" s="43">
        <v>112.36665103189493</v>
      </c>
      <c r="L112">
        <f t="shared" si="8"/>
        <v>1</v>
      </c>
      <c r="M112" s="37">
        <f t="shared" si="9"/>
        <v>1</v>
      </c>
      <c r="N112" s="37">
        <f t="shared" si="10"/>
        <v>1</v>
      </c>
      <c r="O112" s="37">
        <f t="shared" si="11"/>
        <v>0</v>
      </c>
      <c r="P112" s="37">
        <f t="shared" si="12"/>
        <v>1</v>
      </c>
      <c r="Q112">
        <f t="shared" si="13"/>
        <v>1</v>
      </c>
    </row>
    <row r="113" spans="1:17">
      <c r="A113" s="1" t="s">
        <v>187</v>
      </c>
      <c r="B113" s="8" t="s">
        <v>230</v>
      </c>
      <c r="C113" s="1">
        <v>2</v>
      </c>
      <c r="D113" s="1">
        <v>1</v>
      </c>
      <c r="E113" s="43">
        <v>6.5964900898562953E-2</v>
      </c>
      <c r="F113" s="24">
        <f t="shared" si="7"/>
        <v>4.3513681505572312E-3</v>
      </c>
      <c r="G113" s="43">
        <v>4.8905135820877577E-2</v>
      </c>
      <c r="H113" s="46">
        <v>2.104429682700136E-5</v>
      </c>
      <c r="I113" s="44">
        <v>0.9647</v>
      </c>
      <c r="J113" s="43">
        <v>85.974757834757838</v>
      </c>
      <c r="L113">
        <f t="shared" si="8"/>
        <v>0</v>
      </c>
      <c r="M113" s="37">
        <f t="shared" si="9"/>
        <v>1</v>
      </c>
      <c r="N113" s="37">
        <f t="shared" si="10"/>
        <v>1</v>
      </c>
      <c r="O113" s="37">
        <f t="shared" si="11"/>
        <v>1</v>
      </c>
      <c r="P113" s="37">
        <f t="shared" si="12"/>
        <v>1</v>
      </c>
      <c r="Q113">
        <f t="shared" si="13"/>
        <v>1</v>
      </c>
    </row>
    <row r="114" spans="1:17">
      <c r="A114" s="1" t="s">
        <v>211</v>
      </c>
      <c r="B114" s="8" t="s">
        <v>223</v>
      </c>
      <c r="C114" s="1">
        <v>2</v>
      </c>
      <c r="D114" s="1">
        <v>1</v>
      </c>
      <c r="E114" s="43">
        <v>6.9111000000000006E-2</v>
      </c>
      <c r="F114" s="24">
        <f t="shared" si="7"/>
        <v>4.7763303210000005E-3</v>
      </c>
      <c r="G114" s="43">
        <v>6.4643428044421955E-2</v>
      </c>
      <c r="H114" s="46">
        <v>3.5740017741108096E-4</v>
      </c>
      <c r="I114" s="44">
        <v>0.92775136263481384</v>
      </c>
      <c r="J114" s="47">
        <v>168.4842931694306</v>
      </c>
      <c r="L114">
        <f t="shared" si="8"/>
        <v>0</v>
      </c>
      <c r="M114" s="37">
        <f t="shared" si="9"/>
        <v>1</v>
      </c>
      <c r="N114" s="37">
        <f t="shared" si="10"/>
        <v>1</v>
      </c>
      <c r="O114" s="37">
        <f t="shared" si="11"/>
        <v>1</v>
      </c>
      <c r="P114" s="37">
        <f t="shared" si="12"/>
        <v>1</v>
      </c>
      <c r="Q114">
        <f t="shared" si="13"/>
        <v>1</v>
      </c>
    </row>
    <row r="115" spans="1:17">
      <c r="A115" s="1" t="s">
        <v>219</v>
      </c>
      <c r="B115" s="8" t="s">
        <v>235</v>
      </c>
      <c r="C115" s="1">
        <v>2</v>
      </c>
      <c r="D115" s="1">
        <v>1</v>
      </c>
      <c r="E115" s="43">
        <v>6.7928048744934546E-3</v>
      </c>
      <c r="F115" s="24">
        <f t="shared" si="7"/>
        <v>4.6142198062942037E-5</v>
      </c>
      <c r="G115" s="43">
        <v>6.546047086587627E-3</v>
      </c>
      <c r="H115" s="46">
        <v>1.1841825694000854E-6</v>
      </c>
      <c r="I115" s="44">
        <v>0.14071294559099437</v>
      </c>
      <c r="J115" s="47">
        <v>5.9597873671044397</v>
      </c>
      <c r="L115">
        <f t="shared" si="8"/>
        <v>0</v>
      </c>
      <c r="M115" s="37">
        <f t="shared" si="9"/>
        <v>1</v>
      </c>
      <c r="N115" s="37">
        <f t="shared" si="10"/>
        <v>1</v>
      </c>
      <c r="O115" s="37">
        <f t="shared" si="11"/>
        <v>0</v>
      </c>
      <c r="P115" s="37">
        <f t="shared" si="12"/>
        <v>1</v>
      </c>
      <c r="Q115">
        <f t="shared" si="13"/>
        <v>1</v>
      </c>
    </row>
    <row r="116" spans="1:17">
      <c r="A116" s="1" t="s">
        <v>218</v>
      </c>
      <c r="B116" s="8" t="s">
        <v>229</v>
      </c>
      <c r="C116" s="1">
        <v>2</v>
      </c>
      <c r="D116" s="1">
        <v>1</v>
      </c>
      <c r="E116" s="43">
        <v>6.2862017870773652E-4</v>
      </c>
      <c r="F116" s="24">
        <f t="shared" si="7"/>
        <v>3.9516332907854659E-7</v>
      </c>
      <c r="G116" s="43">
        <v>6.0957025297165494E-4</v>
      </c>
      <c r="H116" s="46">
        <v>5.0790967819778703E-8</v>
      </c>
      <c r="I116" s="44">
        <v>0.23626224156692058</v>
      </c>
      <c r="J116" s="47">
        <v>0.31027747551686613</v>
      </c>
      <c r="L116">
        <f t="shared" si="8"/>
        <v>0</v>
      </c>
      <c r="M116" s="37">
        <f t="shared" si="9"/>
        <v>0</v>
      </c>
      <c r="N116" s="37">
        <f t="shared" si="10"/>
        <v>0</v>
      </c>
      <c r="O116" s="37">
        <f t="shared" si="11"/>
        <v>0</v>
      </c>
      <c r="P116" s="37">
        <f t="shared" si="12"/>
        <v>0</v>
      </c>
      <c r="Q116">
        <f t="shared" si="13"/>
        <v>0</v>
      </c>
    </row>
    <row r="117" spans="1:17">
      <c r="A117" s="1" t="s">
        <v>187</v>
      </c>
      <c r="B117" s="8" t="s">
        <v>229</v>
      </c>
      <c r="C117" s="1">
        <v>2</v>
      </c>
      <c r="D117" s="1">
        <v>1</v>
      </c>
      <c r="E117" s="43">
        <v>0.27925195445550977</v>
      </c>
      <c r="F117" s="24">
        <f t="shared" si="7"/>
        <v>7.79816540672221E-2</v>
      </c>
      <c r="G117" s="43">
        <v>0.20703214247062926</v>
      </c>
      <c r="H117" s="46">
        <v>8.9036566588072066E-5</v>
      </c>
      <c r="I117" s="44">
        <v>1</v>
      </c>
      <c r="J117" s="43">
        <v>152.2841206941207</v>
      </c>
      <c r="L117">
        <f t="shared" si="8"/>
        <v>0</v>
      </c>
      <c r="M117" s="37">
        <f t="shared" si="9"/>
        <v>1</v>
      </c>
      <c r="N117" s="37">
        <f t="shared" si="10"/>
        <v>1</v>
      </c>
      <c r="O117" s="37">
        <f t="shared" si="11"/>
        <v>1</v>
      </c>
      <c r="P117" s="37">
        <f t="shared" si="12"/>
        <v>1</v>
      </c>
      <c r="Q117">
        <f t="shared" si="13"/>
        <v>1</v>
      </c>
    </row>
    <row r="118" spans="1:17">
      <c r="A118" s="1" t="s">
        <v>211</v>
      </c>
      <c r="B118" s="8" t="s">
        <v>229</v>
      </c>
      <c r="C118" s="1">
        <v>2</v>
      </c>
      <c r="D118" s="1">
        <v>1</v>
      </c>
      <c r="E118" s="24">
        <v>1</v>
      </c>
      <c r="F118" s="24">
        <f t="shared" si="7"/>
        <v>1</v>
      </c>
      <c r="G118" s="24">
        <v>0.93535657195557809</v>
      </c>
      <c r="H118" s="26">
        <v>5.171333179538589E-3</v>
      </c>
      <c r="I118" s="22">
        <v>0.57984460164675866</v>
      </c>
      <c r="J118" s="27">
        <v>18895.975878464571</v>
      </c>
      <c r="L118">
        <f t="shared" si="8"/>
        <v>1</v>
      </c>
      <c r="M118" s="37">
        <f t="shared" si="9"/>
        <v>1</v>
      </c>
      <c r="N118" s="37">
        <f t="shared" si="10"/>
        <v>1</v>
      </c>
      <c r="O118" s="37">
        <f t="shared" si="11"/>
        <v>1</v>
      </c>
      <c r="P118" s="37">
        <f t="shared" si="12"/>
        <v>1</v>
      </c>
      <c r="Q118">
        <f t="shared" si="13"/>
        <v>1</v>
      </c>
    </row>
    <row r="119" spans="1:17">
      <c r="A119" s="1" t="s">
        <v>219</v>
      </c>
      <c r="B119" s="8" t="s">
        <v>224</v>
      </c>
      <c r="C119" s="1">
        <v>2</v>
      </c>
      <c r="D119" s="1">
        <v>1</v>
      </c>
      <c r="E119" s="43">
        <v>3.0902889128596834E-2</v>
      </c>
      <c r="F119" s="24">
        <f t="shared" si="7"/>
        <v>9.5498855649434836E-4</v>
      </c>
      <c r="G119" s="43">
        <v>2.9780300050570321E-2</v>
      </c>
      <c r="H119" s="46">
        <v>5.4736626499761201E-6</v>
      </c>
      <c r="I119" s="44">
        <v>0.18761726078799248</v>
      </c>
      <c r="J119" s="43">
        <v>26.887804878048783</v>
      </c>
      <c r="L119">
        <f t="shared" si="8"/>
        <v>0</v>
      </c>
      <c r="M119" s="37">
        <f t="shared" si="9"/>
        <v>1</v>
      </c>
      <c r="N119" s="37">
        <f t="shared" si="10"/>
        <v>1</v>
      </c>
      <c r="O119" s="37">
        <f t="shared" si="11"/>
        <v>0</v>
      </c>
      <c r="P119" s="37">
        <f t="shared" si="12"/>
        <v>1</v>
      </c>
      <c r="Q119">
        <f t="shared" si="13"/>
        <v>1</v>
      </c>
    </row>
    <row r="120" spans="1:17">
      <c r="A120" s="1" t="s">
        <v>218</v>
      </c>
      <c r="B120" s="8" t="s">
        <v>220</v>
      </c>
      <c r="C120" s="1">
        <v>2</v>
      </c>
      <c r="D120" s="1">
        <v>1</v>
      </c>
      <c r="E120" s="43">
        <v>3.0622782991334023E-2</v>
      </c>
      <c r="F120" s="24">
        <f t="shared" si="7"/>
        <v>9.377548381343363E-4</v>
      </c>
      <c r="G120" s="43">
        <v>2.9694779466190622E-2</v>
      </c>
      <c r="H120" s="46">
        <v>3.530729353528704E-6</v>
      </c>
      <c r="I120" s="44">
        <v>0.99292709466811757</v>
      </c>
      <c r="J120" s="47">
        <v>17.682219804134931</v>
      </c>
      <c r="L120">
        <f t="shared" si="8"/>
        <v>0</v>
      </c>
      <c r="M120" s="37">
        <f t="shared" si="9"/>
        <v>1</v>
      </c>
      <c r="N120" s="37">
        <f t="shared" si="10"/>
        <v>1</v>
      </c>
      <c r="O120" s="37">
        <f t="shared" si="11"/>
        <v>1</v>
      </c>
      <c r="P120" s="37">
        <f t="shared" si="12"/>
        <v>1</v>
      </c>
      <c r="Q120">
        <f t="shared" si="13"/>
        <v>1</v>
      </c>
    </row>
    <row r="121" spans="1:17">
      <c r="A121" s="1" t="s">
        <v>218</v>
      </c>
      <c r="B121" s="8" t="s">
        <v>231</v>
      </c>
      <c r="C121" s="1">
        <v>2</v>
      </c>
      <c r="D121" s="1">
        <v>1</v>
      </c>
      <c r="E121" s="43">
        <v>1</v>
      </c>
      <c r="F121" s="24">
        <f t="shared" si="7"/>
        <v>1</v>
      </c>
      <c r="G121" s="43">
        <v>0.96969565028083771</v>
      </c>
      <c r="H121" s="46">
        <v>1.1517776983533587E-4</v>
      </c>
      <c r="I121" s="44">
        <v>0.99972796517954299</v>
      </c>
      <c r="J121" s="47">
        <v>483.34613166485315</v>
      </c>
      <c r="L121">
        <f t="shared" si="8"/>
        <v>1</v>
      </c>
      <c r="M121" s="37">
        <f t="shared" si="9"/>
        <v>1</v>
      </c>
      <c r="N121" s="37">
        <f t="shared" si="10"/>
        <v>1</v>
      </c>
      <c r="O121" s="37">
        <f t="shared" si="11"/>
        <v>1</v>
      </c>
      <c r="P121" s="37">
        <f t="shared" si="12"/>
        <v>1</v>
      </c>
      <c r="Q121">
        <f t="shared" si="13"/>
        <v>1</v>
      </c>
    </row>
    <row r="122" spans="1:17">
      <c r="A122" s="1" t="s">
        <v>217</v>
      </c>
      <c r="B122" s="8" t="s">
        <v>231</v>
      </c>
      <c r="C122" s="1">
        <v>2</v>
      </c>
      <c r="D122" s="1">
        <v>1</v>
      </c>
      <c r="E122" s="43">
        <v>1</v>
      </c>
      <c r="F122" s="24">
        <f t="shared" si="7"/>
        <v>1</v>
      </c>
      <c r="G122" s="43">
        <v>1</v>
      </c>
      <c r="H122" s="46">
        <v>1.7529293529102148E-6</v>
      </c>
      <c r="I122" s="44">
        <v>0.93708165997322623</v>
      </c>
      <c r="J122" s="47">
        <v>5.520766141489033</v>
      </c>
      <c r="L122">
        <f t="shared" si="8"/>
        <v>1</v>
      </c>
      <c r="M122" s="37">
        <f t="shared" si="9"/>
        <v>1</v>
      </c>
      <c r="N122" s="37">
        <f t="shared" si="10"/>
        <v>1</v>
      </c>
      <c r="O122" s="37">
        <f t="shared" si="11"/>
        <v>1</v>
      </c>
      <c r="P122" s="37">
        <f t="shared" si="12"/>
        <v>1</v>
      </c>
      <c r="Q122">
        <f t="shared" si="13"/>
        <v>1</v>
      </c>
    </row>
    <row r="123" spans="1:17">
      <c r="A123" s="1" t="s">
        <v>187</v>
      </c>
      <c r="B123" s="8" t="s">
        <v>231</v>
      </c>
      <c r="C123" s="1">
        <v>2</v>
      </c>
      <c r="D123" s="1">
        <v>1</v>
      </c>
      <c r="E123" s="43">
        <v>3.6169591591786419E-3</v>
      </c>
      <c r="F123" s="24">
        <f t="shared" si="7"/>
        <v>1.3082393559166269E-5</v>
      </c>
      <c r="G123" s="43">
        <v>2.6815454359615685E-3</v>
      </c>
      <c r="H123" s="46">
        <v>1.1342484048242566E-6</v>
      </c>
      <c r="I123" s="44">
        <v>0.66930000000000001</v>
      </c>
      <c r="J123" s="43">
        <v>4.6078580678580678</v>
      </c>
      <c r="L123">
        <f t="shared" si="8"/>
        <v>0</v>
      </c>
      <c r="M123" s="37">
        <f t="shared" si="9"/>
        <v>1</v>
      </c>
      <c r="N123" s="37">
        <f t="shared" si="10"/>
        <v>1</v>
      </c>
      <c r="O123" s="37">
        <f t="shared" si="11"/>
        <v>1</v>
      </c>
      <c r="P123" s="37">
        <f t="shared" si="12"/>
        <v>1</v>
      </c>
      <c r="Q123">
        <f t="shared" si="13"/>
        <v>1</v>
      </c>
    </row>
    <row r="124" spans="1:17">
      <c r="A124" s="1" t="s">
        <v>216</v>
      </c>
      <c r="B124" s="8" t="s">
        <v>234</v>
      </c>
      <c r="C124" s="1">
        <v>2</v>
      </c>
      <c r="D124" s="1">
        <v>1</v>
      </c>
      <c r="E124" s="43">
        <v>0.47087625</v>
      </c>
      <c r="F124" s="24">
        <f t="shared" si="7"/>
        <v>0.22172444281406251</v>
      </c>
      <c r="G124" s="43">
        <v>4.1428943940859816E-2</v>
      </c>
      <c r="H124" s="45">
        <v>1.9480426399911494E-3</v>
      </c>
      <c r="I124" s="44">
        <v>0.87950747581354438</v>
      </c>
      <c r="J124" s="45">
        <v>9367.4969868073895</v>
      </c>
      <c r="L124">
        <f t="shared" si="8"/>
        <v>0</v>
      </c>
      <c r="M124" s="37">
        <f t="shared" si="9"/>
        <v>1</v>
      </c>
      <c r="N124" s="37">
        <f t="shared" si="10"/>
        <v>1</v>
      </c>
      <c r="O124" s="37">
        <f t="shared" si="11"/>
        <v>1</v>
      </c>
      <c r="P124" s="37">
        <f t="shared" si="12"/>
        <v>1</v>
      </c>
      <c r="Q124">
        <f t="shared" si="13"/>
        <v>1</v>
      </c>
    </row>
    <row r="125" spans="1:17">
      <c r="A125" s="1" t="s">
        <v>216</v>
      </c>
      <c r="B125" s="8" t="s">
        <v>164</v>
      </c>
      <c r="C125" s="1">
        <v>2</v>
      </c>
      <c r="D125" s="1">
        <v>1</v>
      </c>
      <c r="E125" s="43">
        <v>0.89500000000000002</v>
      </c>
      <c r="F125" s="24">
        <f t="shared" si="7"/>
        <v>0.80102499999999999</v>
      </c>
      <c r="G125" s="43">
        <v>7.8744478675808208E-2</v>
      </c>
      <c r="H125" s="46">
        <v>3.7026518050678192E-3</v>
      </c>
      <c r="I125" s="44">
        <v>1</v>
      </c>
      <c r="J125" s="43">
        <v>19692.833773087073</v>
      </c>
      <c r="L125">
        <f t="shared" si="8"/>
        <v>1</v>
      </c>
      <c r="M125" s="37">
        <f t="shared" si="9"/>
        <v>1</v>
      </c>
      <c r="N125" s="37">
        <f t="shared" si="10"/>
        <v>1</v>
      </c>
      <c r="O125" s="37">
        <f t="shared" si="11"/>
        <v>1</v>
      </c>
      <c r="P125" s="37">
        <f t="shared" si="12"/>
        <v>1</v>
      </c>
      <c r="Q125">
        <f t="shared" si="13"/>
        <v>1</v>
      </c>
    </row>
    <row r="126" spans="1:17">
      <c r="A126" s="1" t="s">
        <v>216</v>
      </c>
      <c r="B126" s="8" t="s">
        <v>48</v>
      </c>
      <c r="C126" s="1">
        <v>2</v>
      </c>
      <c r="D126" s="1">
        <v>1</v>
      </c>
      <c r="E126" s="43">
        <v>1</v>
      </c>
      <c r="F126" s="24">
        <f t="shared" si="7"/>
        <v>1</v>
      </c>
      <c r="G126" s="43">
        <v>8.7982657738333192E-2</v>
      </c>
      <c r="H126" s="45">
        <v>4.1370245264867175E-3</v>
      </c>
      <c r="I126" s="44">
        <v>1</v>
      </c>
      <c r="J126" s="45">
        <v>21125.065963060686</v>
      </c>
      <c r="L126">
        <f t="shared" si="8"/>
        <v>1</v>
      </c>
      <c r="M126" s="37">
        <f t="shared" si="9"/>
        <v>1</v>
      </c>
      <c r="N126" s="37">
        <f t="shared" si="10"/>
        <v>1</v>
      </c>
      <c r="O126" s="37">
        <f t="shared" si="11"/>
        <v>1</v>
      </c>
      <c r="P126" s="37">
        <f t="shared" si="12"/>
        <v>1</v>
      </c>
      <c r="Q126">
        <f t="shared" si="13"/>
        <v>1</v>
      </c>
    </row>
    <row r="127" spans="1:17">
      <c r="A127" s="1" t="s">
        <v>187</v>
      </c>
      <c r="B127" s="8" t="s">
        <v>255</v>
      </c>
      <c r="C127" s="1">
        <v>3</v>
      </c>
      <c r="D127" s="1">
        <v>0</v>
      </c>
      <c r="E127" s="43">
        <v>5.8902726354762708E-4</v>
      </c>
      <c r="F127" s="43">
        <f t="shared" si="7"/>
        <v>3.4695311720240572E-7</v>
      </c>
      <c r="G127" s="43">
        <v>2.1077671218439951E-4</v>
      </c>
      <c r="H127" s="43">
        <v>4.2157258115710551E-8</v>
      </c>
      <c r="I127" s="43">
        <v>0.28220000000000001</v>
      </c>
      <c r="J127" s="43">
        <v>0.29745920745920745</v>
      </c>
      <c r="L127">
        <f t="shared" si="8"/>
        <v>0</v>
      </c>
      <c r="M127" s="37">
        <f t="shared" si="9"/>
        <v>0</v>
      </c>
      <c r="N127" s="37">
        <f t="shared" si="10"/>
        <v>0</v>
      </c>
      <c r="O127" s="37">
        <f t="shared" si="11"/>
        <v>0</v>
      </c>
      <c r="P127" s="37">
        <f t="shared" si="12"/>
        <v>0</v>
      </c>
      <c r="Q127">
        <f t="shared" si="13"/>
        <v>0</v>
      </c>
    </row>
    <row r="128" spans="1:17">
      <c r="A128" s="1" t="s">
        <v>216</v>
      </c>
      <c r="B128" s="8" t="s">
        <v>255</v>
      </c>
      <c r="C128" s="1">
        <v>3</v>
      </c>
      <c r="D128" s="1">
        <v>0</v>
      </c>
      <c r="E128" s="43">
        <v>9.5441704207070318E-6</v>
      </c>
      <c r="F128" s="43">
        <f t="shared" si="7"/>
        <v>9.1091189019499038E-11</v>
      </c>
      <c r="G128" s="43">
        <v>9.5441704207070318E-6</v>
      </c>
      <c r="H128" s="43">
        <v>8.431451623142111E-9</v>
      </c>
      <c r="I128" s="43">
        <v>2.6561125769569042E-2</v>
      </c>
      <c r="J128" s="43">
        <v>5.7720316622691288E-2</v>
      </c>
      <c r="L128">
        <f t="shared" si="8"/>
        <v>0</v>
      </c>
      <c r="M128" s="37">
        <f t="shared" si="9"/>
        <v>0</v>
      </c>
      <c r="N128" s="37">
        <f t="shared" si="10"/>
        <v>0</v>
      </c>
      <c r="O128" s="37">
        <f t="shared" si="11"/>
        <v>0</v>
      </c>
      <c r="P128" s="37">
        <f t="shared" si="12"/>
        <v>0</v>
      </c>
      <c r="Q128">
        <f t="shared" si="13"/>
        <v>0</v>
      </c>
    </row>
    <row r="129" spans="1:17">
      <c r="A129" s="1" t="s">
        <v>187</v>
      </c>
      <c r="B129" s="8" t="s">
        <v>248</v>
      </c>
      <c r="C129" s="1">
        <v>3</v>
      </c>
      <c r="D129" s="1">
        <v>0</v>
      </c>
      <c r="E129" s="43">
        <v>1.2622012790306295E-4</v>
      </c>
      <c r="F129" s="43">
        <f t="shared" si="7"/>
        <v>1.5931520687865569E-8</v>
      </c>
      <c r="G129" s="43">
        <v>4.516643832522847E-5</v>
      </c>
      <c r="H129" s="43">
        <v>1.2131274730211157E-8</v>
      </c>
      <c r="I129" s="43">
        <v>3.9300000000000002E-2</v>
      </c>
      <c r="J129" s="43">
        <v>6.4246309246309252E-2</v>
      </c>
      <c r="L129">
        <f t="shared" si="8"/>
        <v>0</v>
      </c>
      <c r="M129" s="37">
        <f t="shared" si="9"/>
        <v>0</v>
      </c>
      <c r="N129" s="37">
        <f t="shared" si="10"/>
        <v>0</v>
      </c>
      <c r="O129" s="37">
        <f t="shared" si="11"/>
        <v>0</v>
      </c>
      <c r="P129" s="37">
        <f t="shared" si="12"/>
        <v>0</v>
      </c>
      <c r="Q129">
        <f t="shared" si="13"/>
        <v>0</v>
      </c>
    </row>
    <row r="130" spans="1:17">
      <c r="A130" s="1" t="s">
        <v>216</v>
      </c>
      <c r="B130" s="8" t="s">
        <v>248</v>
      </c>
      <c r="C130" s="1">
        <v>3</v>
      </c>
      <c r="D130" s="1">
        <v>0</v>
      </c>
      <c r="E130" s="43">
        <v>1.7179506757272658E-4</v>
      </c>
      <c r="F130" s="43">
        <f t="shared" ref="F130:F193" si="14">E130*E130</f>
        <v>2.9513545242317693E-8</v>
      </c>
      <c r="G130" s="43">
        <v>1.7179506757272658E-4</v>
      </c>
      <c r="H130" s="43">
        <v>1.2131274730211156E-7</v>
      </c>
      <c r="I130" s="43">
        <v>0.3760773966578716</v>
      </c>
      <c r="J130" s="43">
        <v>1.0471978891820579</v>
      </c>
      <c r="L130">
        <f t="shared" ref="L130:L193" si="15">IF(E130&gt;$S$3,1,0)</f>
        <v>0</v>
      </c>
      <c r="M130" s="37">
        <f t="shared" ref="M130:M193" si="16">IF(G130&gt;$T$3,1,0)</f>
        <v>0</v>
      </c>
      <c r="N130" s="37">
        <f t="shared" ref="N130:N193" si="17">IF(H130&gt;$U$3,1,0)</f>
        <v>0</v>
      </c>
      <c r="O130" s="37">
        <f t="shared" ref="O130:O193" si="18">IF(I130&gt;$V$3,1,0)</f>
        <v>1</v>
      </c>
      <c r="P130" s="37">
        <f t="shared" ref="P130:P193" si="19">IF(J130&gt;$W$3,1,0)</f>
        <v>0</v>
      </c>
      <c r="Q130">
        <f t="shared" ref="Q130:Q193" si="20">IF(E130&gt;$X$3,1,0)</f>
        <v>0</v>
      </c>
    </row>
    <row r="131" spans="1:17">
      <c r="A131" s="1" t="s">
        <v>211</v>
      </c>
      <c r="B131" s="8" t="s">
        <v>248</v>
      </c>
      <c r="C131" s="1">
        <v>3</v>
      </c>
      <c r="D131" s="1">
        <v>0</v>
      </c>
      <c r="E131" s="43">
        <v>5.5176980163875629E-5</v>
      </c>
      <c r="F131" s="43">
        <f t="shared" si="14"/>
        <v>3.0444991400047247E-9</v>
      </c>
      <c r="G131" s="43">
        <v>3.3310016321907995E-5</v>
      </c>
      <c r="H131" s="43">
        <v>8.0875164868074378E-9</v>
      </c>
      <c r="I131" s="43">
        <v>4.9402760060303835E-2</v>
      </c>
      <c r="J131" s="43">
        <v>3.8355560709729793E-2</v>
      </c>
      <c r="L131">
        <f t="shared" si="15"/>
        <v>0</v>
      </c>
      <c r="M131" s="37">
        <f t="shared" si="16"/>
        <v>0</v>
      </c>
      <c r="N131" s="37">
        <f t="shared" si="17"/>
        <v>0</v>
      </c>
      <c r="O131" s="37">
        <f t="shared" si="18"/>
        <v>0</v>
      </c>
      <c r="P131" s="37">
        <f t="shared" si="19"/>
        <v>0</v>
      </c>
      <c r="Q131">
        <f t="shared" si="20"/>
        <v>0</v>
      </c>
    </row>
    <row r="132" spans="1:17">
      <c r="A132" s="1" t="s">
        <v>187</v>
      </c>
      <c r="B132" s="8" t="s">
        <v>254</v>
      </c>
      <c r="C132" s="1">
        <v>3</v>
      </c>
      <c r="D132" s="1">
        <v>0</v>
      </c>
      <c r="E132" s="43">
        <v>2.1036687983843824E-4</v>
      </c>
      <c r="F132" s="43">
        <f t="shared" si="14"/>
        <v>4.4254224132959912E-8</v>
      </c>
      <c r="G132" s="43">
        <v>7.5277397208714113E-5</v>
      </c>
      <c r="H132" s="43">
        <v>2.060280253988978E-8</v>
      </c>
      <c r="I132" s="43">
        <v>8.7599999999999997E-2</v>
      </c>
      <c r="J132" s="43">
        <v>0.1056008806008806</v>
      </c>
      <c r="L132">
        <f t="shared" si="15"/>
        <v>0</v>
      </c>
      <c r="M132" s="37">
        <f t="shared" si="16"/>
        <v>0</v>
      </c>
      <c r="N132" s="37">
        <f t="shared" si="17"/>
        <v>0</v>
      </c>
      <c r="O132" s="37">
        <f t="shared" si="18"/>
        <v>0</v>
      </c>
      <c r="P132" s="37">
        <f t="shared" si="19"/>
        <v>0</v>
      </c>
      <c r="Q132">
        <f t="shared" si="20"/>
        <v>0</v>
      </c>
    </row>
    <row r="133" spans="1:17">
      <c r="A133" s="1" t="s">
        <v>216</v>
      </c>
      <c r="B133" s="8" t="s">
        <v>254</v>
      </c>
      <c r="C133" s="1">
        <v>3</v>
      </c>
      <c r="D133" s="1">
        <v>0</v>
      </c>
      <c r="E133" s="43">
        <v>2.3860426051767581E-5</v>
      </c>
      <c r="F133" s="43">
        <f t="shared" si="14"/>
        <v>5.6931993137186907E-10</v>
      </c>
      <c r="G133" s="43">
        <v>2.3860426051767581E-5</v>
      </c>
      <c r="H133" s="43">
        <v>2.060280253988978E-8</v>
      </c>
      <c r="I133" s="43">
        <v>0.10782761653474054</v>
      </c>
      <c r="J133" s="43">
        <v>0.14343887423043097</v>
      </c>
      <c r="L133">
        <f t="shared" si="15"/>
        <v>0</v>
      </c>
      <c r="M133" s="37">
        <f t="shared" si="16"/>
        <v>0</v>
      </c>
      <c r="N133" s="37">
        <f t="shared" si="17"/>
        <v>0</v>
      </c>
      <c r="O133" s="37">
        <f t="shared" si="18"/>
        <v>0</v>
      </c>
      <c r="P133" s="37">
        <f t="shared" si="19"/>
        <v>0</v>
      </c>
      <c r="Q133">
        <f t="shared" si="20"/>
        <v>0</v>
      </c>
    </row>
    <row r="134" spans="1:17">
      <c r="A134" s="1" t="s">
        <v>211</v>
      </c>
      <c r="B134" s="8" t="s">
        <v>254</v>
      </c>
      <c r="C134" s="1">
        <v>3</v>
      </c>
      <c r="D134" s="1">
        <v>0</v>
      </c>
      <c r="E134" s="43">
        <v>2.7588490081937815E-5</v>
      </c>
      <c r="F134" s="43">
        <f t="shared" si="14"/>
        <v>7.6112478500118118E-10</v>
      </c>
      <c r="G134" s="43">
        <v>1.6655008160953998E-5</v>
      </c>
      <c r="H134" s="43">
        <v>3.433800423314964E-9</v>
      </c>
      <c r="I134" s="43">
        <v>1.3916270439522208E-2</v>
      </c>
      <c r="J134" s="43">
        <v>1.8913371216513975E-2</v>
      </c>
      <c r="L134">
        <f t="shared" si="15"/>
        <v>0</v>
      </c>
      <c r="M134" s="37">
        <f t="shared" si="16"/>
        <v>0</v>
      </c>
      <c r="N134" s="37">
        <f t="shared" si="17"/>
        <v>0</v>
      </c>
      <c r="O134" s="37">
        <f t="shared" si="18"/>
        <v>0</v>
      </c>
      <c r="P134" s="37">
        <f t="shared" si="19"/>
        <v>0</v>
      </c>
      <c r="Q134">
        <f t="shared" si="20"/>
        <v>0</v>
      </c>
    </row>
    <row r="135" spans="1:17">
      <c r="A135" s="1" t="s">
        <v>217</v>
      </c>
      <c r="B135" s="8" t="s">
        <v>249</v>
      </c>
      <c r="C135" s="1">
        <v>3</v>
      </c>
      <c r="D135" s="1">
        <v>0</v>
      </c>
      <c r="E135" s="43">
        <v>1.2895785473081891E-5</v>
      </c>
      <c r="F135" s="43">
        <f t="shared" si="14"/>
        <v>1.6630128296774992E-10</v>
      </c>
      <c r="G135" s="43">
        <v>1.2098439819767813E-5</v>
      </c>
      <c r="H135" s="43">
        <v>2.5924863633009455E-8</v>
      </c>
      <c r="I135" s="43">
        <v>8.7735557615075691E-2</v>
      </c>
      <c r="J135" s="43">
        <v>0.11778395633817321</v>
      </c>
      <c r="L135">
        <f t="shared" si="15"/>
        <v>0</v>
      </c>
      <c r="M135" s="37">
        <f t="shared" si="16"/>
        <v>0</v>
      </c>
      <c r="N135" s="37">
        <f t="shared" si="17"/>
        <v>0</v>
      </c>
      <c r="O135" s="37">
        <f t="shared" si="18"/>
        <v>0</v>
      </c>
      <c r="P135" s="37">
        <f t="shared" si="19"/>
        <v>0</v>
      </c>
      <c r="Q135">
        <f t="shared" si="20"/>
        <v>0</v>
      </c>
    </row>
    <row r="136" spans="1:17">
      <c r="A136" s="1" t="s">
        <v>187</v>
      </c>
      <c r="B136" s="8" t="s">
        <v>249</v>
      </c>
      <c r="C136" s="1">
        <v>3</v>
      </c>
      <c r="D136" s="1">
        <v>0</v>
      </c>
      <c r="E136" s="43">
        <v>2.9451363177381354E-4</v>
      </c>
      <c r="F136" s="43">
        <f t="shared" si="14"/>
        <v>8.673827930060143E-8</v>
      </c>
      <c r="G136" s="43">
        <v>1.0538835609219975E-4</v>
      </c>
      <c r="H136" s="43">
        <v>2.5924863633009455E-8</v>
      </c>
      <c r="I136" s="43">
        <v>0.13819999999999999</v>
      </c>
      <c r="J136" s="43">
        <v>0.14812224812224811</v>
      </c>
      <c r="L136">
        <f t="shared" si="15"/>
        <v>0</v>
      </c>
      <c r="M136" s="37">
        <f t="shared" si="16"/>
        <v>0</v>
      </c>
      <c r="N136" s="37">
        <f t="shared" si="17"/>
        <v>0</v>
      </c>
      <c r="O136" s="37">
        <f t="shared" si="18"/>
        <v>0</v>
      </c>
      <c r="P136" s="37">
        <f t="shared" si="19"/>
        <v>0</v>
      </c>
      <c r="Q136">
        <f t="shared" si="20"/>
        <v>0</v>
      </c>
    </row>
    <row r="137" spans="1:17">
      <c r="A137" s="1" t="s">
        <v>216</v>
      </c>
      <c r="B137" s="8" t="s">
        <v>249</v>
      </c>
      <c r="C137" s="1">
        <v>3</v>
      </c>
      <c r="D137" s="1">
        <v>0</v>
      </c>
      <c r="E137" s="43">
        <v>1.6225089715201954E-4</v>
      </c>
      <c r="F137" s="43">
        <f t="shared" si="14"/>
        <v>2.6325353626635225E-8</v>
      </c>
      <c r="G137" s="43">
        <v>1.6225089715201954E-4</v>
      </c>
      <c r="H137" s="43">
        <v>1.4814207790291117E-7</v>
      </c>
      <c r="I137" s="43">
        <v>0.38962181178540017</v>
      </c>
      <c r="J137" s="43">
        <v>0.97723834652594554</v>
      </c>
      <c r="L137">
        <f t="shared" si="15"/>
        <v>0</v>
      </c>
      <c r="M137" s="37">
        <f t="shared" si="16"/>
        <v>0</v>
      </c>
      <c r="N137" s="37">
        <f t="shared" si="17"/>
        <v>0</v>
      </c>
      <c r="O137" s="37">
        <f t="shared" si="18"/>
        <v>1</v>
      </c>
      <c r="P137" s="37">
        <f t="shared" si="19"/>
        <v>0</v>
      </c>
      <c r="Q137">
        <f t="shared" si="20"/>
        <v>0</v>
      </c>
    </row>
    <row r="138" spans="1:17">
      <c r="A138" s="1" t="s">
        <v>217</v>
      </c>
      <c r="B138" s="8" t="s">
        <v>252</v>
      </c>
      <c r="C138" s="1">
        <v>3</v>
      </c>
      <c r="D138" s="1">
        <v>0</v>
      </c>
      <c r="E138" s="43">
        <v>1.8422550675831272E-6</v>
      </c>
      <c r="F138" s="43">
        <f t="shared" si="14"/>
        <v>3.3939037340357127E-12</v>
      </c>
      <c r="G138" s="43">
        <v>1.7283485456811162E-6</v>
      </c>
      <c r="H138" s="43">
        <v>3.4659010770778108E-9</v>
      </c>
      <c r="I138" s="43">
        <v>1.4313664916074555E-2</v>
      </c>
      <c r="J138" s="43">
        <v>1.7009576768612915E-2</v>
      </c>
      <c r="L138">
        <f t="shared" si="15"/>
        <v>0</v>
      </c>
      <c r="M138" s="37">
        <f t="shared" si="16"/>
        <v>0</v>
      </c>
      <c r="N138" s="37">
        <f t="shared" si="17"/>
        <v>0</v>
      </c>
      <c r="O138" s="37">
        <f t="shared" si="18"/>
        <v>0</v>
      </c>
      <c r="P138" s="37">
        <f t="shared" si="19"/>
        <v>0</v>
      </c>
      <c r="Q138">
        <f t="shared" si="20"/>
        <v>0</v>
      </c>
    </row>
    <row r="139" spans="1:17">
      <c r="A139" s="1" t="s">
        <v>216</v>
      </c>
      <c r="B139" s="8" t="s">
        <v>252</v>
      </c>
      <c r="C139" s="1">
        <v>3</v>
      </c>
      <c r="D139" s="1">
        <v>0</v>
      </c>
      <c r="E139" s="43">
        <v>3.340459647247461E-5</v>
      </c>
      <c r="F139" s="43">
        <f t="shared" si="14"/>
        <v>1.1158670654888632E-9</v>
      </c>
      <c r="G139" s="43">
        <v>3.340459647247461E-5</v>
      </c>
      <c r="H139" s="43">
        <v>2.7727208616622487E-8</v>
      </c>
      <c r="I139" s="43">
        <v>9.006156552330695E-2</v>
      </c>
      <c r="J139" s="43">
        <v>0.20338786279683377</v>
      </c>
      <c r="L139">
        <f t="shared" si="15"/>
        <v>0</v>
      </c>
      <c r="M139" s="37">
        <f t="shared" si="16"/>
        <v>0</v>
      </c>
      <c r="N139" s="37">
        <f t="shared" si="17"/>
        <v>0</v>
      </c>
      <c r="O139" s="37">
        <f t="shared" si="18"/>
        <v>0</v>
      </c>
      <c r="P139" s="37">
        <f t="shared" si="19"/>
        <v>0</v>
      </c>
      <c r="Q139">
        <f t="shared" si="20"/>
        <v>0</v>
      </c>
    </row>
    <row r="140" spans="1:17">
      <c r="A140" s="1" t="s">
        <v>211</v>
      </c>
      <c r="B140" s="8" t="s">
        <v>252</v>
      </c>
      <c r="C140" s="1">
        <v>3</v>
      </c>
      <c r="D140" s="1">
        <v>0</v>
      </c>
      <c r="E140" s="43">
        <v>5.5176980163875629E-5</v>
      </c>
      <c r="F140" s="43">
        <f t="shared" si="14"/>
        <v>3.0444991400047247E-9</v>
      </c>
      <c r="G140" s="43">
        <v>3.3310016321907995E-5</v>
      </c>
      <c r="H140" s="43">
        <v>6.9318021541556217E-9</v>
      </c>
      <c r="I140" s="43">
        <v>3.0615794966948856E-2</v>
      </c>
      <c r="J140" s="43">
        <v>3.8311492520004639E-2</v>
      </c>
      <c r="L140">
        <f t="shared" si="15"/>
        <v>0</v>
      </c>
      <c r="M140" s="37">
        <f t="shared" si="16"/>
        <v>0</v>
      </c>
      <c r="N140" s="37">
        <f t="shared" si="17"/>
        <v>0</v>
      </c>
      <c r="O140" s="37">
        <f t="shared" si="18"/>
        <v>0</v>
      </c>
      <c r="P140" s="37">
        <f t="shared" si="19"/>
        <v>0</v>
      </c>
      <c r="Q140">
        <f t="shared" si="20"/>
        <v>0</v>
      </c>
    </row>
    <row r="141" spans="1:17">
      <c r="A141" s="1" t="s">
        <v>187</v>
      </c>
      <c r="B141" s="8" t="s">
        <v>238</v>
      </c>
      <c r="C141" s="1">
        <v>3</v>
      </c>
      <c r="D141" s="1">
        <v>0</v>
      </c>
      <c r="E141" s="43">
        <v>5.8902726354762708E-3</v>
      </c>
      <c r="F141" s="43">
        <f t="shared" si="14"/>
        <v>3.4695311720240575E-5</v>
      </c>
      <c r="G141" s="43">
        <v>2.1077671218439949E-3</v>
      </c>
      <c r="H141" s="43">
        <v>5.2095211317761921E-7</v>
      </c>
      <c r="I141" s="43">
        <v>0.5292</v>
      </c>
      <c r="J141" s="43">
        <v>2.9586376586376586</v>
      </c>
      <c r="L141">
        <f t="shared" si="15"/>
        <v>0</v>
      </c>
      <c r="M141" s="37">
        <f t="shared" si="16"/>
        <v>1</v>
      </c>
      <c r="N141" s="37">
        <f t="shared" si="17"/>
        <v>1</v>
      </c>
      <c r="O141" s="37">
        <f t="shared" si="18"/>
        <v>1</v>
      </c>
      <c r="P141" s="37">
        <f t="shared" si="19"/>
        <v>1</v>
      </c>
      <c r="Q141">
        <f t="shared" si="20"/>
        <v>1</v>
      </c>
    </row>
    <row r="142" spans="1:17">
      <c r="A142" s="1" t="s">
        <v>216</v>
      </c>
      <c r="B142" s="8" t="s">
        <v>238</v>
      </c>
      <c r="C142" s="1">
        <v>3</v>
      </c>
      <c r="D142" s="1">
        <v>0</v>
      </c>
      <c r="E142" s="43">
        <v>2.8632511262121096E-5</v>
      </c>
      <c r="F142" s="43">
        <f t="shared" si="14"/>
        <v>8.1982070117549136E-10</v>
      </c>
      <c r="G142" s="43">
        <v>2.8632511262121096E-5</v>
      </c>
      <c r="H142" s="43">
        <v>2.3679641508073601E-8</v>
      </c>
      <c r="I142" s="43">
        <v>9.0589270008795075E-2</v>
      </c>
      <c r="J142" s="43">
        <v>0.17223218997361478</v>
      </c>
      <c r="L142">
        <f t="shared" si="15"/>
        <v>0</v>
      </c>
      <c r="M142" s="37">
        <f t="shared" si="16"/>
        <v>0</v>
      </c>
      <c r="N142" s="37">
        <f t="shared" si="17"/>
        <v>0</v>
      </c>
      <c r="O142" s="37">
        <f t="shared" si="18"/>
        <v>0</v>
      </c>
      <c r="P142" s="37">
        <f t="shared" si="19"/>
        <v>0</v>
      </c>
      <c r="Q142">
        <f t="shared" si="20"/>
        <v>0</v>
      </c>
    </row>
    <row r="143" spans="1:17">
      <c r="A143" s="1" t="s">
        <v>211</v>
      </c>
      <c r="B143" s="8" t="s">
        <v>238</v>
      </c>
      <c r="C143" s="1">
        <v>3</v>
      </c>
      <c r="D143" s="1">
        <v>0</v>
      </c>
      <c r="E143" s="43">
        <v>2.7588490081937815E-5</v>
      </c>
      <c r="F143" s="43">
        <f t="shared" si="14"/>
        <v>7.6112478500118118E-10</v>
      </c>
      <c r="G143" s="43">
        <v>1.6655008160953998E-5</v>
      </c>
      <c r="H143" s="43">
        <v>2.1852778205473578E-9</v>
      </c>
      <c r="I143" s="43">
        <v>1.3104487997216746E-2</v>
      </c>
      <c r="J143" s="43">
        <v>1.8924968108546908E-2</v>
      </c>
      <c r="L143">
        <f t="shared" si="15"/>
        <v>0</v>
      </c>
      <c r="M143" s="37">
        <f t="shared" si="16"/>
        <v>0</v>
      </c>
      <c r="N143" s="37">
        <f t="shared" si="17"/>
        <v>0</v>
      </c>
      <c r="O143" s="37">
        <f t="shared" si="18"/>
        <v>0</v>
      </c>
      <c r="P143" s="37">
        <f t="shared" si="19"/>
        <v>0</v>
      </c>
      <c r="Q143">
        <f t="shared" si="20"/>
        <v>0</v>
      </c>
    </row>
    <row r="144" spans="1:17">
      <c r="A144" s="1" t="s">
        <v>187</v>
      </c>
      <c r="B144" s="8" t="s">
        <v>237</v>
      </c>
      <c r="C144" s="1">
        <v>3</v>
      </c>
      <c r="D144" s="1">
        <v>0</v>
      </c>
      <c r="E144" s="43">
        <v>1.4178727701110738E-2</v>
      </c>
      <c r="F144" s="43">
        <f t="shared" si="14"/>
        <v>2.0103631922224497E-4</v>
      </c>
      <c r="G144" s="43">
        <v>5.0736965718673312E-3</v>
      </c>
      <c r="H144" s="43">
        <v>1.2902311380958304E-6</v>
      </c>
      <c r="I144" s="43">
        <v>0.91500000000000004</v>
      </c>
      <c r="J144" s="43">
        <v>7.2300945350945343</v>
      </c>
      <c r="L144">
        <f t="shared" si="15"/>
        <v>0</v>
      </c>
      <c r="M144" s="37">
        <f t="shared" si="16"/>
        <v>1</v>
      </c>
      <c r="N144" s="37">
        <f t="shared" si="17"/>
        <v>1</v>
      </c>
      <c r="O144" s="37">
        <f t="shared" si="18"/>
        <v>1</v>
      </c>
      <c r="P144" s="37">
        <f t="shared" si="19"/>
        <v>1</v>
      </c>
      <c r="Q144">
        <f t="shared" si="20"/>
        <v>1</v>
      </c>
    </row>
    <row r="145" spans="1:17">
      <c r="A145" s="1" t="s">
        <v>216</v>
      </c>
      <c r="B145" s="8" t="s">
        <v>237</v>
      </c>
      <c r="C145" s="1">
        <v>3</v>
      </c>
      <c r="D145" s="1">
        <v>0</v>
      </c>
      <c r="E145" s="43">
        <v>3.8176681682828127E-5</v>
      </c>
      <c r="F145" s="43">
        <f t="shared" si="14"/>
        <v>1.4574590243119846E-9</v>
      </c>
      <c r="G145" s="43">
        <v>3.8176681682828127E-5</v>
      </c>
      <c r="H145" s="43">
        <v>4.0319723065494699E-8</v>
      </c>
      <c r="I145" s="43">
        <v>0.17660510114335973</v>
      </c>
      <c r="J145" s="43">
        <v>0.23313280562884783</v>
      </c>
      <c r="L145">
        <f t="shared" si="15"/>
        <v>0</v>
      </c>
      <c r="M145" s="37">
        <f t="shared" si="16"/>
        <v>0</v>
      </c>
      <c r="N145" s="37">
        <f t="shared" si="17"/>
        <v>0</v>
      </c>
      <c r="O145" s="37">
        <f t="shared" si="18"/>
        <v>0</v>
      </c>
      <c r="P145" s="37">
        <f t="shared" si="19"/>
        <v>0</v>
      </c>
      <c r="Q145">
        <f t="shared" si="20"/>
        <v>0</v>
      </c>
    </row>
    <row r="146" spans="1:17">
      <c r="A146" s="1" t="s">
        <v>187</v>
      </c>
      <c r="B146" s="8" t="s">
        <v>247</v>
      </c>
      <c r="C146" s="1">
        <v>3</v>
      </c>
      <c r="D146" s="1">
        <v>0</v>
      </c>
      <c r="E146" s="43">
        <v>1.2622012790306295E-2</v>
      </c>
      <c r="F146" s="43">
        <f t="shared" si="14"/>
        <v>1.5931520687865569E-4</v>
      </c>
      <c r="G146" s="43">
        <v>4.5166438325228465E-3</v>
      </c>
      <c r="H146" s="43">
        <v>1.1472708557873627E-6</v>
      </c>
      <c r="I146" s="43">
        <v>0.67379999999999995</v>
      </c>
      <c r="J146" s="43">
        <v>6.4001554001554002</v>
      </c>
      <c r="L146">
        <f t="shared" si="15"/>
        <v>0</v>
      </c>
      <c r="M146" s="37">
        <f t="shared" si="16"/>
        <v>1</v>
      </c>
      <c r="N146" s="37">
        <f t="shared" si="17"/>
        <v>1</v>
      </c>
      <c r="O146" s="37">
        <f t="shared" si="18"/>
        <v>1</v>
      </c>
      <c r="P146" s="37">
        <f t="shared" si="19"/>
        <v>1</v>
      </c>
      <c r="Q146">
        <f t="shared" si="20"/>
        <v>1</v>
      </c>
    </row>
    <row r="147" spans="1:17">
      <c r="A147" s="1" t="s">
        <v>216</v>
      </c>
      <c r="B147" s="8" t="s">
        <v>247</v>
      </c>
      <c r="C147" s="1">
        <v>3</v>
      </c>
      <c r="D147" s="1">
        <v>0</v>
      </c>
      <c r="E147" s="43">
        <v>4.7720852103535159E-6</v>
      </c>
      <c r="F147" s="43">
        <f t="shared" si="14"/>
        <v>2.277279725487476E-11</v>
      </c>
      <c r="G147" s="43">
        <v>4.7720852103535159E-6</v>
      </c>
      <c r="H147" s="43">
        <v>2.731597275684197E-9</v>
      </c>
      <c r="I147" s="43">
        <v>5.0659630606860157E-2</v>
      </c>
      <c r="J147" s="43">
        <v>2.8978012313104665E-2</v>
      </c>
      <c r="L147">
        <f t="shared" si="15"/>
        <v>0</v>
      </c>
      <c r="M147" s="37">
        <f t="shared" si="16"/>
        <v>0</v>
      </c>
      <c r="N147" s="37">
        <f t="shared" si="17"/>
        <v>0</v>
      </c>
      <c r="O147" s="37">
        <f t="shared" si="18"/>
        <v>0</v>
      </c>
      <c r="P147" s="37">
        <f t="shared" si="19"/>
        <v>0</v>
      </c>
      <c r="Q147">
        <f t="shared" si="20"/>
        <v>0</v>
      </c>
    </row>
    <row r="148" spans="1:17">
      <c r="A148" s="1" t="s">
        <v>211</v>
      </c>
      <c r="B148" s="8" t="s">
        <v>247</v>
      </c>
      <c r="C148" s="1">
        <v>3</v>
      </c>
      <c r="D148" s="1">
        <v>0</v>
      </c>
      <c r="E148" s="43">
        <v>1.1338869423676443E-2</v>
      </c>
      <c r="F148" s="43">
        <f t="shared" si="14"/>
        <v>1.2856995980718453E-4</v>
      </c>
      <c r="G148" s="43">
        <v>6.8452083541520933E-3</v>
      </c>
      <c r="H148" s="43">
        <v>1.5843264198968343E-6</v>
      </c>
      <c r="I148" s="43">
        <v>0.84866055897019599</v>
      </c>
      <c r="J148" s="43">
        <v>7.8520398933085929</v>
      </c>
      <c r="L148">
        <f t="shared" si="15"/>
        <v>0</v>
      </c>
      <c r="M148" s="37">
        <f t="shared" si="16"/>
        <v>1</v>
      </c>
      <c r="N148" s="37">
        <f t="shared" si="17"/>
        <v>1</v>
      </c>
      <c r="O148" s="37">
        <f t="shared" si="18"/>
        <v>1</v>
      </c>
      <c r="P148" s="37">
        <f t="shared" si="19"/>
        <v>1</v>
      </c>
      <c r="Q148">
        <f t="shared" si="20"/>
        <v>1</v>
      </c>
    </row>
    <row r="149" spans="1:17">
      <c r="A149" s="1" t="s">
        <v>218</v>
      </c>
      <c r="B149" s="8" t="s">
        <v>240</v>
      </c>
      <c r="C149" s="1">
        <v>3</v>
      </c>
      <c r="D149" s="1">
        <v>0</v>
      </c>
      <c r="E149" s="43">
        <v>7.7942322681215901E-4</v>
      </c>
      <c r="F149" s="43">
        <f t="shared" si="14"/>
        <v>6.0750056649427829E-7</v>
      </c>
      <c r="G149" s="43">
        <v>2.8444107329098322E-4</v>
      </c>
      <c r="H149" s="43">
        <v>1.0839346915823388E-8</v>
      </c>
      <c r="I149" s="43">
        <v>5.7943416757344941E-2</v>
      </c>
      <c r="J149" s="43">
        <v>6.7075625680087056E-2</v>
      </c>
      <c r="L149">
        <f t="shared" si="15"/>
        <v>0</v>
      </c>
      <c r="M149" s="37">
        <f t="shared" si="16"/>
        <v>0</v>
      </c>
      <c r="N149" s="37">
        <f t="shared" si="17"/>
        <v>0</v>
      </c>
      <c r="O149" s="37">
        <f t="shared" si="18"/>
        <v>0</v>
      </c>
      <c r="P149" s="37">
        <f t="shared" si="19"/>
        <v>0</v>
      </c>
      <c r="Q149">
        <f t="shared" si="20"/>
        <v>0</v>
      </c>
    </row>
    <row r="150" spans="1:17">
      <c r="A150" s="1" t="s">
        <v>187</v>
      </c>
      <c r="B150" s="8" t="s">
        <v>240</v>
      </c>
      <c r="C150" s="1">
        <v>3</v>
      </c>
      <c r="D150" s="1">
        <v>0</v>
      </c>
      <c r="E150" s="43">
        <v>1.6408616627398183E-2</v>
      </c>
      <c r="F150" s="43">
        <f t="shared" si="14"/>
        <v>2.6924269962492814E-4</v>
      </c>
      <c r="G150" s="43">
        <v>5.8716369822797007E-3</v>
      </c>
      <c r="H150" s="43">
        <v>1.4904102009257159E-6</v>
      </c>
      <c r="I150" s="43">
        <v>0.83540000000000003</v>
      </c>
      <c r="J150" s="43">
        <v>8.3020202020202021</v>
      </c>
      <c r="L150">
        <f t="shared" si="15"/>
        <v>0</v>
      </c>
      <c r="M150" s="37">
        <f t="shared" si="16"/>
        <v>1</v>
      </c>
      <c r="N150" s="37">
        <f t="shared" si="17"/>
        <v>1</v>
      </c>
      <c r="O150" s="37">
        <f t="shared" si="18"/>
        <v>1</v>
      </c>
      <c r="P150" s="37">
        <f t="shared" si="19"/>
        <v>1</v>
      </c>
      <c r="Q150">
        <f t="shared" si="20"/>
        <v>1</v>
      </c>
    </row>
    <row r="151" spans="1:17">
      <c r="A151" s="1" t="s">
        <v>216</v>
      </c>
      <c r="B151" s="8" t="s">
        <v>240</v>
      </c>
      <c r="C151" s="1">
        <v>3</v>
      </c>
      <c r="D151" s="1">
        <v>0</v>
      </c>
      <c r="E151" s="43">
        <v>1.9088340841414064E-5</v>
      </c>
      <c r="F151" s="43">
        <f t="shared" si="14"/>
        <v>3.6436475607799615E-10</v>
      </c>
      <c r="G151" s="43">
        <v>1.9088340841414064E-5</v>
      </c>
      <c r="H151" s="43">
        <v>1.625902037373508E-8</v>
      </c>
      <c r="I151" s="43">
        <v>7.6517150395778361E-2</v>
      </c>
      <c r="J151" s="43">
        <v>0.11565875109938434</v>
      </c>
      <c r="L151">
        <f t="shared" si="15"/>
        <v>0</v>
      </c>
      <c r="M151" s="37">
        <f t="shared" si="16"/>
        <v>0</v>
      </c>
      <c r="N151" s="37">
        <f t="shared" si="17"/>
        <v>0</v>
      </c>
      <c r="O151" s="37">
        <f t="shared" si="18"/>
        <v>0</v>
      </c>
      <c r="P151" s="37">
        <f t="shared" si="19"/>
        <v>0</v>
      </c>
      <c r="Q151">
        <f t="shared" si="20"/>
        <v>0</v>
      </c>
    </row>
    <row r="152" spans="1:17">
      <c r="A152" s="1" t="s">
        <v>211</v>
      </c>
      <c r="B152" s="8" t="s">
        <v>240</v>
      </c>
      <c r="C152" s="1">
        <v>3</v>
      </c>
      <c r="D152" s="1">
        <v>0</v>
      </c>
      <c r="E152" s="43">
        <v>1.1090573012939002E-2</v>
      </c>
      <c r="F152" s="43">
        <f t="shared" si="14"/>
        <v>1.2300080975533088E-4</v>
      </c>
      <c r="G152" s="43">
        <v>6.6953132807035078E-3</v>
      </c>
      <c r="H152" s="43">
        <v>1.544606935504833E-6</v>
      </c>
      <c r="I152" s="43">
        <v>0.74973906992925898</v>
      </c>
      <c r="J152" s="43">
        <v>7.663314391743012</v>
      </c>
      <c r="L152">
        <f t="shared" si="15"/>
        <v>0</v>
      </c>
      <c r="M152" s="37">
        <f t="shared" si="16"/>
        <v>1</v>
      </c>
      <c r="N152" s="37">
        <f t="shared" si="17"/>
        <v>1</v>
      </c>
      <c r="O152" s="37">
        <f t="shared" si="18"/>
        <v>1</v>
      </c>
      <c r="P152" s="37">
        <f t="shared" si="19"/>
        <v>1</v>
      </c>
      <c r="Q152">
        <f t="shared" si="20"/>
        <v>1</v>
      </c>
    </row>
    <row r="153" spans="1:17">
      <c r="A153" s="1" t="s">
        <v>187</v>
      </c>
      <c r="B153" s="8" t="s">
        <v>260</v>
      </c>
      <c r="C153" s="1">
        <v>3</v>
      </c>
      <c r="D153" s="1">
        <v>0</v>
      </c>
      <c r="E153" s="43">
        <v>2.0615954224166948E-3</v>
      </c>
      <c r="F153" s="43">
        <f t="shared" si="14"/>
        <v>4.25017568572947E-6</v>
      </c>
      <c r="G153" s="43">
        <v>7.3771849264539827E-4</v>
      </c>
      <c r="H153" s="43">
        <v>1.8383614585321925E-7</v>
      </c>
      <c r="I153" s="43">
        <v>0.2074</v>
      </c>
      <c r="J153" s="43">
        <v>1.0461201761201762</v>
      </c>
      <c r="L153">
        <f t="shared" si="15"/>
        <v>0</v>
      </c>
      <c r="M153" s="37">
        <f t="shared" si="16"/>
        <v>0</v>
      </c>
      <c r="N153" s="37">
        <f t="shared" si="17"/>
        <v>0</v>
      </c>
      <c r="O153" s="37">
        <f t="shared" si="18"/>
        <v>0</v>
      </c>
      <c r="P153" s="37">
        <f t="shared" si="19"/>
        <v>0</v>
      </c>
      <c r="Q153">
        <f t="shared" si="20"/>
        <v>0</v>
      </c>
    </row>
    <row r="154" spans="1:17">
      <c r="A154" s="1" t="s">
        <v>217</v>
      </c>
      <c r="B154" s="8" t="s">
        <v>243</v>
      </c>
      <c r="C154" s="1">
        <v>3</v>
      </c>
      <c r="D154" s="1">
        <v>0</v>
      </c>
      <c r="E154" s="43">
        <v>3.6845101351662544E-6</v>
      </c>
      <c r="F154" s="43">
        <f t="shared" si="14"/>
        <v>1.3575614936142851E-11</v>
      </c>
      <c r="G154" s="43">
        <v>3.4566970913622324E-6</v>
      </c>
      <c r="H154" s="43">
        <v>6.8231148406697844E-9</v>
      </c>
      <c r="I154" s="43">
        <v>3.9851714550509731E-2</v>
      </c>
      <c r="J154" s="43">
        <v>3.4527855009782719E-2</v>
      </c>
      <c r="L154">
        <f t="shared" si="15"/>
        <v>0</v>
      </c>
      <c r="M154" s="37">
        <f t="shared" si="16"/>
        <v>0</v>
      </c>
      <c r="N154" s="37">
        <f t="shared" si="17"/>
        <v>0</v>
      </c>
      <c r="O154" s="37">
        <f t="shared" si="18"/>
        <v>0</v>
      </c>
      <c r="P154" s="37">
        <f t="shared" si="19"/>
        <v>0</v>
      </c>
      <c r="Q154">
        <f t="shared" si="20"/>
        <v>0</v>
      </c>
    </row>
    <row r="155" spans="1:17">
      <c r="A155" s="1" t="s">
        <v>216</v>
      </c>
      <c r="B155" s="8" t="s">
        <v>243</v>
      </c>
      <c r="C155" s="1">
        <v>3</v>
      </c>
      <c r="D155" s="1">
        <v>0</v>
      </c>
      <c r="E155" s="43">
        <v>9.5441704207070318E-6</v>
      </c>
      <c r="F155" s="43">
        <f t="shared" si="14"/>
        <v>9.1091189019499038E-11</v>
      </c>
      <c r="G155" s="43">
        <v>9.5441704207070318E-6</v>
      </c>
      <c r="H155" s="43">
        <v>6.8231148406697844E-9</v>
      </c>
      <c r="I155" s="43">
        <v>5.1715039577836415E-2</v>
      </c>
      <c r="J155" s="43">
        <v>5.8979771328056291E-2</v>
      </c>
      <c r="L155">
        <f t="shared" si="15"/>
        <v>0</v>
      </c>
      <c r="M155" s="37">
        <f t="shared" si="16"/>
        <v>0</v>
      </c>
      <c r="N155" s="37">
        <f t="shared" si="17"/>
        <v>0</v>
      </c>
      <c r="O155" s="37">
        <f t="shared" si="18"/>
        <v>0</v>
      </c>
      <c r="P155" s="37">
        <f t="shared" si="19"/>
        <v>0</v>
      </c>
      <c r="Q155">
        <f t="shared" si="20"/>
        <v>0</v>
      </c>
    </row>
    <row r="156" spans="1:17">
      <c r="A156" s="1" t="s">
        <v>216</v>
      </c>
      <c r="B156" s="8" t="s">
        <v>256</v>
      </c>
      <c r="C156" s="1">
        <v>3</v>
      </c>
      <c r="D156" s="1">
        <v>0</v>
      </c>
      <c r="E156" s="43">
        <v>6.8240818508055279E-4</v>
      </c>
      <c r="F156" s="43">
        <f t="shared" si="14"/>
        <v>4.6568093106493398E-7</v>
      </c>
      <c r="G156" s="43">
        <v>6.8240818508055279E-4</v>
      </c>
      <c r="H156" s="43">
        <v>5.6884234430032563E-7</v>
      </c>
      <c r="I156" s="43">
        <v>0.74898856640281442</v>
      </c>
      <c r="J156" s="43">
        <v>4.2329006156552333</v>
      </c>
      <c r="L156">
        <f t="shared" si="15"/>
        <v>0</v>
      </c>
      <c r="M156" s="37">
        <f t="shared" si="16"/>
        <v>0</v>
      </c>
      <c r="N156" s="37">
        <f t="shared" si="17"/>
        <v>1</v>
      </c>
      <c r="O156" s="37">
        <f t="shared" si="18"/>
        <v>1</v>
      </c>
      <c r="P156" s="37">
        <f t="shared" si="19"/>
        <v>1</v>
      </c>
      <c r="Q156">
        <f t="shared" si="20"/>
        <v>0</v>
      </c>
    </row>
    <row r="157" spans="1:17">
      <c r="A157" s="1" t="s">
        <v>187</v>
      </c>
      <c r="B157" s="8" t="s">
        <v>261</v>
      </c>
      <c r="C157" s="1">
        <v>3</v>
      </c>
      <c r="D157" s="1">
        <v>0</v>
      </c>
      <c r="E157" s="43">
        <v>0.18983507236620667</v>
      </c>
      <c r="F157" s="43">
        <f t="shared" si="14"/>
        <v>3.6037354700282923E-2</v>
      </c>
      <c r="G157" s="43">
        <v>6.793032324114362E-2</v>
      </c>
      <c r="H157" s="43">
        <v>1.7360484893925413E-5</v>
      </c>
      <c r="I157" s="43">
        <v>0.94120000000000004</v>
      </c>
      <c r="J157" s="43">
        <v>96.316767676767668</v>
      </c>
      <c r="L157">
        <f t="shared" si="15"/>
        <v>0</v>
      </c>
      <c r="M157" s="37">
        <f t="shared" si="16"/>
        <v>1</v>
      </c>
      <c r="N157" s="37">
        <f t="shared" si="17"/>
        <v>1</v>
      </c>
      <c r="O157" s="37">
        <f t="shared" si="18"/>
        <v>1</v>
      </c>
      <c r="P157" s="37">
        <f t="shared" si="19"/>
        <v>1</v>
      </c>
      <c r="Q157">
        <f t="shared" si="20"/>
        <v>1</v>
      </c>
    </row>
    <row r="158" spans="1:17">
      <c r="A158" s="1" t="s">
        <v>187</v>
      </c>
      <c r="B158" s="8" t="s">
        <v>259</v>
      </c>
      <c r="C158" s="1">
        <v>3</v>
      </c>
      <c r="D158" s="1">
        <v>0</v>
      </c>
      <c r="E158" s="43">
        <v>3.113429821608886E-3</v>
      </c>
      <c r="F158" s="43">
        <f t="shared" si="14"/>
        <v>9.6934452540835389E-6</v>
      </c>
      <c r="G158" s="43">
        <v>1.1141054786889689E-3</v>
      </c>
      <c r="H158" s="43">
        <v>2.9771081049033785E-7</v>
      </c>
      <c r="I158" s="43">
        <v>0.4572</v>
      </c>
      <c r="J158" s="43">
        <v>1.5833048433048433</v>
      </c>
      <c r="L158">
        <f t="shared" si="15"/>
        <v>0</v>
      </c>
      <c r="M158" s="37">
        <f t="shared" si="16"/>
        <v>1</v>
      </c>
      <c r="N158" s="37">
        <f t="shared" si="17"/>
        <v>1</v>
      </c>
      <c r="O158" s="37">
        <f t="shared" si="18"/>
        <v>1</v>
      </c>
      <c r="P158" s="37">
        <f t="shared" si="19"/>
        <v>1</v>
      </c>
      <c r="Q158">
        <f t="shared" si="20"/>
        <v>0</v>
      </c>
    </row>
    <row r="159" spans="1:17">
      <c r="A159" s="1" t="s">
        <v>217</v>
      </c>
      <c r="B159" s="8" t="s">
        <v>258</v>
      </c>
      <c r="C159" s="1">
        <v>3</v>
      </c>
      <c r="D159" s="1">
        <v>0</v>
      </c>
      <c r="E159" s="43">
        <v>5.5267652027493818E-6</v>
      </c>
      <c r="F159" s="43">
        <f t="shared" si="14"/>
        <v>3.0545133606321414E-11</v>
      </c>
      <c r="G159" s="43">
        <v>5.1850456370433484E-6</v>
      </c>
      <c r="H159" s="43">
        <v>1.1108481326980915E-8</v>
      </c>
      <c r="I159" s="43">
        <v>4.1190402636185772E-2</v>
      </c>
      <c r="J159" s="43">
        <v>5.1331479765214703E-2</v>
      </c>
      <c r="L159">
        <f t="shared" si="15"/>
        <v>0</v>
      </c>
      <c r="M159" s="37">
        <f t="shared" si="16"/>
        <v>0</v>
      </c>
      <c r="N159" s="37">
        <f t="shared" si="17"/>
        <v>0</v>
      </c>
      <c r="O159" s="37">
        <f t="shared" si="18"/>
        <v>0</v>
      </c>
      <c r="P159" s="37">
        <f t="shared" si="19"/>
        <v>0</v>
      </c>
      <c r="Q159">
        <f t="shared" si="20"/>
        <v>0</v>
      </c>
    </row>
    <row r="160" spans="1:17">
      <c r="A160" s="1" t="s">
        <v>217</v>
      </c>
      <c r="B160" s="8" t="s">
        <v>236</v>
      </c>
      <c r="C160" s="1">
        <v>3</v>
      </c>
      <c r="D160" s="1">
        <v>0</v>
      </c>
      <c r="E160" s="43">
        <v>1.8422550675831272E-6</v>
      </c>
      <c r="F160" s="43">
        <f t="shared" si="14"/>
        <v>3.3939037340357127E-12</v>
      </c>
      <c r="G160" s="43">
        <v>1.7283485456811162E-6</v>
      </c>
      <c r="H160" s="43">
        <v>4.3509605303848562E-9</v>
      </c>
      <c r="I160" s="43">
        <v>2.1110081351045206E-2</v>
      </c>
      <c r="J160" s="43">
        <v>1.7501802080115335E-2</v>
      </c>
      <c r="L160">
        <f t="shared" si="15"/>
        <v>0</v>
      </c>
      <c r="M160" s="37">
        <f t="shared" si="16"/>
        <v>0</v>
      </c>
      <c r="N160" s="37">
        <f t="shared" si="17"/>
        <v>0</v>
      </c>
      <c r="O160" s="37">
        <f t="shared" si="18"/>
        <v>0</v>
      </c>
      <c r="P160" s="37">
        <f t="shared" si="19"/>
        <v>0</v>
      </c>
      <c r="Q160">
        <f t="shared" si="20"/>
        <v>0</v>
      </c>
    </row>
    <row r="161" spans="1:17">
      <c r="A161" s="1" t="s">
        <v>216</v>
      </c>
      <c r="B161" s="8" t="s">
        <v>236</v>
      </c>
      <c r="C161" s="1">
        <v>3</v>
      </c>
      <c r="D161" s="1">
        <v>0</v>
      </c>
      <c r="E161" s="43">
        <v>4.2948766893181645E-5</v>
      </c>
      <c r="F161" s="43">
        <f t="shared" si="14"/>
        <v>1.8445965776448558E-9</v>
      </c>
      <c r="G161" s="43">
        <v>4.2948766893181645E-5</v>
      </c>
      <c r="H161" s="43">
        <v>3.480768424307885E-8</v>
      </c>
      <c r="I161" s="43">
        <v>0.13157431838170625</v>
      </c>
      <c r="J161" s="43">
        <v>0.26906596306068603</v>
      </c>
      <c r="L161">
        <f t="shared" si="15"/>
        <v>0</v>
      </c>
      <c r="M161" s="37">
        <f t="shared" si="16"/>
        <v>0</v>
      </c>
      <c r="N161" s="37">
        <f t="shared" si="17"/>
        <v>0</v>
      </c>
      <c r="O161" s="37">
        <f t="shared" si="18"/>
        <v>0</v>
      </c>
      <c r="P161" s="37">
        <f t="shared" si="19"/>
        <v>0</v>
      </c>
      <c r="Q161">
        <f t="shared" si="20"/>
        <v>0</v>
      </c>
    </row>
    <row r="162" spans="1:17">
      <c r="A162" s="1" t="s">
        <v>211</v>
      </c>
      <c r="B162" s="8" t="s">
        <v>236</v>
      </c>
      <c r="C162" s="1">
        <v>3</v>
      </c>
      <c r="D162" s="1">
        <v>0</v>
      </c>
      <c r="E162" s="43">
        <v>5.5176980163875629E-5</v>
      </c>
      <c r="F162" s="43">
        <f t="shared" si="14"/>
        <v>3.0444991400047247E-9</v>
      </c>
      <c r="G162" s="43">
        <v>3.3310016321907995E-5</v>
      </c>
      <c r="H162" s="43">
        <v>8.7019210607697125E-9</v>
      </c>
      <c r="I162" s="43">
        <v>2.7368665197727009E-2</v>
      </c>
      <c r="J162" s="43">
        <v>3.9420155398353245E-2</v>
      </c>
      <c r="L162">
        <f t="shared" si="15"/>
        <v>0</v>
      </c>
      <c r="M162" s="37">
        <f t="shared" si="16"/>
        <v>0</v>
      </c>
      <c r="N162" s="37">
        <f t="shared" si="17"/>
        <v>0</v>
      </c>
      <c r="O162" s="37">
        <f t="shared" si="18"/>
        <v>0</v>
      </c>
      <c r="P162" s="37">
        <f t="shared" si="19"/>
        <v>0</v>
      </c>
      <c r="Q162">
        <f t="shared" si="20"/>
        <v>0</v>
      </c>
    </row>
    <row r="163" spans="1:17">
      <c r="A163" s="1" t="s">
        <v>187</v>
      </c>
      <c r="B163" s="8" t="s">
        <v>250</v>
      </c>
      <c r="C163" s="1">
        <v>3</v>
      </c>
      <c r="D163" s="1">
        <v>0</v>
      </c>
      <c r="E163" s="43">
        <v>3.7866038370918884E-4</v>
      </c>
      <c r="F163" s="43">
        <f t="shared" si="14"/>
        <v>1.4338368619079013E-7</v>
      </c>
      <c r="G163" s="43">
        <v>1.354993149756854E-4</v>
      </c>
      <c r="H163" s="43">
        <v>3.5516566370398515E-8</v>
      </c>
      <c r="I163" s="43">
        <v>0.1464</v>
      </c>
      <c r="J163" s="43">
        <v>0.18902097902097903</v>
      </c>
      <c r="L163">
        <f t="shared" si="15"/>
        <v>0</v>
      </c>
      <c r="M163" s="37">
        <f t="shared" si="16"/>
        <v>0</v>
      </c>
      <c r="N163" s="37">
        <f t="shared" si="17"/>
        <v>0</v>
      </c>
      <c r="O163" s="37">
        <f t="shared" si="18"/>
        <v>0</v>
      </c>
      <c r="P163" s="37">
        <f t="shared" si="19"/>
        <v>0</v>
      </c>
      <c r="Q163">
        <f t="shared" si="20"/>
        <v>0</v>
      </c>
    </row>
    <row r="164" spans="1:17">
      <c r="A164" s="1" t="s">
        <v>216</v>
      </c>
      <c r="B164" s="8" t="s">
        <v>250</v>
      </c>
      <c r="C164" s="1">
        <v>3</v>
      </c>
      <c r="D164" s="1">
        <v>0</v>
      </c>
      <c r="E164" s="43">
        <v>7.1581278155302737E-5</v>
      </c>
      <c r="F164" s="43">
        <f t="shared" si="14"/>
        <v>5.1238793823468206E-9</v>
      </c>
      <c r="G164" s="43">
        <v>7.1581278155302737E-5</v>
      </c>
      <c r="H164" s="43">
        <v>3.9462851522665018E-8</v>
      </c>
      <c r="I164" s="43">
        <v>0.12172383465259455</v>
      </c>
      <c r="J164" s="43">
        <v>0.42791556728232194</v>
      </c>
      <c r="L164">
        <f t="shared" si="15"/>
        <v>0</v>
      </c>
      <c r="M164" s="37">
        <f t="shared" si="16"/>
        <v>0</v>
      </c>
      <c r="N164" s="37">
        <f t="shared" si="17"/>
        <v>0</v>
      </c>
      <c r="O164" s="37">
        <f t="shared" si="18"/>
        <v>0</v>
      </c>
      <c r="P164" s="37">
        <f t="shared" si="19"/>
        <v>0</v>
      </c>
      <c r="Q164">
        <f t="shared" si="20"/>
        <v>0</v>
      </c>
    </row>
    <row r="165" spans="1:17">
      <c r="A165" s="1" t="s">
        <v>211</v>
      </c>
      <c r="B165" s="8" t="s">
        <v>250</v>
      </c>
      <c r="C165" s="1">
        <v>3</v>
      </c>
      <c r="D165" s="1">
        <v>0</v>
      </c>
      <c r="E165" s="43">
        <v>2.7588490081937815E-5</v>
      </c>
      <c r="F165" s="43">
        <f t="shared" si="14"/>
        <v>7.6112478500118118E-10</v>
      </c>
      <c r="G165" s="43">
        <v>1.6655008160953998E-5</v>
      </c>
      <c r="H165" s="43">
        <v>3.9462851522665015E-9</v>
      </c>
      <c r="I165" s="43">
        <v>2.2382001623564886E-2</v>
      </c>
      <c r="J165" s="43">
        <v>1.8807839499014264E-2</v>
      </c>
      <c r="L165">
        <f t="shared" si="15"/>
        <v>0</v>
      </c>
      <c r="M165" s="37">
        <f t="shared" si="16"/>
        <v>0</v>
      </c>
      <c r="N165" s="37">
        <f t="shared" si="17"/>
        <v>0</v>
      </c>
      <c r="O165" s="37">
        <f t="shared" si="18"/>
        <v>0</v>
      </c>
      <c r="P165" s="37">
        <f t="shared" si="19"/>
        <v>0</v>
      </c>
      <c r="Q165">
        <f t="shared" si="20"/>
        <v>0</v>
      </c>
    </row>
    <row r="166" spans="1:17">
      <c r="A166" s="1" t="s">
        <v>216</v>
      </c>
      <c r="B166" s="8" t="s">
        <v>253</v>
      </c>
      <c r="C166" s="1">
        <v>3</v>
      </c>
      <c r="D166" s="1">
        <v>0</v>
      </c>
      <c r="E166" s="43">
        <v>2.3860426051767581E-5</v>
      </c>
      <c r="F166" s="43">
        <f t="shared" si="14"/>
        <v>5.6931993137186907E-10</v>
      </c>
      <c r="G166" s="43">
        <v>2.3860426051767581E-5</v>
      </c>
      <c r="H166" s="43">
        <v>2.0909949425196077E-8</v>
      </c>
      <c r="I166" s="43">
        <v>8.0035180299032546E-2</v>
      </c>
      <c r="J166" s="43">
        <v>0.14700967458223396</v>
      </c>
      <c r="L166">
        <f t="shared" si="15"/>
        <v>0</v>
      </c>
      <c r="M166" s="37">
        <f t="shared" si="16"/>
        <v>0</v>
      </c>
      <c r="N166" s="37">
        <f t="shared" si="17"/>
        <v>0</v>
      </c>
      <c r="O166" s="37">
        <f t="shared" si="18"/>
        <v>0</v>
      </c>
      <c r="P166" s="37">
        <f t="shared" si="19"/>
        <v>0</v>
      </c>
      <c r="Q166">
        <f t="shared" si="20"/>
        <v>0</v>
      </c>
    </row>
    <row r="167" spans="1:17">
      <c r="A167" s="1" t="s">
        <v>216</v>
      </c>
      <c r="B167" s="8" t="s">
        <v>251</v>
      </c>
      <c r="C167" s="1">
        <v>3</v>
      </c>
      <c r="D167" s="1">
        <v>0</v>
      </c>
      <c r="E167" s="43">
        <v>3.8176681682828127E-5</v>
      </c>
      <c r="F167" s="43">
        <f t="shared" si="14"/>
        <v>1.4574590243119846E-9</v>
      </c>
      <c r="G167" s="43">
        <v>3.8176681682828127E-5</v>
      </c>
      <c r="H167" s="43">
        <v>3.1933446121909689E-8</v>
      </c>
      <c r="I167" s="43">
        <v>0.13649956024626209</v>
      </c>
      <c r="J167" s="43">
        <v>0.23846613896218119</v>
      </c>
      <c r="L167">
        <f t="shared" si="15"/>
        <v>0</v>
      </c>
      <c r="M167" s="37">
        <f t="shared" si="16"/>
        <v>0</v>
      </c>
      <c r="N167" s="37">
        <f t="shared" si="17"/>
        <v>0</v>
      </c>
      <c r="O167" s="37">
        <f t="shared" si="18"/>
        <v>0</v>
      </c>
      <c r="P167" s="37">
        <f t="shared" si="19"/>
        <v>0</v>
      </c>
      <c r="Q167">
        <f t="shared" si="20"/>
        <v>0</v>
      </c>
    </row>
    <row r="168" spans="1:17">
      <c r="A168" s="1" t="s">
        <v>217</v>
      </c>
      <c r="B168" s="8" t="s">
        <v>239</v>
      </c>
      <c r="C168" s="1">
        <v>3</v>
      </c>
      <c r="D168" s="1">
        <v>0</v>
      </c>
      <c r="E168" s="43">
        <v>5.5267652027493818E-6</v>
      </c>
      <c r="F168" s="43">
        <f t="shared" si="14"/>
        <v>3.0545133606321414E-11</v>
      </c>
      <c r="G168" s="43">
        <v>5.1850456370433484E-6</v>
      </c>
      <c r="H168" s="43">
        <v>1.1552749665916359E-8</v>
      </c>
      <c r="I168" s="43">
        <v>3.9233858510966946E-2</v>
      </c>
      <c r="J168" s="43">
        <v>5.042940994748224E-2</v>
      </c>
      <c r="L168">
        <f t="shared" si="15"/>
        <v>0</v>
      </c>
      <c r="M168" s="37">
        <f t="shared" si="16"/>
        <v>0</v>
      </c>
      <c r="N168" s="37">
        <f t="shared" si="17"/>
        <v>0</v>
      </c>
      <c r="O168" s="37">
        <f t="shared" si="18"/>
        <v>0</v>
      </c>
      <c r="P168" s="37">
        <f t="shared" si="19"/>
        <v>0</v>
      </c>
      <c r="Q168">
        <f t="shared" si="20"/>
        <v>0</v>
      </c>
    </row>
    <row r="169" spans="1:17">
      <c r="A169" s="1" t="s">
        <v>216</v>
      </c>
      <c r="B169" s="8" t="s">
        <v>239</v>
      </c>
      <c r="C169" s="1">
        <v>3</v>
      </c>
      <c r="D169" s="1">
        <v>0</v>
      </c>
      <c r="E169" s="43">
        <v>2.3860426051767581E-5</v>
      </c>
      <c r="F169" s="43">
        <f t="shared" si="14"/>
        <v>5.6931993137186907E-10</v>
      </c>
      <c r="G169" s="43">
        <v>2.3860426051767581E-5</v>
      </c>
      <c r="H169" s="43">
        <v>1.9254582776527263E-8</v>
      </c>
      <c r="I169" s="43">
        <v>6.9656992084432712E-2</v>
      </c>
      <c r="J169" s="43">
        <v>0.143570800351803</v>
      </c>
      <c r="L169">
        <f t="shared" si="15"/>
        <v>0</v>
      </c>
      <c r="M169" s="37">
        <f t="shared" si="16"/>
        <v>0</v>
      </c>
      <c r="N169" s="37">
        <f t="shared" si="17"/>
        <v>0</v>
      </c>
      <c r="O169" s="37">
        <f t="shared" si="18"/>
        <v>0</v>
      </c>
      <c r="P169" s="37">
        <f t="shared" si="19"/>
        <v>0</v>
      </c>
      <c r="Q169">
        <f t="shared" si="20"/>
        <v>0</v>
      </c>
    </row>
    <row r="170" spans="1:17">
      <c r="A170" s="1" t="s">
        <v>211</v>
      </c>
      <c r="B170" s="8" t="s">
        <v>239</v>
      </c>
      <c r="C170" s="1">
        <v>3</v>
      </c>
      <c r="D170" s="1">
        <v>0</v>
      </c>
      <c r="E170" s="43">
        <v>2.7588490081937815E-5</v>
      </c>
      <c r="F170" s="43">
        <f t="shared" si="14"/>
        <v>7.6112478500118118E-10</v>
      </c>
      <c r="G170" s="43">
        <v>1.6655008160953998E-5</v>
      </c>
      <c r="H170" s="43">
        <v>3.8509165553054528E-9</v>
      </c>
      <c r="I170" s="43">
        <v>1.7395338049402759E-2</v>
      </c>
      <c r="J170" s="43">
        <v>1.893076655456338E-2</v>
      </c>
      <c r="L170">
        <f t="shared" si="15"/>
        <v>0</v>
      </c>
      <c r="M170" s="37">
        <f t="shared" si="16"/>
        <v>0</v>
      </c>
      <c r="N170" s="37">
        <f t="shared" si="17"/>
        <v>0</v>
      </c>
      <c r="O170" s="37">
        <f t="shared" si="18"/>
        <v>0</v>
      </c>
      <c r="P170" s="37">
        <f t="shared" si="19"/>
        <v>0</v>
      </c>
      <c r="Q170">
        <f t="shared" si="20"/>
        <v>0</v>
      </c>
    </row>
    <row r="171" spans="1:17">
      <c r="A171" s="1" t="s">
        <v>217</v>
      </c>
      <c r="B171" s="8" t="s">
        <v>242</v>
      </c>
      <c r="C171" s="1">
        <v>3</v>
      </c>
      <c r="D171" s="1">
        <v>0</v>
      </c>
      <c r="E171" s="43">
        <v>7.3690202703325089E-6</v>
      </c>
      <c r="F171" s="43">
        <f t="shared" si="14"/>
        <v>5.4302459744571403E-11</v>
      </c>
      <c r="G171" s="43">
        <v>6.9133941827244648E-6</v>
      </c>
      <c r="H171" s="43">
        <v>1.45676241691961E-8</v>
      </c>
      <c r="I171" s="43">
        <v>4.1705282669138088E-2</v>
      </c>
      <c r="J171" s="43">
        <v>6.6345381526104419E-2</v>
      </c>
      <c r="L171">
        <f t="shared" si="15"/>
        <v>0</v>
      </c>
      <c r="M171" s="37">
        <f t="shared" si="16"/>
        <v>0</v>
      </c>
      <c r="N171" s="37">
        <f t="shared" si="17"/>
        <v>0</v>
      </c>
      <c r="O171" s="37">
        <f t="shared" si="18"/>
        <v>0</v>
      </c>
      <c r="P171" s="37">
        <f t="shared" si="19"/>
        <v>0</v>
      </c>
      <c r="Q171">
        <f t="shared" si="20"/>
        <v>0</v>
      </c>
    </row>
    <row r="172" spans="1:17">
      <c r="A172" s="1" t="s">
        <v>216</v>
      </c>
      <c r="B172" s="8" t="s">
        <v>242</v>
      </c>
      <c r="C172" s="1">
        <v>3</v>
      </c>
      <c r="D172" s="1">
        <v>0</v>
      </c>
      <c r="E172" s="43">
        <v>9.5441704207070318E-6</v>
      </c>
      <c r="F172" s="43">
        <f t="shared" si="14"/>
        <v>9.1091189019499038E-11</v>
      </c>
      <c r="G172" s="43">
        <v>9.5441704207070318E-6</v>
      </c>
      <c r="H172" s="43">
        <v>8.74057450151766E-9</v>
      </c>
      <c r="I172" s="43">
        <v>2.6561125769569042E-2</v>
      </c>
      <c r="J172" s="43">
        <v>5.6664907651715037E-2</v>
      </c>
      <c r="L172">
        <f t="shared" si="15"/>
        <v>0</v>
      </c>
      <c r="M172" s="37">
        <f t="shared" si="16"/>
        <v>0</v>
      </c>
      <c r="N172" s="37">
        <f t="shared" si="17"/>
        <v>0</v>
      </c>
      <c r="O172" s="37">
        <f t="shared" si="18"/>
        <v>0</v>
      </c>
      <c r="P172" s="37">
        <f t="shared" si="19"/>
        <v>0</v>
      </c>
      <c r="Q172">
        <f t="shared" si="20"/>
        <v>0</v>
      </c>
    </row>
    <row r="173" spans="1:17">
      <c r="A173" s="1" t="s">
        <v>211</v>
      </c>
      <c r="B173" s="8" t="s">
        <v>242</v>
      </c>
      <c r="C173" s="1">
        <v>3</v>
      </c>
      <c r="D173" s="1">
        <v>0</v>
      </c>
      <c r="E173" s="43">
        <v>8.2765470245813451E-5</v>
      </c>
      <c r="F173" s="43">
        <f t="shared" si="14"/>
        <v>6.850123065010632E-9</v>
      </c>
      <c r="G173" s="43">
        <v>4.9965024482862E-5</v>
      </c>
      <c r="H173" s="43">
        <v>1.1654099335356879E-8</v>
      </c>
      <c r="I173" s="43">
        <v>4.6039661370752639E-2</v>
      </c>
      <c r="J173" s="43">
        <v>5.603734199234605E-2</v>
      </c>
      <c r="L173">
        <f t="shared" si="15"/>
        <v>0</v>
      </c>
      <c r="M173" s="37">
        <f t="shared" si="16"/>
        <v>0</v>
      </c>
      <c r="N173" s="37">
        <f t="shared" si="17"/>
        <v>0</v>
      </c>
      <c r="O173" s="37">
        <f t="shared" si="18"/>
        <v>0</v>
      </c>
      <c r="P173" s="37">
        <f t="shared" si="19"/>
        <v>0</v>
      </c>
      <c r="Q173">
        <f t="shared" si="20"/>
        <v>0</v>
      </c>
    </row>
    <row r="174" spans="1:17">
      <c r="A174" s="1" t="s">
        <v>217</v>
      </c>
      <c r="B174" s="8" t="s">
        <v>245</v>
      </c>
      <c r="C174" s="1">
        <v>3</v>
      </c>
      <c r="D174" s="1">
        <v>0</v>
      </c>
      <c r="E174" s="43">
        <v>5.5267652027493818E-6</v>
      </c>
      <c r="F174" s="43">
        <f t="shared" si="14"/>
        <v>3.0545133606321414E-11</v>
      </c>
      <c r="G174" s="43">
        <v>5.1850456370433484E-6</v>
      </c>
      <c r="H174" s="43">
        <v>1.0601491366918597E-8</v>
      </c>
      <c r="I174" s="43">
        <v>3.4496962207805584E-2</v>
      </c>
      <c r="J174" s="43">
        <v>5.1306765523632995E-2</v>
      </c>
      <c r="L174">
        <f t="shared" si="15"/>
        <v>0</v>
      </c>
      <c r="M174" s="37">
        <f t="shared" si="16"/>
        <v>0</v>
      </c>
      <c r="N174" s="37">
        <f t="shared" si="17"/>
        <v>0</v>
      </c>
      <c r="O174" s="37">
        <f t="shared" si="18"/>
        <v>0</v>
      </c>
      <c r="P174" s="37">
        <f t="shared" si="19"/>
        <v>0</v>
      </c>
      <c r="Q174">
        <f t="shared" si="20"/>
        <v>0</v>
      </c>
    </row>
    <row r="175" spans="1:17">
      <c r="A175" s="1" t="s">
        <v>187</v>
      </c>
      <c r="B175" s="8" t="s">
        <v>245</v>
      </c>
      <c r="C175" s="1">
        <v>3</v>
      </c>
      <c r="D175" s="1">
        <v>0</v>
      </c>
      <c r="E175" s="43">
        <v>1.0097610232245036E-3</v>
      </c>
      <c r="F175" s="43">
        <f t="shared" si="14"/>
        <v>1.0196173240233964E-6</v>
      </c>
      <c r="G175" s="43">
        <v>3.6133150660182776E-4</v>
      </c>
      <c r="H175" s="43">
        <v>1.0601491366918598E-7</v>
      </c>
      <c r="I175" s="43">
        <v>0.16339999999999999</v>
      </c>
      <c r="J175" s="43">
        <v>0.5161771561771562</v>
      </c>
      <c r="L175">
        <f t="shared" si="15"/>
        <v>0</v>
      </c>
      <c r="M175" s="37">
        <f t="shared" si="16"/>
        <v>0</v>
      </c>
      <c r="N175" s="37">
        <f t="shared" si="17"/>
        <v>0</v>
      </c>
      <c r="O175" s="37">
        <f t="shared" si="18"/>
        <v>0</v>
      </c>
      <c r="P175" s="37">
        <f t="shared" si="19"/>
        <v>0</v>
      </c>
      <c r="Q175">
        <f t="shared" si="20"/>
        <v>0</v>
      </c>
    </row>
    <row r="176" spans="1:17">
      <c r="A176" s="1" t="s">
        <v>216</v>
      </c>
      <c r="B176" s="8" t="s">
        <v>245</v>
      </c>
      <c r="C176" s="1">
        <v>3</v>
      </c>
      <c r="D176" s="1">
        <v>0</v>
      </c>
      <c r="E176" s="43">
        <v>4.7720852103535159E-6</v>
      </c>
      <c r="F176" s="43">
        <f t="shared" si="14"/>
        <v>2.277279725487476E-11</v>
      </c>
      <c r="G176" s="43">
        <v>4.7720852103535159E-6</v>
      </c>
      <c r="H176" s="43">
        <v>3.5338304556395323E-9</v>
      </c>
      <c r="I176" s="43">
        <v>2.6385224274406333E-2</v>
      </c>
      <c r="J176" s="43">
        <v>2.9213720316622692E-2</v>
      </c>
      <c r="L176">
        <f t="shared" si="15"/>
        <v>0</v>
      </c>
      <c r="M176" s="37">
        <f t="shared" si="16"/>
        <v>0</v>
      </c>
      <c r="N176" s="37">
        <f t="shared" si="17"/>
        <v>0</v>
      </c>
      <c r="O176" s="37">
        <f t="shared" si="18"/>
        <v>0</v>
      </c>
      <c r="P176" s="37">
        <f t="shared" si="19"/>
        <v>0</v>
      </c>
      <c r="Q176">
        <f t="shared" si="20"/>
        <v>0</v>
      </c>
    </row>
    <row r="177" spans="1:17">
      <c r="A177" s="1" t="s">
        <v>217</v>
      </c>
      <c r="B177" s="8" t="s">
        <v>244</v>
      </c>
      <c r="C177" s="1">
        <v>3</v>
      </c>
      <c r="D177" s="1">
        <v>0</v>
      </c>
      <c r="E177" s="43">
        <v>1.8422550675831272E-6</v>
      </c>
      <c r="F177" s="43">
        <f t="shared" si="14"/>
        <v>3.3939037340357127E-12</v>
      </c>
      <c r="G177" s="43">
        <v>1.7283485456811162E-6</v>
      </c>
      <c r="H177" s="43">
        <v>3.7652555629244916E-9</v>
      </c>
      <c r="I177" s="43">
        <v>1.5549376995160128E-2</v>
      </c>
      <c r="J177" s="43">
        <v>1.7076511172896717E-2</v>
      </c>
      <c r="L177">
        <f t="shared" si="15"/>
        <v>0</v>
      </c>
      <c r="M177" s="37">
        <f t="shared" si="16"/>
        <v>0</v>
      </c>
      <c r="N177" s="37">
        <f t="shared" si="17"/>
        <v>0</v>
      </c>
      <c r="O177" s="37">
        <f t="shared" si="18"/>
        <v>0</v>
      </c>
      <c r="P177" s="37">
        <f t="shared" si="19"/>
        <v>0</v>
      </c>
      <c r="Q177">
        <f t="shared" si="20"/>
        <v>0</v>
      </c>
    </row>
    <row r="178" spans="1:17">
      <c r="A178" s="1" t="s">
        <v>187</v>
      </c>
      <c r="B178" s="8" t="s">
        <v>244</v>
      </c>
      <c r="C178" s="1">
        <v>3</v>
      </c>
      <c r="D178" s="1">
        <v>0</v>
      </c>
      <c r="E178" s="43">
        <v>3.3237967014473242E-3</v>
      </c>
      <c r="F178" s="43">
        <f t="shared" si="14"/>
        <v>1.1047624512552113E-5</v>
      </c>
      <c r="G178" s="43">
        <v>1.1893828758976831E-3</v>
      </c>
      <c r="H178" s="43">
        <v>3.0122044503395932E-7</v>
      </c>
      <c r="I178" s="43">
        <v>0.35909999999999997</v>
      </c>
      <c r="J178" s="43">
        <v>1.6965255115255118</v>
      </c>
      <c r="L178">
        <f t="shared" si="15"/>
        <v>0</v>
      </c>
      <c r="M178" s="37">
        <f t="shared" si="16"/>
        <v>1</v>
      </c>
      <c r="N178" s="37">
        <f t="shared" si="17"/>
        <v>1</v>
      </c>
      <c r="O178" s="37">
        <f t="shared" si="18"/>
        <v>1</v>
      </c>
      <c r="P178" s="37">
        <f t="shared" si="19"/>
        <v>1</v>
      </c>
      <c r="Q178">
        <f t="shared" si="20"/>
        <v>0</v>
      </c>
    </row>
    <row r="179" spans="1:17">
      <c r="A179" s="1" t="s">
        <v>216</v>
      </c>
      <c r="B179" s="8" t="s">
        <v>244</v>
      </c>
      <c r="C179" s="1">
        <v>3</v>
      </c>
      <c r="D179" s="1">
        <v>0</v>
      </c>
      <c r="E179" s="43">
        <v>4.7720852103535159E-6</v>
      </c>
      <c r="F179" s="43">
        <f t="shared" si="14"/>
        <v>2.277279725487476E-11</v>
      </c>
      <c r="G179" s="43">
        <v>4.7720852103535159E-6</v>
      </c>
      <c r="H179" s="43">
        <v>3.7652555629244916E-9</v>
      </c>
      <c r="I179" s="43">
        <v>2.1459982409850482E-2</v>
      </c>
      <c r="J179" s="43">
        <v>2.9169744942832015E-2</v>
      </c>
      <c r="L179">
        <f t="shared" si="15"/>
        <v>0</v>
      </c>
      <c r="M179" s="37">
        <f t="shared" si="16"/>
        <v>0</v>
      </c>
      <c r="N179" s="37">
        <f t="shared" si="17"/>
        <v>0</v>
      </c>
      <c r="O179" s="37">
        <f t="shared" si="18"/>
        <v>0</v>
      </c>
      <c r="P179" s="37">
        <f t="shared" si="19"/>
        <v>0</v>
      </c>
      <c r="Q179">
        <f t="shared" si="20"/>
        <v>0</v>
      </c>
    </row>
    <row r="180" spans="1:17">
      <c r="A180" s="1" t="s">
        <v>217</v>
      </c>
      <c r="B180" s="8" t="s">
        <v>246</v>
      </c>
      <c r="C180" s="1">
        <v>3</v>
      </c>
      <c r="D180" s="1">
        <v>0</v>
      </c>
      <c r="E180" s="43">
        <v>1.6396070101489831E-4</v>
      </c>
      <c r="F180" s="43">
        <f t="shared" si="14"/>
        <v>2.6883111477296874E-8</v>
      </c>
      <c r="G180" s="43">
        <v>1.5382302056561934E-4</v>
      </c>
      <c r="H180" s="43">
        <v>3.6070719314570479E-7</v>
      </c>
      <c r="I180" s="43">
        <v>0.79548965091133761</v>
      </c>
      <c r="J180" s="43">
        <v>1.4950643600041189</v>
      </c>
      <c r="L180">
        <f t="shared" si="15"/>
        <v>0</v>
      </c>
      <c r="M180" s="37">
        <f t="shared" si="16"/>
        <v>0</v>
      </c>
      <c r="N180" s="37">
        <f t="shared" si="17"/>
        <v>1</v>
      </c>
      <c r="O180" s="37">
        <f t="shared" si="18"/>
        <v>1</v>
      </c>
      <c r="P180" s="37">
        <f t="shared" si="19"/>
        <v>0</v>
      </c>
      <c r="Q180">
        <f t="shared" si="20"/>
        <v>0</v>
      </c>
    </row>
    <row r="181" spans="1:17">
      <c r="A181" s="1" t="s">
        <v>216</v>
      </c>
      <c r="B181" s="8" t="s">
        <v>246</v>
      </c>
      <c r="C181" s="1">
        <v>3</v>
      </c>
      <c r="D181" s="1">
        <v>0</v>
      </c>
      <c r="E181" s="43">
        <v>4.7720852103535159E-6</v>
      </c>
      <c r="F181" s="43">
        <f t="shared" si="14"/>
        <v>2.277279725487476E-11</v>
      </c>
      <c r="G181" s="43">
        <v>4.7720852103535159E-6</v>
      </c>
      <c r="H181" s="43">
        <v>4.5088399143213099E-9</v>
      </c>
      <c r="I181" s="43">
        <v>2.6385224274406333E-2</v>
      </c>
      <c r="J181" s="43">
        <v>2.8694810905892699E-2</v>
      </c>
      <c r="L181">
        <f t="shared" si="15"/>
        <v>0</v>
      </c>
      <c r="M181" s="37">
        <f t="shared" si="16"/>
        <v>0</v>
      </c>
      <c r="N181" s="37">
        <f t="shared" si="17"/>
        <v>0</v>
      </c>
      <c r="O181" s="37">
        <f t="shared" si="18"/>
        <v>0</v>
      </c>
      <c r="P181" s="37">
        <f t="shared" si="19"/>
        <v>0</v>
      </c>
      <c r="Q181">
        <f t="shared" si="20"/>
        <v>0</v>
      </c>
    </row>
    <row r="182" spans="1:17">
      <c r="A182" s="1" t="s">
        <v>187</v>
      </c>
      <c r="B182" s="8" t="s">
        <v>241</v>
      </c>
      <c r="C182" s="1">
        <v>3</v>
      </c>
      <c r="D182" s="1">
        <v>0</v>
      </c>
      <c r="E182" s="43">
        <v>3.2775159878828675E-2</v>
      </c>
      <c r="F182" s="43">
        <f t="shared" si="14"/>
        <v>1.0742111050827808E-3</v>
      </c>
      <c r="G182" s="43">
        <v>1.1728218485117658E-2</v>
      </c>
      <c r="H182" s="43">
        <v>2.9922648951057774E-6</v>
      </c>
      <c r="I182" s="43">
        <v>0.96579999999999999</v>
      </c>
      <c r="J182" s="43">
        <v>16.511127946127946</v>
      </c>
      <c r="L182">
        <f t="shared" si="15"/>
        <v>0</v>
      </c>
      <c r="M182" s="37">
        <f t="shared" si="16"/>
        <v>1</v>
      </c>
      <c r="N182" s="37">
        <f t="shared" si="17"/>
        <v>1</v>
      </c>
      <c r="O182" s="37">
        <f t="shared" si="18"/>
        <v>1</v>
      </c>
      <c r="P182" s="37">
        <f t="shared" si="19"/>
        <v>1</v>
      </c>
      <c r="Q182">
        <f t="shared" si="20"/>
        <v>1</v>
      </c>
    </row>
    <row r="183" spans="1:17">
      <c r="A183" s="1" t="s">
        <v>216</v>
      </c>
      <c r="B183" s="8" t="s">
        <v>241</v>
      </c>
      <c r="C183" s="1">
        <v>3</v>
      </c>
      <c r="D183" s="1">
        <v>0</v>
      </c>
      <c r="E183" s="43">
        <v>1.9088340841414064E-5</v>
      </c>
      <c r="F183" s="43">
        <f t="shared" si="14"/>
        <v>3.6436475607799615E-10</v>
      </c>
      <c r="G183" s="43">
        <v>1.9088340841414064E-5</v>
      </c>
      <c r="H183" s="43">
        <v>1.5150708329649507E-8</v>
      </c>
      <c r="I183" s="43">
        <v>8.1090589270008798E-2</v>
      </c>
      <c r="J183" s="43">
        <v>0.11515919085312225</v>
      </c>
      <c r="L183">
        <f t="shared" si="15"/>
        <v>0</v>
      </c>
      <c r="M183" s="37">
        <f t="shared" si="16"/>
        <v>0</v>
      </c>
      <c r="N183" s="37">
        <f t="shared" si="17"/>
        <v>0</v>
      </c>
      <c r="O183" s="37">
        <f t="shared" si="18"/>
        <v>0</v>
      </c>
      <c r="P183" s="37">
        <f t="shared" si="19"/>
        <v>0</v>
      </c>
      <c r="Q183">
        <f t="shared" si="20"/>
        <v>0</v>
      </c>
    </row>
    <row r="184" spans="1:17">
      <c r="A184" s="1" t="s">
        <v>217</v>
      </c>
      <c r="B184" s="8" t="s">
        <v>257</v>
      </c>
      <c r="C184" s="1">
        <v>3</v>
      </c>
      <c r="D184" s="1">
        <v>0</v>
      </c>
      <c r="E184" s="43">
        <v>1.8422550675831272E-6</v>
      </c>
      <c r="F184" s="43">
        <f t="shared" si="14"/>
        <v>3.3939037340357127E-12</v>
      </c>
      <c r="G184" s="43">
        <v>1.7283485456811162E-6</v>
      </c>
      <c r="H184" s="43">
        <v>3.5124053968310397E-9</v>
      </c>
      <c r="I184" s="43">
        <v>2.4096385542168676E-2</v>
      </c>
      <c r="J184" s="43">
        <v>1.6595613222119245E-2</v>
      </c>
      <c r="L184">
        <f t="shared" si="15"/>
        <v>0</v>
      </c>
      <c r="M184" s="37">
        <f t="shared" si="16"/>
        <v>0</v>
      </c>
      <c r="N184" s="37">
        <f t="shared" si="17"/>
        <v>0</v>
      </c>
      <c r="O184" s="37">
        <f t="shared" si="18"/>
        <v>0</v>
      </c>
      <c r="P184" s="37">
        <f t="shared" si="19"/>
        <v>0</v>
      </c>
      <c r="Q184">
        <f t="shared" si="20"/>
        <v>0</v>
      </c>
    </row>
    <row r="185" spans="1:17">
      <c r="A185" s="1" t="s">
        <v>217</v>
      </c>
      <c r="B185" s="8" t="s">
        <v>255</v>
      </c>
      <c r="C185" s="1">
        <v>3</v>
      </c>
      <c r="D185" s="1">
        <v>1</v>
      </c>
      <c r="E185" s="43">
        <v>8.6070156757483696E-3</v>
      </c>
      <c r="F185" s="43">
        <f t="shared" si="14"/>
        <v>7.4080718842578163E-5</v>
      </c>
      <c r="G185" s="43">
        <v>8.0748444054221744E-3</v>
      </c>
      <c r="H185" s="43">
        <v>1.7958991957292697E-5</v>
      </c>
      <c r="I185" s="43">
        <v>1</v>
      </c>
      <c r="J185" s="43">
        <v>78.934717330861901</v>
      </c>
      <c r="L185">
        <f t="shared" si="15"/>
        <v>0</v>
      </c>
      <c r="M185" s="37">
        <f t="shared" si="16"/>
        <v>1</v>
      </c>
      <c r="N185" s="37">
        <f t="shared" si="17"/>
        <v>1</v>
      </c>
      <c r="O185" s="37">
        <f t="shared" si="18"/>
        <v>1</v>
      </c>
      <c r="P185" s="37">
        <f t="shared" si="19"/>
        <v>1</v>
      </c>
      <c r="Q185">
        <f t="shared" si="20"/>
        <v>1</v>
      </c>
    </row>
    <row r="186" spans="1:17">
      <c r="A186" s="1" t="s">
        <v>217</v>
      </c>
      <c r="B186" s="8" t="s">
        <v>248</v>
      </c>
      <c r="C186" s="1">
        <v>3</v>
      </c>
      <c r="D186" s="1">
        <v>1</v>
      </c>
      <c r="E186" s="43">
        <v>4.0934907601697084E-3</v>
      </c>
      <c r="F186" s="43">
        <f t="shared" si="14"/>
        <v>1.6756666603594776E-5</v>
      </c>
      <c r="G186" s="43">
        <v>3.8403904685034404E-3</v>
      </c>
      <c r="H186" s="43">
        <v>8.5323298935818468E-6</v>
      </c>
      <c r="I186" s="43">
        <v>0.92678405931417984</v>
      </c>
      <c r="J186" s="43">
        <v>37.838753990320257</v>
      </c>
      <c r="L186">
        <f t="shared" si="15"/>
        <v>0</v>
      </c>
      <c r="M186" s="37">
        <f t="shared" si="16"/>
        <v>1</v>
      </c>
      <c r="N186" s="37">
        <f t="shared" si="17"/>
        <v>1</v>
      </c>
      <c r="O186" s="37">
        <f t="shared" si="18"/>
        <v>1</v>
      </c>
      <c r="P186" s="37">
        <f t="shared" si="19"/>
        <v>1</v>
      </c>
      <c r="Q186">
        <f t="shared" si="20"/>
        <v>1</v>
      </c>
    </row>
    <row r="187" spans="1:17">
      <c r="A187" s="1" t="s">
        <v>217</v>
      </c>
      <c r="B187" s="8" t="s">
        <v>254</v>
      </c>
      <c r="C187" s="1">
        <v>3</v>
      </c>
      <c r="D187" s="1">
        <v>1</v>
      </c>
      <c r="E187" s="43">
        <v>1.4010349788969681E-2</v>
      </c>
      <c r="F187" s="43">
        <f t="shared" si="14"/>
        <v>1.9628990120928278E-4</v>
      </c>
      <c r="G187" s="43">
        <v>1.3144090689904889E-2</v>
      </c>
      <c r="H187" s="43">
        <v>2.9187303598177191E-5</v>
      </c>
      <c r="I187" s="43">
        <v>1</v>
      </c>
      <c r="J187" s="43">
        <v>127.7210843373494</v>
      </c>
      <c r="L187">
        <f t="shared" si="15"/>
        <v>0</v>
      </c>
      <c r="M187" s="37">
        <f t="shared" si="16"/>
        <v>1</v>
      </c>
      <c r="N187" s="37">
        <f t="shared" si="17"/>
        <v>1</v>
      </c>
      <c r="O187" s="37">
        <f t="shared" si="18"/>
        <v>1</v>
      </c>
      <c r="P187" s="37">
        <f t="shared" si="19"/>
        <v>1</v>
      </c>
      <c r="Q187">
        <f t="shared" si="20"/>
        <v>1</v>
      </c>
    </row>
    <row r="188" spans="1:17">
      <c r="A188" s="1" t="s">
        <v>219</v>
      </c>
      <c r="B188" s="8" t="s">
        <v>249</v>
      </c>
      <c r="C188" s="1">
        <v>3</v>
      </c>
      <c r="D188" s="1">
        <v>1</v>
      </c>
      <c r="E188" s="43">
        <v>1</v>
      </c>
      <c r="F188" s="43">
        <f t="shared" si="14"/>
        <v>1</v>
      </c>
      <c r="G188" s="43">
        <v>0.81725888324873097</v>
      </c>
      <c r="H188" s="43">
        <v>2.4813798048737624E-6</v>
      </c>
      <c r="I188" s="43">
        <v>1</v>
      </c>
      <c r="J188" s="43">
        <v>16.452407754846782</v>
      </c>
      <c r="L188">
        <f t="shared" si="15"/>
        <v>1</v>
      </c>
      <c r="M188" s="37">
        <f t="shared" si="16"/>
        <v>1</v>
      </c>
      <c r="N188" s="37">
        <f t="shared" si="17"/>
        <v>1</v>
      </c>
      <c r="O188" s="37">
        <f t="shared" si="18"/>
        <v>1</v>
      </c>
      <c r="P188" s="37">
        <f t="shared" si="19"/>
        <v>1</v>
      </c>
      <c r="Q188">
        <f t="shared" si="20"/>
        <v>1</v>
      </c>
    </row>
    <row r="189" spans="1:17">
      <c r="A189" s="1" t="s">
        <v>187</v>
      </c>
      <c r="B189" s="8" t="s">
        <v>252</v>
      </c>
      <c r="C189" s="1">
        <v>3</v>
      </c>
      <c r="D189" s="1">
        <v>1</v>
      </c>
      <c r="E189" s="43">
        <v>0.28332211376640859</v>
      </c>
      <c r="F189" s="43">
        <f t="shared" si="14"/>
        <v>8.027142014906577E-2</v>
      </c>
      <c r="G189" s="43">
        <v>0.10138359856069616</v>
      </c>
      <c r="H189" s="43">
        <v>2.5924940056542027E-5</v>
      </c>
      <c r="I189" s="43">
        <v>0.7843</v>
      </c>
      <c r="J189" s="43">
        <v>144.04585858585861</v>
      </c>
      <c r="L189">
        <f t="shared" si="15"/>
        <v>0</v>
      </c>
      <c r="M189" s="37">
        <f t="shared" si="16"/>
        <v>1</v>
      </c>
      <c r="N189" s="37">
        <f t="shared" si="17"/>
        <v>1</v>
      </c>
      <c r="O189" s="37">
        <f t="shared" si="18"/>
        <v>1</v>
      </c>
      <c r="P189" s="37">
        <f t="shared" si="19"/>
        <v>1</v>
      </c>
      <c r="Q189">
        <f t="shared" si="20"/>
        <v>1</v>
      </c>
    </row>
    <row r="190" spans="1:17">
      <c r="A190" s="1" t="s">
        <v>187</v>
      </c>
      <c r="B190" s="8" t="s">
        <v>262</v>
      </c>
      <c r="C190" s="1">
        <v>3</v>
      </c>
      <c r="D190" s="1">
        <v>1</v>
      </c>
      <c r="E190" s="43">
        <v>0.283406260518344</v>
      </c>
      <c r="F190" s="43">
        <f t="shared" si="14"/>
        <v>8.0319108500991471E-2</v>
      </c>
      <c r="G190" s="43">
        <v>0.10141370951957965</v>
      </c>
      <c r="H190" s="43">
        <v>2.5902687912285604E-5</v>
      </c>
      <c r="I190" s="43">
        <v>0.94120000000000004</v>
      </c>
      <c r="J190" s="43">
        <v>145.85071225071223</v>
      </c>
      <c r="L190">
        <f t="shared" si="15"/>
        <v>0</v>
      </c>
      <c r="M190" s="37">
        <f t="shared" si="16"/>
        <v>1</v>
      </c>
      <c r="N190" s="37">
        <f t="shared" si="17"/>
        <v>1</v>
      </c>
      <c r="O190" s="37">
        <f t="shared" si="18"/>
        <v>1</v>
      </c>
      <c r="P190" s="37">
        <f t="shared" si="19"/>
        <v>1</v>
      </c>
      <c r="Q190">
        <f t="shared" si="20"/>
        <v>1</v>
      </c>
    </row>
    <row r="191" spans="1:17">
      <c r="A191" s="1" t="s">
        <v>218</v>
      </c>
      <c r="B191" s="8" t="s">
        <v>243</v>
      </c>
      <c r="C191" s="1">
        <v>3</v>
      </c>
      <c r="D191" s="1">
        <v>1</v>
      </c>
      <c r="E191" s="43">
        <v>0.45258508703559364</v>
      </c>
      <c r="F191" s="43">
        <f t="shared" si="14"/>
        <v>0.20483326100701588</v>
      </c>
      <c r="G191" s="43">
        <v>0.16516544989096427</v>
      </c>
      <c r="H191" s="43">
        <v>6.6866525438563886E-6</v>
      </c>
      <c r="I191" s="43">
        <v>0.27815560391730143</v>
      </c>
      <c r="J191" s="43">
        <v>39.723381392818283</v>
      </c>
      <c r="L191">
        <f t="shared" si="15"/>
        <v>0</v>
      </c>
      <c r="M191" s="37">
        <f t="shared" si="16"/>
        <v>1</v>
      </c>
      <c r="N191" s="37">
        <f t="shared" si="17"/>
        <v>1</v>
      </c>
      <c r="O191" s="37">
        <f t="shared" si="18"/>
        <v>0</v>
      </c>
      <c r="P191" s="37">
        <f t="shared" si="19"/>
        <v>1</v>
      </c>
      <c r="Q191">
        <f t="shared" si="20"/>
        <v>1</v>
      </c>
    </row>
    <row r="192" spans="1:17">
      <c r="A192" s="1" t="s">
        <v>187</v>
      </c>
      <c r="B192" s="8" t="s">
        <v>243</v>
      </c>
      <c r="C192" s="1">
        <v>3</v>
      </c>
      <c r="D192" s="1">
        <v>1</v>
      </c>
      <c r="E192" s="43">
        <v>0.19829182093571188</v>
      </c>
      <c r="F192" s="43">
        <f t="shared" si="14"/>
        <v>3.9319646250000423E-2</v>
      </c>
      <c r="G192" s="43">
        <v>7.0956474608933923E-2</v>
      </c>
      <c r="H192" s="43">
        <v>1.8149485476181627E-5</v>
      </c>
      <c r="I192" s="43">
        <v>0.94120000000000004</v>
      </c>
      <c r="J192" s="43">
        <v>102.32251359751361</v>
      </c>
      <c r="L192">
        <f t="shared" si="15"/>
        <v>0</v>
      </c>
      <c r="M192" s="37">
        <f t="shared" si="16"/>
        <v>1</v>
      </c>
      <c r="N192" s="37">
        <f t="shared" si="17"/>
        <v>1</v>
      </c>
      <c r="O192" s="37">
        <f t="shared" si="18"/>
        <v>1</v>
      </c>
      <c r="P192" s="37">
        <f t="shared" si="19"/>
        <v>1</v>
      </c>
      <c r="Q192">
        <f t="shared" si="20"/>
        <v>1</v>
      </c>
    </row>
    <row r="193" spans="1:17">
      <c r="A193" s="1" t="s">
        <v>218</v>
      </c>
      <c r="B193" s="8" t="s">
        <v>256</v>
      </c>
      <c r="C193" s="1">
        <v>3</v>
      </c>
      <c r="D193" s="1">
        <v>1</v>
      </c>
      <c r="E193" s="43">
        <v>0.17692907248636008</v>
      </c>
      <c r="F193" s="43">
        <f t="shared" si="14"/>
        <v>3.1303896690883661E-2</v>
      </c>
      <c r="G193" s="43">
        <v>6.4568123637053193E-2</v>
      </c>
      <c r="H193" s="43">
        <v>2.6004221453729176E-6</v>
      </c>
      <c r="I193" s="43">
        <v>0.2532644178454842</v>
      </c>
      <c r="J193" s="43">
        <v>15.58741566920566</v>
      </c>
      <c r="L193">
        <f t="shared" si="15"/>
        <v>0</v>
      </c>
      <c r="M193" s="37">
        <f t="shared" si="16"/>
        <v>1</v>
      </c>
      <c r="N193" s="37">
        <f t="shared" si="17"/>
        <v>1</v>
      </c>
      <c r="O193" s="37">
        <f t="shared" si="18"/>
        <v>0</v>
      </c>
      <c r="P193" s="37">
        <f t="shared" si="19"/>
        <v>1</v>
      </c>
      <c r="Q193">
        <f t="shared" si="20"/>
        <v>1</v>
      </c>
    </row>
    <row r="194" spans="1:17">
      <c r="A194" s="1" t="s">
        <v>187</v>
      </c>
      <c r="B194" s="8" t="s">
        <v>256</v>
      </c>
      <c r="C194" s="1">
        <v>3</v>
      </c>
      <c r="D194" s="1">
        <v>1</v>
      </c>
      <c r="E194" s="43">
        <v>0.10678222820599124</v>
      </c>
      <c r="F194" s="43">
        <f t="shared" ref="F194:F257" si="21">E194*E194</f>
        <v>1.1402444260636392E-2</v>
      </c>
      <c r="G194" s="43">
        <v>3.8210806823143283E-2</v>
      </c>
      <c r="H194" s="43">
        <v>9.7515830451484418E-6</v>
      </c>
      <c r="I194" s="43">
        <v>0.95289999999999997</v>
      </c>
      <c r="J194" s="43">
        <v>55.330603470603471</v>
      </c>
      <c r="L194">
        <f t="shared" ref="L194:L257" si="22">IF(E194&gt;$S$3,1,0)</f>
        <v>0</v>
      </c>
      <c r="M194" s="37">
        <f t="shared" ref="M194:M257" si="23">IF(G194&gt;$T$3,1,0)</f>
        <v>1</v>
      </c>
      <c r="N194" s="37">
        <f t="shared" ref="N194:N257" si="24">IF(H194&gt;$U$3,1,0)</f>
        <v>1</v>
      </c>
      <c r="O194" s="37">
        <f t="shared" ref="O194:O257" si="25">IF(I194&gt;$V$3,1,0)</f>
        <v>1</v>
      </c>
      <c r="P194" s="37">
        <f t="shared" ref="P194:P257" si="26">IF(J194&gt;$W$3,1,0)</f>
        <v>1</v>
      </c>
      <c r="Q194">
        <f t="shared" ref="Q194:Q257" si="27">IF(E194&gt;$X$3,1,0)</f>
        <v>1</v>
      </c>
    </row>
    <row r="195" spans="1:17">
      <c r="A195" s="1" t="s">
        <v>218</v>
      </c>
      <c r="B195" s="8" t="s">
        <v>261</v>
      </c>
      <c r="C195" s="1">
        <v>3</v>
      </c>
      <c r="D195" s="1">
        <v>1</v>
      </c>
      <c r="E195" s="43">
        <v>0.37178487918939984</v>
      </c>
      <c r="F195" s="43">
        <f t="shared" si="21"/>
        <v>0.13822399639387664</v>
      </c>
      <c r="G195" s="43">
        <v>0.135678391959799</v>
      </c>
      <c r="H195" s="43">
        <v>5.5112650456906082E-6</v>
      </c>
      <c r="I195" s="43">
        <v>0.21218715995647444</v>
      </c>
      <c r="J195" s="43">
        <v>32.084608269858542</v>
      </c>
      <c r="L195">
        <f t="shared" si="22"/>
        <v>0</v>
      </c>
      <c r="M195" s="37">
        <f t="shared" si="23"/>
        <v>1</v>
      </c>
      <c r="N195" s="37">
        <f t="shared" si="24"/>
        <v>1</v>
      </c>
      <c r="O195" s="37">
        <f t="shared" si="25"/>
        <v>0</v>
      </c>
      <c r="P195" s="37">
        <f t="shared" si="26"/>
        <v>1</v>
      </c>
      <c r="Q195">
        <f t="shared" si="27"/>
        <v>1</v>
      </c>
    </row>
    <row r="196" spans="1:17">
      <c r="A196" s="1" t="s">
        <v>218</v>
      </c>
      <c r="B196" s="8" t="s">
        <v>259</v>
      </c>
      <c r="C196" s="1">
        <v>3</v>
      </c>
      <c r="D196" s="1">
        <v>1</v>
      </c>
      <c r="E196" s="43">
        <v>0.11769290724863601</v>
      </c>
      <c r="F196" s="43">
        <f t="shared" si="21"/>
        <v>1.385162041663604E-2</v>
      </c>
      <c r="G196" s="43">
        <v>4.2950602066938466E-2</v>
      </c>
      <c r="H196" s="43">
        <v>1.7490510116307352E-6</v>
      </c>
      <c r="I196" s="43">
        <v>0.18403155603917301</v>
      </c>
      <c r="J196" s="43">
        <v>10.180176822633298</v>
      </c>
      <c r="L196">
        <f t="shared" si="22"/>
        <v>0</v>
      </c>
      <c r="M196" s="37">
        <f t="shared" si="23"/>
        <v>1</v>
      </c>
      <c r="N196" s="37">
        <f t="shared" si="24"/>
        <v>1</v>
      </c>
      <c r="O196" s="37">
        <f t="shared" si="25"/>
        <v>0</v>
      </c>
      <c r="P196" s="37">
        <f t="shared" si="26"/>
        <v>1</v>
      </c>
      <c r="Q196">
        <f t="shared" si="27"/>
        <v>1</v>
      </c>
    </row>
    <row r="197" spans="1:17">
      <c r="A197" s="1" t="s">
        <v>218</v>
      </c>
      <c r="B197" s="8" t="s">
        <v>258</v>
      </c>
      <c r="C197" s="1">
        <v>3</v>
      </c>
      <c r="D197" s="1">
        <v>1</v>
      </c>
      <c r="E197" s="43">
        <v>0.19017926734216681</v>
      </c>
      <c r="F197" s="43">
        <f t="shared" si="21"/>
        <v>3.6168153726803355E-2</v>
      </c>
      <c r="G197" s="43">
        <v>6.9403621882999908E-2</v>
      </c>
      <c r="H197" s="43">
        <v>2.8141486028351654E-6</v>
      </c>
      <c r="I197" s="43">
        <v>0.16961371055495103</v>
      </c>
      <c r="J197" s="43">
        <v>16.54367791077258</v>
      </c>
      <c r="L197">
        <f t="shared" si="22"/>
        <v>0</v>
      </c>
      <c r="M197" s="37">
        <f t="shared" si="23"/>
        <v>1</v>
      </c>
      <c r="N197" s="37">
        <f t="shared" si="24"/>
        <v>1</v>
      </c>
      <c r="O197" s="37">
        <f t="shared" si="25"/>
        <v>0</v>
      </c>
      <c r="P197" s="37">
        <f t="shared" si="26"/>
        <v>1</v>
      </c>
      <c r="Q197">
        <f t="shared" si="27"/>
        <v>1</v>
      </c>
    </row>
    <row r="198" spans="1:17">
      <c r="A198" s="1" t="s">
        <v>187</v>
      </c>
      <c r="B198" s="8" t="s">
        <v>258</v>
      </c>
      <c r="C198" s="1">
        <v>3</v>
      </c>
      <c r="D198" s="1">
        <v>1</v>
      </c>
      <c r="E198" s="43">
        <v>0.36860484685291151</v>
      </c>
      <c r="F198" s="43">
        <f t="shared" si="21"/>
        <v>0.13586953312345834</v>
      </c>
      <c r="G198" s="43">
        <v>0.13190105538910887</v>
      </c>
      <c r="H198" s="43">
        <v>3.3695726691842113E-5</v>
      </c>
      <c r="I198" s="43">
        <v>0.94120000000000004</v>
      </c>
      <c r="J198" s="43">
        <v>188.51693343693344</v>
      </c>
      <c r="L198">
        <f t="shared" si="22"/>
        <v>0</v>
      </c>
      <c r="M198" s="37">
        <f t="shared" si="23"/>
        <v>1</v>
      </c>
      <c r="N198" s="37">
        <f t="shared" si="24"/>
        <v>1</v>
      </c>
      <c r="O198" s="37">
        <f t="shared" si="25"/>
        <v>1</v>
      </c>
      <c r="P198" s="37">
        <f t="shared" si="26"/>
        <v>1</v>
      </c>
      <c r="Q198">
        <f t="shared" si="27"/>
        <v>1</v>
      </c>
    </row>
    <row r="199" spans="1:17">
      <c r="A199" s="1" t="s">
        <v>218</v>
      </c>
      <c r="B199" s="8" t="s">
        <v>236</v>
      </c>
      <c r="C199" s="1">
        <v>3</v>
      </c>
      <c r="D199" s="1">
        <v>1</v>
      </c>
      <c r="E199" s="43">
        <v>5.6897895557287609E-2</v>
      </c>
      <c r="F199" s="43">
        <f t="shared" si="21"/>
        <v>3.2373705188480091E-3</v>
      </c>
      <c r="G199" s="43">
        <v>2.0764198350241774E-2</v>
      </c>
      <c r="H199" s="43">
        <v>8.2668250077312276E-7</v>
      </c>
      <c r="I199" s="43">
        <v>0.1192872687704026</v>
      </c>
      <c r="J199" s="43">
        <v>5.0627366702937984</v>
      </c>
      <c r="L199">
        <f t="shared" si="22"/>
        <v>0</v>
      </c>
      <c r="M199" s="37">
        <f t="shared" si="23"/>
        <v>1</v>
      </c>
      <c r="N199" s="37">
        <f t="shared" si="24"/>
        <v>1</v>
      </c>
      <c r="O199" s="37">
        <f t="shared" si="25"/>
        <v>0</v>
      </c>
      <c r="P199" s="37">
        <f t="shared" si="26"/>
        <v>1</v>
      </c>
      <c r="Q199">
        <f t="shared" si="27"/>
        <v>1</v>
      </c>
    </row>
    <row r="200" spans="1:17">
      <c r="A200" s="1" t="s">
        <v>187</v>
      </c>
      <c r="B200" s="8" t="s">
        <v>236</v>
      </c>
      <c r="C200" s="1">
        <v>3</v>
      </c>
      <c r="D200" s="1">
        <v>1</v>
      </c>
      <c r="E200" s="43">
        <v>0.15554527095254123</v>
      </c>
      <c r="F200" s="43">
        <f t="shared" si="21"/>
        <v>2.4194331315699466E-2</v>
      </c>
      <c r="G200" s="43">
        <v>5.5660107496123212E-2</v>
      </c>
      <c r="H200" s="43">
        <v>1.4227640934358478E-5</v>
      </c>
      <c r="I200" s="43">
        <v>0.94120000000000004</v>
      </c>
      <c r="J200" s="43">
        <v>81.370385910385906</v>
      </c>
      <c r="L200">
        <f t="shared" si="22"/>
        <v>0</v>
      </c>
      <c r="M200" s="37">
        <f t="shared" si="23"/>
        <v>1</v>
      </c>
      <c r="N200" s="37">
        <f t="shared" si="24"/>
        <v>1</v>
      </c>
      <c r="O200" s="37">
        <f t="shared" si="25"/>
        <v>1</v>
      </c>
      <c r="P200" s="37">
        <f t="shared" si="26"/>
        <v>1</v>
      </c>
      <c r="Q200">
        <f t="shared" si="27"/>
        <v>1</v>
      </c>
    </row>
    <row r="201" spans="1:17">
      <c r="A201" s="1" t="s">
        <v>218</v>
      </c>
      <c r="B201" s="8" t="s">
        <v>253</v>
      </c>
      <c r="C201" s="1">
        <v>3</v>
      </c>
      <c r="D201" s="1">
        <v>1</v>
      </c>
      <c r="E201" s="43">
        <v>5.3520394907768248E-2</v>
      </c>
      <c r="F201" s="43">
        <f t="shared" si="21"/>
        <v>2.8644326710834654E-3</v>
      </c>
      <c r="G201" s="43">
        <v>1.9531620365980849E-2</v>
      </c>
      <c r="H201" s="43">
        <v>8.0154806129918308E-7</v>
      </c>
      <c r="I201" s="43">
        <v>0.18158324265505985</v>
      </c>
      <c r="J201" s="43">
        <v>4.6834738846572366</v>
      </c>
      <c r="L201">
        <f t="shared" si="22"/>
        <v>0</v>
      </c>
      <c r="M201" s="37">
        <f t="shared" si="23"/>
        <v>1</v>
      </c>
      <c r="N201" s="37">
        <f t="shared" si="24"/>
        <v>1</v>
      </c>
      <c r="O201" s="37">
        <f t="shared" si="25"/>
        <v>0</v>
      </c>
      <c r="P201" s="37">
        <f t="shared" si="26"/>
        <v>1</v>
      </c>
      <c r="Q201">
        <f t="shared" si="27"/>
        <v>1</v>
      </c>
    </row>
    <row r="202" spans="1:17">
      <c r="A202" s="1" t="s">
        <v>217</v>
      </c>
      <c r="B202" s="8" t="s">
        <v>253</v>
      </c>
      <c r="C202" s="1">
        <v>3</v>
      </c>
      <c r="D202" s="1">
        <v>1</v>
      </c>
      <c r="E202" s="43">
        <v>1.6147365667366111E-2</v>
      </c>
      <c r="F202" s="43">
        <f t="shared" si="21"/>
        <v>2.607374179956338E-4</v>
      </c>
      <c r="G202" s="43">
        <v>1.5148975002894983E-2</v>
      </c>
      <c r="H202" s="43">
        <v>3.373471840598301E-5</v>
      </c>
      <c r="I202" s="43">
        <v>0.87529605601894755</v>
      </c>
      <c r="J202" s="43">
        <v>150.86703223149007</v>
      </c>
      <c r="L202">
        <f t="shared" si="22"/>
        <v>0</v>
      </c>
      <c r="M202" s="37">
        <f t="shared" si="23"/>
        <v>1</v>
      </c>
      <c r="N202" s="37">
        <f t="shared" si="24"/>
        <v>1</v>
      </c>
      <c r="O202" s="37">
        <f t="shared" si="25"/>
        <v>1</v>
      </c>
      <c r="P202" s="37">
        <f t="shared" si="26"/>
        <v>1</v>
      </c>
      <c r="Q202">
        <f t="shared" si="27"/>
        <v>1</v>
      </c>
    </row>
    <row r="203" spans="1:17">
      <c r="A203" s="1" t="s">
        <v>219</v>
      </c>
      <c r="B203" s="8" t="s">
        <v>253</v>
      </c>
      <c r="C203" s="1">
        <v>3</v>
      </c>
      <c r="D203" s="1">
        <v>1</v>
      </c>
      <c r="E203" s="43">
        <v>0.12577639751552794</v>
      </c>
      <c r="F203" s="43">
        <f t="shared" si="21"/>
        <v>1.5819702171984102E-2</v>
      </c>
      <c r="G203" s="43">
        <v>0.10279187817258884</v>
      </c>
      <c r="H203" s="43">
        <v>3.1364924137794124E-7</v>
      </c>
      <c r="I203" s="43">
        <v>0.93808630393996251</v>
      </c>
      <c r="J203" s="43">
        <v>2.1168151969981239</v>
      </c>
      <c r="L203">
        <f t="shared" si="22"/>
        <v>0</v>
      </c>
      <c r="M203" s="37">
        <f t="shared" si="23"/>
        <v>1</v>
      </c>
      <c r="N203" s="37">
        <f t="shared" si="24"/>
        <v>1</v>
      </c>
      <c r="O203" s="37">
        <f t="shared" si="25"/>
        <v>1</v>
      </c>
      <c r="P203" s="37">
        <f t="shared" si="26"/>
        <v>1</v>
      </c>
      <c r="Q203">
        <f t="shared" si="27"/>
        <v>1</v>
      </c>
    </row>
    <row r="204" spans="1:17">
      <c r="A204" s="1" t="s">
        <v>187</v>
      </c>
      <c r="B204" s="8" t="s">
        <v>253</v>
      </c>
      <c r="C204" s="1">
        <v>3</v>
      </c>
      <c r="D204" s="1">
        <v>1</v>
      </c>
      <c r="E204" s="43">
        <v>0.13606529787950186</v>
      </c>
      <c r="F204" s="43">
        <f t="shared" si="21"/>
        <v>1.8513765287037572E-2</v>
      </c>
      <c r="G204" s="43">
        <v>4.8689420514596286E-2</v>
      </c>
      <c r="H204" s="43">
        <v>1.2476269823700328E-5</v>
      </c>
      <c r="I204" s="43">
        <v>1</v>
      </c>
      <c r="J204" s="43">
        <v>70.197804972804988</v>
      </c>
      <c r="L204">
        <f t="shared" si="22"/>
        <v>0</v>
      </c>
      <c r="M204" s="37">
        <f t="shared" si="23"/>
        <v>1</v>
      </c>
      <c r="N204" s="37">
        <f t="shared" si="24"/>
        <v>1</v>
      </c>
      <c r="O204" s="37">
        <f t="shared" si="25"/>
        <v>1</v>
      </c>
      <c r="P204" s="37">
        <f t="shared" si="26"/>
        <v>1</v>
      </c>
      <c r="Q204">
        <f t="shared" si="27"/>
        <v>1</v>
      </c>
    </row>
    <row r="205" spans="1:17">
      <c r="A205" s="1" t="s">
        <v>211</v>
      </c>
      <c r="B205" s="8" t="s">
        <v>253</v>
      </c>
      <c r="C205" s="1">
        <v>3</v>
      </c>
      <c r="D205" s="1">
        <v>1</v>
      </c>
      <c r="E205" s="43">
        <v>1</v>
      </c>
      <c r="F205" s="43">
        <f t="shared" si="21"/>
        <v>1</v>
      </c>
      <c r="G205" s="43">
        <v>0.60369408081009956</v>
      </c>
      <c r="H205" s="43">
        <v>1.3946936266605789E-4</v>
      </c>
      <c r="I205" s="43">
        <v>0.86976690247013799</v>
      </c>
      <c r="J205" s="43">
        <v>702.61927983300473</v>
      </c>
      <c r="L205">
        <f t="shared" si="22"/>
        <v>1</v>
      </c>
      <c r="M205" s="37">
        <f t="shared" si="23"/>
        <v>1</v>
      </c>
      <c r="N205" s="37">
        <f t="shared" si="24"/>
        <v>1</v>
      </c>
      <c r="O205" s="37">
        <f t="shared" si="25"/>
        <v>1</v>
      </c>
      <c r="P205" s="37">
        <f t="shared" si="26"/>
        <v>1</v>
      </c>
      <c r="Q205">
        <f t="shared" si="27"/>
        <v>1</v>
      </c>
    </row>
    <row r="206" spans="1:17">
      <c r="A206" s="1" t="s">
        <v>218</v>
      </c>
      <c r="B206" s="8" t="s">
        <v>251</v>
      </c>
      <c r="C206" s="1">
        <v>3</v>
      </c>
      <c r="D206" s="1">
        <v>1</v>
      </c>
      <c r="E206" s="43">
        <v>4.5985970381917381E-2</v>
      </c>
      <c r="F206" s="43">
        <f t="shared" si="21"/>
        <v>2.1147094719665828E-3</v>
      </c>
      <c r="G206" s="43">
        <v>1.6782023324168008E-2</v>
      </c>
      <c r="H206" s="43">
        <v>6.8428813118377914E-7</v>
      </c>
      <c r="I206" s="43">
        <v>0.1795429815016322</v>
      </c>
      <c r="J206" s="43">
        <v>4.0797633297062026</v>
      </c>
      <c r="L206">
        <f t="shared" si="22"/>
        <v>0</v>
      </c>
      <c r="M206" s="37">
        <f t="shared" si="23"/>
        <v>1</v>
      </c>
      <c r="N206" s="37">
        <f t="shared" si="24"/>
        <v>1</v>
      </c>
      <c r="O206" s="37">
        <f t="shared" si="25"/>
        <v>0</v>
      </c>
      <c r="P206" s="37">
        <f t="shared" si="26"/>
        <v>1</v>
      </c>
      <c r="Q206">
        <f t="shared" si="27"/>
        <v>1</v>
      </c>
    </row>
    <row r="207" spans="1:17">
      <c r="A207" s="1" t="s">
        <v>217</v>
      </c>
      <c r="B207" s="8" t="s">
        <v>251</v>
      </c>
      <c r="C207" s="1">
        <v>3</v>
      </c>
      <c r="D207" s="1">
        <v>1</v>
      </c>
      <c r="E207" s="43">
        <v>2.304661089546492E-2</v>
      </c>
      <c r="F207" s="43">
        <f t="shared" si="21"/>
        <v>5.3114627376696236E-4</v>
      </c>
      <c r="G207" s="43">
        <v>2.1621640306470763E-2</v>
      </c>
      <c r="H207" s="43">
        <v>4.8128265226592463E-5</v>
      </c>
      <c r="I207" s="43">
        <v>1</v>
      </c>
      <c r="J207" s="43">
        <v>218.30342910101947</v>
      </c>
      <c r="L207">
        <f t="shared" si="22"/>
        <v>0</v>
      </c>
      <c r="M207" s="37">
        <f t="shared" si="23"/>
        <v>1</v>
      </c>
      <c r="N207" s="37">
        <f t="shared" si="24"/>
        <v>1</v>
      </c>
      <c r="O207" s="37">
        <f t="shared" si="25"/>
        <v>1</v>
      </c>
      <c r="P207" s="37">
        <f t="shared" si="26"/>
        <v>1</v>
      </c>
      <c r="Q207">
        <f t="shared" si="27"/>
        <v>1</v>
      </c>
    </row>
    <row r="208" spans="1:17">
      <c r="A208" s="1" t="s">
        <v>219</v>
      </c>
      <c r="B208" s="8" t="s">
        <v>251</v>
      </c>
      <c r="C208" s="1">
        <v>3</v>
      </c>
      <c r="D208" s="1">
        <v>1</v>
      </c>
      <c r="E208" s="43">
        <v>9.7826086956521743E-2</v>
      </c>
      <c r="F208" s="43">
        <f t="shared" si="21"/>
        <v>9.5699432892249539E-3</v>
      </c>
      <c r="G208" s="43">
        <v>7.9949238578680207E-2</v>
      </c>
      <c r="H208" s="43">
        <v>2.2809604372792641E-7</v>
      </c>
      <c r="I208" s="43">
        <v>0.46904315196998125</v>
      </c>
      <c r="J208" s="43">
        <v>1.6691651031894936</v>
      </c>
      <c r="L208">
        <f t="shared" si="22"/>
        <v>0</v>
      </c>
      <c r="M208" s="37">
        <f t="shared" si="23"/>
        <v>1</v>
      </c>
      <c r="N208" s="37">
        <f t="shared" si="24"/>
        <v>1</v>
      </c>
      <c r="O208" s="37">
        <f t="shared" si="25"/>
        <v>1</v>
      </c>
      <c r="P208" s="37">
        <f t="shared" si="26"/>
        <v>1</v>
      </c>
      <c r="Q208">
        <f t="shared" si="27"/>
        <v>1</v>
      </c>
    </row>
    <row r="209" spans="1:17">
      <c r="A209" s="1" t="s">
        <v>187</v>
      </c>
      <c r="B209" s="8" t="s">
        <v>251</v>
      </c>
      <c r="C209" s="1">
        <v>3</v>
      </c>
      <c r="D209" s="1">
        <v>1</v>
      </c>
      <c r="E209" s="43">
        <v>6.0333221137664088E-2</v>
      </c>
      <c r="F209" s="43">
        <f t="shared" si="21"/>
        <v>3.6400975728462766E-3</v>
      </c>
      <c r="G209" s="43">
        <v>2.1589557519459207E-2</v>
      </c>
      <c r="H209" s="43">
        <v>5.5199242582158181E-6</v>
      </c>
      <c r="I209" s="43">
        <v>0.94920000000000004</v>
      </c>
      <c r="J209" s="43">
        <v>31.469261849261851</v>
      </c>
      <c r="L209">
        <f t="shared" si="22"/>
        <v>0</v>
      </c>
      <c r="M209" s="37">
        <f t="shared" si="23"/>
        <v>1</v>
      </c>
      <c r="N209" s="37">
        <f t="shared" si="24"/>
        <v>1</v>
      </c>
      <c r="O209" s="37">
        <f t="shared" si="25"/>
        <v>1</v>
      </c>
      <c r="P209" s="37">
        <f t="shared" si="26"/>
        <v>1</v>
      </c>
      <c r="Q209">
        <f t="shared" si="27"/>
        <v>1</v>
      </c>
    </row>
    <row r="210" spans="1:17">
      <c r="A210" s="1" t="s">
        <v>211</v>
      </c>
      <c r="B210" s="8" t="s">
        <v>251</v>
      </c>
      <c r="C210" s="1">
        <v>3</v>
      </c>
      <c r="D210" s="1">
        <v>1</v>
      </c>
      <c r="E210" s="43">
        <v>0.58399315805445973</v>
      </c>
      <c r="F210" s="43">
        <f t="shared" si="21"/>
        <v>0.3410480086544212</v>
      </c>
      <c r="G210" s="43">
        <v>0.35255321275107426</v>
      </c>
      <c r="H210" s="43">
        <v>8.1430287610869716E-5</v>
      </c>
      <c r="I210" s="43">
        <v>0.86976690247013799</v>
      </c>
      <c r="J210" s="43">
        <v>415.99550968340486</v>
      </c>
      <c r="L210">
        <f t="shared" si="22"/>
        <v>1</v>
      </c>
      <c r="M210" s="37">
        <f t="shared" si="23"/>
        <v>1</v>
      </c>
      <c r="N210" s="37">
        <f t="shared" si="24"/>
        <v>1</v>
      </c>
      <c r="O210" s="37">
        <f t="shared" si="25"/>
        <v>1</v>
      </c>
      <c r="P210" s="37">
        <f t="shared" si="26"/>
        <v>1</v>
      </c>
      <c r="Q210">
        <f t="shared" si="27"/>
        <v>1</v>
      </c>
    </row>
    <row r="211" spans="1:17">
      <c r="A211" s="1" t="s">
        <v>187</v>
      </c>
      <c r="B211" s="8" t="s">
        <v>239</v>
      </c>
      <c r="C211" s="1">
        <v>3</v>
      </c>
      <c r="D211" s="1">
        <v>1</v>
      </c>
      <c r="E211" s="43">
        <v>1</v>
      </c>
      <c r="F211" s="43">
        <f t="shared" si="21"/>
        <v>1</v>
      </c>
      <c r="G211" s="43">
        <v>0.35783863537134342</v>
      </c>
      <c r="H211" s="43">
        <v>9.142075902295144E-5</v>
      </c>
      <c r="I211" s="43">
        <v>1</v>
      </c>
      <c r="J211" s="43">
        <v>502.4460398860399</v>
      </c>
      <c r="L211">
        <f t="shared" si="22"/>
        <v>1</v>
      </c>
      <c r="M211" s="37">
        <f t="shared" si="23"/>
        <v>1</v>
      </c>
      <c r="N211" s="37">
        <f t="shared" si="24"/>
        <v>1</v>
      </c>
      <c r="O211" s="37">
        <f t="shared" si="25"/>
        <v>1</v>
      </c>
      <c r="P211" s="37">
        <f t="shared" si="26"/>
        <v>1</v>
      </c>
      <c r="Q211">
        <f t="shared" si="27"/>
        <v>1</v>
      </c>
    </row>
    <row r="212" spans="1:17">
      <c r="A212" s="1" t="s">
        <v>187</v>
      </c>
      <c r="B212" s="8" t="s">
        <v>242</v>
      </c>
      <c r="C212" s="1">
        <v>3</v>
      </c>
      <c r="D212" s="1">
        <v>1</v>
      </c>
      <c r="E212" s="43">
        <v>0.1638337260181757</v>
      </c>
      <c r="F212" s="43">
        <f t="shared" si="21"/>
        <v>2.6841489780998661E-2</v>
      </c>
      <c r="G212" s="43">
        <v>5.8626036946146549E-2</v>
      </c>
      <c r="H212" s="43">
        <v>1.4975517645933591E-5</v>
      </c>
      <c r="I212" s="43">
        <v>1</v>
      </c>
      <c r="J212" s="43">
        <v>81.223333333333329</v>
      </c>
      <c r="L212">
        <f t="shared" si="22"/>
        <v>0</v>
      </c>
      <c r="M212" s="37">
        <f t="shared" si="23"/>
        <v>1</v>
      </c>
      <c r="N212" s="37">
        <f t="shared" si="24"/>
        <v>1</v>
      </c>
      <c r="O212" s="37">
        <f t="shared" si="25"/>
        <v>1</v>
      </c>
      <c r="P212" s="37">
        <f t="shared" si="26"/>
        <v>1</v>
      </c>
      <c r="Q212">
        <f t="shared" si="27"/>
        <v>1</v>
      </c>
    </row>
    <row r="213" spans="1:17">
      <c r="A213" s="1" t="s">
        <v>218</v>
      </c>
      <c r="B213" s="8" t="s">
        <v>246</v>
      </c>
      <c r="C213" s="1">
        <v>3</v>
      </c>
      <c r="D213" s="1">
        <v>1</v>
      </c>
      <c r="E213" s="43">
        <v>0.27461678358015068</v>
      </c>
      <c r="F213" s="43">
        <f t="shared" si="21"/>
        <v>7.5414377823907322E-2</v>
      </c>
      <c r="G213" s="43">
        <v>0.10021807148952308</v>
      </c>
      <c r="H213" s="43">
        <v>4.0579559228891795E-6</v>
      </c>
      <c r="I213" s="43">
        <v>1</v>
      </c>
      <c r="J213" s="43">
        <v>23.453265778019588</v>
      </c>
      <c r="L213">
        <f t="shared" si="22"/>
        <v>0</v>
      </c>
      <c r="M213" s="37">
        <f t="shared" si="23"/>
        <v>1</v>
      </c>
      <c r="N213" s="37">
        <f t="shared" si="24"/>
        <v>1</v>
      </c>
      <c r="O213" s="37">
        <f t="shared" si="25"/>
        <v>1</v>
      </c>
      <c r="P213" s="37">
        <f t="shared" si="26"/>
        <v>1</v>
      </c>
      <c r="Q213">
        <f t="shared" si="27"/>
        <v>1</v>
      </c>
    </row>
    <row r="214" spans="1:17">
      <c r="A214" s="1" t="s">
        <v>187</v>
      </c>
      <c r="B214" s="8" t="s">
        <v>246</v>
      </c>
      <c r="C214" s="1">
        <v>3</v>
      </c>
      <c r="D214" s="1">
        <v>1</v>
      </c>
      <c r="E214" s="43">
        <v>3.8370918882531135E-2</v>
      </c>
      <c r="F214" s="43">
        <f t="shared" si="21"/>
        <v>1.4723274158897845E-3</v>
      </c>
      <c r="G214" s="43">
        <v>1.3730597250869454E-2</v>
      </c>
      <c r="H214" s="43">
        <v>3.5168951331706218E-6</v>
      </c>
      <c r="I214" s="43">
        <v>0.84560000000000002</v>
      </c>
      <c r="J214" s="43">
        <v>19.266324786324788</v>
      </c>
      <c r="L214">
        <f t="shared" si="22"/>
        <v>0</v>
      </c>
      <c r="M214" s="37">
        <f t="shared" si="23"/>
        <v>1</v>
      </c>
      <c r="N214" s="37">
        <f t="shared" si="24"/>
        <v>1</v>
      </c>
      <c r="O214" s="37">
        <f t="shared" si="25"/>
        <v>1</v>
      </c>
      <c r="P214" s="37">
        <f t="shared" si="26"/>
        <v>1</v>
      </c>
      <c r="Q214">
        <f t="shared" si="27"/>
        <v>1</v>
      </c>
    </row>
    <row r="215" spans="1:17">
      <c r="A215" s="1" t="s">
        <v>211</v>
      </c>
      <c r="B215" s="8" t="s">
        <v>246</v>
      </c>
      <c r="C215" s="1">
        <v>3</v>
      </c>
      <c r="D215" s="1">
        <v>1</v>
      </c>
      <c r="E215" s="43">
        <v>7.2474963445250645E-2</v>
      </c>
      <c r="F215" s="43">
        <f t="shared" si="21"/>
        <v>5.2526203263904177E-3</v>
      </c>
      <c r="G215" s="43">
        <v>4.3752706438826158E-2</v>
      </c>
      <c r="H215" s="43">
        <v>1.0099801408079734E-5</v>
      </c>
      <c r="I215" s="43">
        <v>0.99327380262089759</v>
      </c>
      <c r="J215" s="43">
        <v>49.697612199930418</v>
      </c>
      <c r="L215">
        <f t="shared" si="22"/>
        <v>0</v>
      </c>
      <c r="M215" s="37">
        <f t="shared" si="23"/>
        <v>1</v>
      </c>
      <c r="N215" s="37">
        <f t="shared" si="24"/>
        <v>1</v>
      </c>
      <c r="O215" s="37">
        <f t="shared" si="25"/>
        <v>1</v>
      </c>
      <c r="P215" s="37">
        <f t="shared" si="26"/>
        <v>1</v>
      </c>
      <c r="Q215">
        <f t="shared" si="27"/>
        <v>1</v>
      </c>
    </row>
    <row r="216" spans="1:17">
      <c r="A216" s="1" t="s">
        <v>218</v>
      </c>
      <c r="B216" s="8" t="s">
        <v>241</v>
      </c>
      <c r="C216" s="1">
        <v>3</v>
      </c>
      <c r="D216" s="1">
        <v>1</v>
      </c>
      <c r="E216" s="43">
        <v>1</v>
      </c>
      <c r="F216" s="43">
        <f t="shared" si="21"/>
        <v>1</v>
      </c>
      <c r="G216" s="43">
        <v>0.36493789703233148</v>
      </c>
      <c r="H216" s="43">
        <v>1.4771940621408269E-5</v>
      </c>
      <c r="I216" s="43">
        <v>0.1954570184983678</v>
      </c>
      <c r="J216" s="43">
        <v>85.686320729053307</v>
      </c>
      <c r="L216">
        <f t="shared" si="22"/>
        <v>1</v>
      </c>
      <c r="M216" s="37">
        <f t="shared" si="23"/>
        <v>1</v>
      </c>
      <c r="N216" s="37">
        <f t="shared" si="24"/>
        <v>1</v>
      </c>
      <c r="O216" s="37">
        <f t="shared" si="25"/>
        <v>0</v>
      </c>
      <c r="P216" s="37">
        <f t="shared" si="26"/>
        <v>1</v>
      </c>
      <c r="Q216">
        <f t="shared" si="27"/>
        <v>1</v>
      </c>
    </row>
    <row r="217" spans="1:17">
      <c r="A217" s="1" t="s">
        <v>217</v>
      </c>
      <c r="B217" s="8" t="s">
        <v>241</v>
      </c>
      <c r="C217" s="1">
        <v>3</v>
      </c>
      <c r="D217" s="1">
        <v>1</v>
      </c>
      <c r="E217" s="43">
        <v>1</v>
      </c>
      <c r="F217" s="43">
        <f t="shared" si="21"/>
        <v>1</v>
      </c>
      <c r="G217" s="43">
        <v>0.93817005912680373</v>
      </c>
      <c r="H217" s="43">
        <v>2.0883736361588883E-3</v>
      </c>
      <c r="I217" s="43">
        <v>1</v>
      </c>
      <c r="J217" s="43">
        <v>9148.6153547523427</v>
      </c>
      <c r="L217">
        <f t="shared" si="22"/>
        <v>1</v>
      </c>
      <c r="M217" s="37">
        <f t="shared" si="23"/>
        <v>1</v>
      </c>
      <c r="N217" s="37">
        <f t="shared" si="24"/>
        <v>1</v>
      </c>
      <c r="O217" s="37">
        <f t="shared" si="25"/>
        <v>1</v>
      </c>
      <c r="P217" s="37">
        <f t="shared" si="26"/>
        <v>1</v>
      </c>
      <c r="Q217">
        <f t="shared" si="27"/>
        <v>1</v>
      </c>
    </row>
    <row r="218" spans="1:17">
      <c r="A218" s="1" t="s">
        <v>216</v>
      </c>
      <c r="B218" s="8" t="s">
        <v>257</v>
      </c>
      <c r="C218" s="1">
        <v>3</v>
      </c>
      <c r="D218" s="1">
        <v>1</v>
      </c>
      <c r="E218" s="43">
        <v>1</v>
      </c>
      <c r="F218" s="43">
        <f t="shared" si="21"/>
        <v>1</v>
      </c>
      <c r="G218" s="43">
        <v>1</v>
      </c>
      <c r="H218" s="43">
        <v>8.062024107346285E-4</v>
      </c>
      <c r="I218" s="43">
        <v>1</v>
      </c>
      <c r="J218" s="43">
        <v>5940</v>
      </c>
      <c r="L218">
        <f t="shared" si="22"/>
        <v>1</v>
      </c>
      <c r="M218" s="37">
        <f t="shared" si="23"/>
        <v>1</v>
      </c>
      <c r="N218" s="37">
        <f t="shared" si="24"/>
        <v>1</v>
      </c>
      <c r="O218" s="37">
        <f t="shared" si="25"/>
        <v>1</v>
      </c>
      <c r="P218" s="37">
        <f t="shared" si="26"/>
        <v>1</v>
      </c>
      <c r="Q218">
        <f t="shared" si="27"/>
        <v>1</v>
      </c>
    </row>
    <row r="219" spans="1:17">
      <c r="A219" s="1" t="s">
        <v>187</v>
      </c>
      <c r="B219" s="10" t="s">
        <v>290</v>
      </c>
      <c r="C219" s="1">
        <v>4</v>
      </c>
      <c r="D219" s="1">
        <v>0</v>
      </c>
      <c r="E219" s="43">
        <v>3.3500837520938025E-4</v>
      </c>
      <c r="F219" s="43">
        <f t="shared" si="21"/>
        <v>1.122306114604289E-7</v>
      </c>
      <c r="G219" s="43">
        <v>9.0017103249617422E-5</v>
      </c>
      <c r="H219" s="43">
        <v>9.3574102301176038E-10</v>
      </c>
      <c r="I219" s="43">
        <v>2.06E-2</v>
      </c>
      <c r="J219" s="43">
        <v>1.7394457394457392E-2</v>
      </c>
      <c r="K219" s="10"/>
      <c r="L219">
        <f t="shared" si="22"/>
        <v>0</v>
      </c>
      <c r="M219" s="37">
        <f t="shared" si="23"/>
        <v>0</v>
      </c>
      <c r="N219" s="37">
        <f t="shared" si="24"/>
        <v>0</v>
      </c>
      <c r="O219" s="37">
        <f t="shared" si="25"/>
        <v>0</v>
      </c>
      <c r="P219" s="37">
        <f t="shared" si="26"/>
        <v>0</v>
      </c>
      <c r="Q219">
        <f t="shared" si="27"/>
        <v>0</v>
      </c>
    </row>
    <row r="220" spans="1:17">
      <c r="A220" s="1" t="s">
        <v>217</v>
      </c>
      <c r="B220" s="8" t="s">
        <v>189</v>
      </c>
      <c r="C220" s="1">
        <v>4</v>
      </c>
      <c r="D220" s="1">
        <v>0</v>
      </c>
      <c r="E220" s="43">
        <v>2.0000000000000002E-5</v>
      </c>
      <c r="F220" s="43">
        <f t="shared" si="21"/>
        <v>4.0000000000000007E-10</v>
      </c>
      <c r="G220" s="43">
        <v>8.2931117413876035E-6</v>
      </c>
      <c r="H220" s="43">
        <v>1.0617749717010677E-9</v>
      </c>
      <c r="I220" s="43">
        <v>1.2357120790855731E-2</v>
      </c>
      <c r="J220" s="43">
        <v>1.4360004119040263E-2</v>
      </c>
      <c r="L220">
        <f t="shared" si="22"/>
        <v>0</v>
      </c>
      <c r="M220" s="37">
        <f t="shared" si="23"/>
        <v>0</v>
      </c>
      <c r="N220" s="37">
        <f t="shared" si="24"/>
        <v>0</v>
      </c>
      <c r="O220" s="37">
        <f t="shared" si="25"/>
        <v>0</v>
      </c>
      <c r="P220" s="37">
        <f t="shared" si="26"/>
        <v>0</v>
      </c>
      <c r="Q220">
        <f t="shared" si="27"/>
        <v>0</v>
      </c>
    </row>
    <row r="221" spans="1:17">
      <c r="A221" s="1" t="s">
        <v>216</v>
      </c>
      <c r="B221" s="10" t="s">
        <v>189</v>
      </c>
      <c r="C221" s="1">
        <v>4</v>
      </c>
      <c r="D221" s="1">
        <v>0</v>
      </c>
      <c r="E221" s="43">
        <v>3.3612553404155573E-5</v>
      </c>
      <c r="F221" s="43">
        <f t="shared" si="21"/>
        <v>1.1298037463472105E-9</v>
      </c>
      <c r="G221" s="43">
        <v>3.3612553404155573E-5</v>
      </c>
      <c r="H221" s="43">
        <v>1.8581062004768686E-8</v>
      </c>
      <c r="I221" s="43">
        <v>0.26385224274406333</v>
      </c>
      <c r="J221" s="43">
        <v>0.46605980650835527</v>
      </c>
      <c r="K221" s="10"/>
      <c r="L221">
        <f t="shared" si="22"/>
        <v>0</v>
      </c>
      <c r="M221" s="37">
        <f t="shared" si="23"/>
        <v>0</v>
      </c>
      <c r="N221" s="37">
        <f t="shared" si="24"/>
        <v>0</v>
      </c>
      <c r="O221" s="37">
        <f t="shared" si="25"/>
        <v>0</v>
      </c>
      <c r="P221" s="37">
        <f t="shared" si="26"/>
        <v>0</v>
      </c>
      <c r="Q221">
        <f t="shared" si="27"/>
        <v>0</v>
      </c>
    </row>
    <row r="222" spans="1:17">
      <c r="A222" s="1" t="s">
        <v>211</v>
      </c>
      <c r="B222" s="10" t="s">
        <v>295</v>
      </c>
      <c r="C222" s="1">
        <v>4</v>
      </c>
      <c r="D222" s="1">
        <v>0</v>
      </c>
      <c r="E222" s="43">
        <v>1.4971942579605818E-6</v>
      </c>
      <c r="F222" s="43">
        <f t="shared" si="21"/>
        <v>2.2415906460701371E-12</v>
      </c>
      <c r="G222" s="43">
        <v>1.0111295024332832E-6</v>
      </c>
      <c r="H222" s="43">
        <v>8.9765882839591982E-10</v>
      </c>
      <c r="I222" s="43">
        <v>9.2678405931417972E-3</v>
      </c>
      <c r="J222" s="43">
        <v>1.5782210367621476E-2</v>
      </c>
      <c r="L222">
        <f t="shared" si="22"/>
        <v>0</v>
      </c>
      <c r="M222" s="37">
        <f t="shared" si="23"/>
        <v>0</v>
      </c>
      <c r="N222" s="37">
        <f t="shared" si="24"/>
        <v>0</v>
      </c>
      <c r="O222" s="37">
        <f t="shared" si="25"/>
        <v>0</v>
      </c>
      <c r="P222" s="37">
        <f t="shared" si="26"/>
        <v>0</v>
      </c>
      <c r="Q222">
        <f t="shared" si="27"/>
        <v>0</v>
      </c>
    </row>
    <row r="223" spans="1:17">
      <c r="A223" s="1" t="s">
        <v>187</v>
      </c>
      <c r="B223" s="10" t="s">
        <v>289</v>
      </c>
      <c r="C223" s="1">
        <v>4</v>
      </c>
      <c r="D223" s="1">
        <v>0</v>
      </c>
      <c r="E223" s="43">
        <v>5.1591289782244559E-2</v>
      </c>
      <c r="F223" s="43">
        <f t="shared" si="21"/>
        <v>2.6616611813955319E-3</v>
      </c>
      <c r="G223" s="43">
        <v>1.3862633900441084E-2</v>
      </c>
      <c r="H223" s="43">
        <v>1.4926255604539745E-7</v>
      </c>
      <c r="I223" s="43">
        <v>0.7843</v>
      </c>
      <c r="J223" s="43">
        <v>2.7327920227920228</v>
      </c>
      <c r="K223" s="10"/>
      <c r="L223">
        <f t="shared" si="22"/>
        <v>0</v>
      </c>
      <c r="M223" s="37">
        <f t="shared" si="23"/>
        <v>1</v>
      </c>
      <c r="N223" s="37">
        <f t="shared" si="24"/>
        <v>0</v>
      </c>
      <c r="O223" s="37">
        <f t="shared" si="25"/>
        <v>1</v>
      </c>
      <c r="P223" s="37">
        <f t="shared" si="26"/>
        <v>1</v>
      </c>
      <c r="Q223">
        <f t="shared" si="27"/>
        <v>1</v>
      </c>
    </row>
    <row r="224" spans="1:17">
      <c r="A224" s="1" t="s">
        <v>216</v>
      </c>
      <c r="B224" s="10" t="s">
        <v>289</v>
      </c>
      <c r="C224" s="1">
        <v>4</v>
      </c>
      <c r="D224" s="1">
        <v>0</v>
      </c>
      <c r="E224" s="43">
        <v>1.7690817581134512E-6</v>
      </c>
      <c r="F224" s="43">
        <f t="shared" si="21"/>
        <v>3.1296502668897795E-12</v>
      </c>
      <c r="G224" s="43">
        <v>1.7690817581134512E-6</v>
      </c>
      <c r="H224" s="43">
        <v>1.0661611146099819E-9</v>
      </c>
      <c r="I224" s="43">
        <v>1.2137203166226913E-2</v>
      </c>
      <c r="J224" s="43">
        <v>2.4103781882146E-2</v>
      </c>
      <c r="K224" s="10"/>
      <c r="L224">
        <f t="shared" si="22"/>
        <v>0</v>
      </c>
      <c r="M224" s="37">
        <f t="shared" si="23"/>
        <v>0</v>
      </c>
      <c r="N224" s="37">
        <f t="shared" si="24"/>
        <v>0</v>
      </c>
      <c r="O224" s="37">
        <f t="shared" si="25"/>
        <v>0</v>
      </c>
      <c r="P224" s="37">
        <f t="shared" si="26"/>
        <v>0</v>
      </c>
      <c r="Q224">
        <f t="shared" si="27"/>
        <v>0</v>
      </c>
    </row>
    <row r="225" spans="1:17">
      <c r="A225" s="1" t="s">
        <v>218</v>
      </c>
      <c r="B225" s="10" t="s">
        <v>292</v>
      </c>
      <c r="C225" s="1">
        <v>4</v>
      </c>
      <c r="D225" s="1">
        <v>0</v>
      </c>
      <c r="E225" s="43">
        <v>2.6346989856408903E-4</v>
      </c>
      <c r="F225" s="43">
        <f t="shared" si="21"/>
        <v>6.9416387449371365E-8</v>
      </c>
      <c r="G225" s="43">
        <v>6.3572790845518122E-5</v>
      </c>
      <c r="H225" s="43">
        <v>1.855243777482964E-9</v>
      </c>
      <c r="I225" s="43">
        <v>2.2986942328618063E-2</v>
      </c>
      <c r="J225" s="43">
        <v>4.02013057671382E-2</v>
      </c>
      <c r="K225" s="10"/>
      <c r="L225">
        <f t="shared" si="22"/>
        <v>0</v>
      </c>
      <c r="M225" s="37">
        <f t="shared" si="23"/>
        <v>0</v>
      </c>
      <c r="N225" s="37">
        <f t="shared" si="24"/>
        <v>0</v>
      </c>
      <c r="O225" s="37">
        <f t="shared" si="25"/>
        <v>0</v>
      </c>
      <c r="P225" s="37">
        <f t="shared" si="26"/>
        <v>0</v>
      </c>
      <c r="Q225">
        <f t="shared" si="27"/>
        <v>0</v>
      </c>
    </row>
    <row r="226" spans="1:17">
      <c r="A226" s="1" t="s">
        <v>187</v>
      </c>
      <c r="B226" s="10" t="s">
        <v>292</v>
      </c>
      <c r="C226" s="1">
        <v>4</v>
      </c>
      <c r="D226" s="1">
        <v>0</v>
      </c>
      <c r="E226" s="43">
        <v>0.11390284757118928</v>
      </c>
      <c r="F226" s="43">
        <f t="shared" si="21"/>
        <v>1.2973858684825579E-2</v>
      </c>
      <c r="G226" s="43">
        <v>3.0605815104869927E-2</v>
      </c>
      <c r="H226" s="43">
        <v>3.4012802587187679E-7</v>
      </c>
      <c r="I226" s="43">
        <v>0.91500000000000004</v>
      </c>
      <c r="J226" s="43">
        <v>6.506759906759906</v>
      </c>
      <c r="K226" s="10"/>
      <c r="L226">
        <f t="shared" si="22"/>
        <v>0</v>
      </c>
      <c r="M226" s="37">
        <f t="shared" si="23"/>
        <v>1</v>
      </c>
      <c r="N226" s="37">
        <f t="shared" si="24"/>
        <v>1</v>
      </c>
      <c r="O226" s="37">
        <f t="shared" si="25"/>
        <v>1</v>
      </c>
      <c r="P226" s="37">
        <f t="shared" si="26"/>
        <v>1</v>
      </c>
      <c r="Q226">
        <f t="shared" si="27"/>
        <v>1</v>
      </c>
    </row>
    <row r="227" spans="1:17">
      <c r="A227" s="1" t="s">
        <v>216</v>
      </c>
      <c r="B227" s="10" t="s">
        <v>188</v>
      </c>
      <c r="C227" s="1">
        <v>4</v>
      </c>
      <c r="D227" s="1">
        <v>0</v>
      </c>
      <c r="E227" s="43">
        <v>4.5996125710949732E-5</v>
      </c>
      <c r="F227" s="43">
        <f t="shared" si="21"/>
        <v>2.1156435804174911E-9</v>
      </c>
      <c r="G227" s="43">
        <v>4.5996125710949732E-5</v>
      </c>
      <c r="H227" s="43">
        <v>2.5976425103811071E-8</v>
      </c>
      <c r="I227" s="43">
        <v>0.35180299032541779</v>
      </c>
      <c r="J227" s="43">
        <v>0.62775021987686896</v>
      </c>
      <c r="K227" s="10"/>
      <c r="L227">
        <f t="shared" si="22"/>
        <v>0</v>
      </c>
      <c r="M227" s="37">
        <f t="shared" si="23"/>
        <v>0</v>
      </c>
      <c r="N227" s="37">
        <f t="shared" si="24"/>
        <v>0</v>
      </c>
      <c r="O227" s="37">
        <f t="shared" si="25"/>
        <v>1</v>
      </c>
      <c r="P227" s="37">
        <f t="shared" si="26"/>
        <v>0</v>
      </c>
      <c r="Q227">
        <f t="shared" si="27"/>
        <v>0</v>
      </c>
    </row>
    <row r="228" spans="1:17">
      <c r="A228" s="1" t="s">
        <v>211</v>
      </c>
      <c r="B228" s="10" t="s">
        <v>188</v>
      </c>
      <c r="C228" s="1">
        <v>4</v>
      </c>
      <c r="D228" s="1">
        <v>0</v>
      </c>
      <c r="E228" s="43">
        <v>1.4971942579605818E-6</v>
      </c>
      <c r="F228" s="43">
        <f t="shared" si="21"/>
        <v>2.2415906460701371E-12</v>
      </c>
      <c r="G228" s="43">
        <v>1.0111295024332832E-6</v>
      </c>
      <c r="H228" s="43">
        <v>9.4459727650222077E-10</v>
      </c>
      <c r="I228" s="43">
        <v>1.9578313253012049E-2</v>
      </c>
      <c r="J228" s="43">
        <v>1.5917894004406817E-2</v>
      </c>
      <c r="L228">
        <f t="shared" si="22"/>
        <v>0</v>
      </c>
      <c r="M228" s="37">
        <f t="shared" si="23"/>
        <v>0</v>
      </c>
      <c r="N228" s="37">
        <f t="shared" si="24"/>
        <v>0</v>
      </c>
      <c r="O228" s="37">
        <f t="shared" si="25"/>
        <v>0</v>
      </c>
      <c r="P228" s="37">
        <f t="shared" si="26"/>
        <v>0</v>
      </c>
      <c r="Q228">
        <f t="shared" si="27"/>
        <v>0</v>
      </c>
    </row>
    <row r="229" spans="1:17">
      <c r="A229" s="1" t="s">
        <v>217</v>
      </c>
      <c r="B229" s="8" t="s">
        <v>278</v>
      </c>
      <c r="C229" s="1">
        <v>4</v>
      </c>
      <c r="D229" s="1">
        <v>0</v>
      </c>
      <c r="E229" s="43">
        <v>6.7200000000000003E-3</v>
      </c>
      <c r="F229" s="43">
        <f t="shared" si="21"/>
        <v>4.5158400000000005E-5</v>
      </c>
      <c r="G229" s="43">
        <v>2.7864855451062349E-3</v>
      </c>
      <c r="H229" s="43">
        <v>3.2960882049009846E-7</v>
      </c>
      <c r="I229" s="43">
        <v>0.92678405931417984</v>
      </c>
      <c r="J229" s="43">
        <v>4.5927957985789307</v>
      </c>
      <c r="L229">
        <f t="shared" si="22"/>
        <v>0</v>
      </c>
      <c r="M229" s="37">
        <f t="shared" si="23"/>
        <v>1</v>
      </c>
      <c r="N229" s="37">
        <f t="shared" si="24"/>
        <v>1</v>
      </c>
      <c r="O229" s="37">
        <f t="shared" si="25"/>
        <v>1</v>
      </c>
      <c r="P229" s="37">
        <f t="shared" si="26"/>
        <v>1</v>
      </c>
      <c r="Q229">
        <f t="shared" si="27"/>
        <v>1</v>
      </c>
    </row>
    <row r="230" spans="1:17">
      <c r="A230" s="1" t="s">
        <v>187</v>
      </c>
      <c r="B230" s="10" t="s">
        <v>278</v>
      </c>
      <c r="C230" s="1">
        <v>4</v>
      </c>
      <c r="D230" s="1">
        <v>0</v>
      </c>
      <c r="E230" s="43">
        <v>8.6097152428810719E-2</v>
      </c>
      <c r="F230" s="43">
        <f t="shared" si="21"/>
        <v>7.4127196563498676E-3</v>
      </c>
      <c r="G230" s="43">
        <v>2.3134395535151678E-2</v>
      </c>
      <c r="H230" s="43">
        <v>2.5124028974420093E-7</v>
      </c>
      <c r="I230" s="43">
        <v>0.94679999999999997</v>
      </c>
      <c r="J230" s="43">
        <v>4.4177907277907282</v>
      </c>
      <c r="L230">
        <f t="shared" si="22"/>
        <v>0</v>
      </c>
      <c r="M230" s="37">
        <f t="shared" si="23"/>
        <v>1</v>
      </c>
      <c r="N230" s="37">
        <f t="shared" si="24"/>
        <v>1</v>
      </c>
      <c r="O230" s="37">
        <f t="shared" si="25"/>
        <v>1</v>
      </c>
      <c r="P230" s="37">
        <f t="shared" si="26"/>
        <v>1</v>
      </c>
      <c r="Q230">
        <f t="shared" si="27"/>
        <v>1</v>
      </c>
    </row>
    <row r="231" spans="1:17">
      <c r="A231" s="1" t="s">
        <v>217</v>
      </c>
      <c r="B231" s="8" t="s">
        <v>263</v>
      </c>
      <c r="C231" s="1">
        <v>4</v>
      </c>
      <c r="D231" s="1">
        <v>0</v>
      </c>
      <c r="E231" s="43">
        <v>3.5599999999999998E-3</v>
      </c>
      <c r="F231" s="43">
        <f t="shared" si="21"/>
        <v>1.2673599999999998E-5</v>
      </c>
      <c r="G231" s="43">
        <v>1.4761738899669934E-3</v>
      </c>
      <c r="H231" s="43">
        <v>1.7446422016067148E-7</v>
      </c>
      <c r="I231" s="43">
        <v>0.96797446195036552</v>
      </c>
      <c r="J231" s="43">
        <v>2.5245535990114303</v>
      </c>
      <c r="L231">
        <f t="shared" si="22"/>
        <v>0</v>
      </c>
      <c r="M231" s="37">
        <f t="shared" si="23"/>
        <v>1</v>
      </c>
      <c r="N231" s="37">
        <f t="shared" si="24"/>
        <v>0</v>
      </c>
      <c r="O231" s="37">
        <f t="shared" si="25"/>
        <v>1</v>
      </c>
      <c r="P231" s="37">
        <f t="shared" si="26"/>
        <v>1</v>
      </c>
      <c r="Q231">
        <f t="shared" si="27"/>
        <v>1</v>
      </c>
    </row>
    <row r="232" spans="1:17">
      <c r="A232" s="1" t="s">
        <v>187</v>
      </c>
      <c r="B232" s="10" t="s">
        <v>263</v>
      </c>
      <c r="C232" s="1">
        <v>4</v>
      </c>
      <c r="D232" s="1">
        <v>0</v>
      </c>
      <c r="E232" s="43">
        <v>5.2596314907872699E-2</v>
      </c>
      <c r="F232" s="43">
        <f t="shared" si="21"/>
        <v>2.766372341888112E-3</v>
      </c>
      <c r="G232" s="43">
        <v>1.4132685210189936E-2</v>
      </c>
      <c r="H232" s="43">
        <v>1.5265619264058756E-7</v>
      </c>
      <c r="I232" s="43">
        <v>0.91500000000000004</v>
      </c>
      <c r="J232" s="43">
        <v>2.8002602952602951</v>
      </c>
      <c r="K232" s="10"/>
      <c r="L232">
        <f t="shared" si="22"/>
        <v>0</v>
      </c>
      <c r="M232" s="37">
        <f t="shared" si="23"/>
        <v>1</v>
      </c>
      <c r="N232" s="37">
        <f t="shared" si="24"/>
        <v>0</v>
      </c>
      <c r="O232" s="37">
        <f t="shared" si="25"/>
        <v>1</v>
      </c>
      <c r="P232" s="37">
        <f t="shared" si="26"/>
        <v>1</v>
      </c>
      <c r="Q232">
        <f t="shared" si="27"/>
        <v>1</v>
      </c>
    </row>
    <row r="233" spans="1:17">
      <c r="A233" s="1" t="s">
        <v>217</v>
      </c>
      <c r="B233" s="8" t="s">
        <v>95</v>
      </c>
      <c r="C233" s="1">
        <v>4</v>
      </c>
      <c r="D233" s="1">
        <v>0</v>
      </c>
      <c r="E233" s="43">
        <v>2.7999999999999998E-4</v>
      </c>
      <c r="F233" s="43">
        <f t="shared" si="21"/>
        <v>7.8399999999999987E-8</v>
      </c>
      <c r="G233" s="43">
        <v>1.1610356437942645E-4</v>
      </c>
      <c r="H233" s="43">
        <v>1.3851821681008418E-8</v>
      </c>
      <c r="I233" s="43">
        <v>0.19225620430439708</v>
      </c>
      <c r="J233" s="43">
        <v>0.20421171866955001</v>
      </c>
      <c r="L233">
        <f t="shared" si="22"/>
        <v>0</v>
      </c>
      <c r="M233" s="37">
        <f t="shared" si="23"/>
        <v>0</v>
      </c>
      <c r="N233" s="37">
        <f t="shared" si="24"/>
        <v>0</v>
      </c>
      <c r="O233" s="37">
        <f t="shared" si="25"/>
        <v>0</v>
      </c>
      <c r="P233" s="37">
        <f t="shared" si="26"/>
        <v>0</v>
      </c>
      <c r="Q233">
        <f t="shared" si="27"/>
        <v>0</v>
      </c>
    </row>
    <row r="234" spans="1:17">
      <c r="A234" s="1" t="s">
        <v>216</v>
      </c>
      <c r="B234" s="10" t="s">
        <v>95</v>
      </c>
      <c r="C234" s="1">
        <v>4</v>
      </c>
      <c r="D234" s="1">
        <v>0</v>
      </c>
      <c r="E234" s="43">
        <v>3.7150716920382477E-5</v>
      </c>
      <c r="F234" s="43">
        <f t="shared" si="21"/>
        <v>1.380175767698393E-9</v>
      </c>
      <c r="G234" s="43">
        <v>3.7150716920382477E-5</v>
      </c>
      <c r="H234" s="43">
        <v>1.9392550353411784E-8</v>
      </c>
      <c r="I234" s="43">
        <v>0.22673702726473174</v>
      </c>
      <c r="J234" s="43">
        <v>0.52324538258575204</v>
      </c>
      <c r="K234" s="10"/>
      <c r="L234">
        <f t="shared" si="22"/>
        <v>0</v>
      </c>
      <c r="M234" s="37">
        <f t="shared" si="23"/>
        <v>0</v>
      </c>
      <c r="N234" s="37">
        <f t="shared" si="24"/>
        <v>0</v>
      </c>
      <c r="O234" s="37">
        <f t="shared" si="25"/>
        <v>0</v>
      </c>
      <c r="P234" s="37">
        <f t="shared" si="26"/>
        <v>0</v>
      </c>
      <c r="Q234">
        <f t="shared" si="27"/>
        <v>0</v>
      </c>
    </row>
    <row r="235" spans="1:17">
      <c r="A235" s="1" t="s">
        <v>217</v>
      </c>
      <c r="B235" s="8" t="s">
        <v>265</v>
      </c>
      <c r="C235" s="1">
        <v>4</v>
      </c>
      <c r="D235" s="1">
        <v>0</v>
      </c>
      <c r="E235" s="43">
        <v>1.2E-4</v>
      </c>
      <c r="F235" s="43">
        <f t="shared" si="21"/>
        <v>1.44E-8</v>
      </c>
      <c r="G235" s="43">
        <v>4.9758670448325621E-5</v>
      </c>
      <c r="H235" s="43">
        <v>5.7681850210281324E-9</v>
      </c>
      <c r="I235" s="43">
        <v>8.6911749562351967E-2</v>
      </c>
      <c r="J235" s="43">
        <v>8.6518381217176407E-2</v>
      </c>
      <c r="L235">
        <f t="shared" si="22"/>
        <v>0</v>
      </c>
      <c r="M235" s="37">
        <f t="shared" si="23"/>
        <v>0</v>
      </c>
      <c r="N235" s="37">
        <f t="shared" si="24"/>
        <v>0</v>
      </c>
      <c r="O235" s="37">
        <f t="shared" si="25"/>
        <v>0</v>
      </c>
      <c r="P235" s="37">
        <f t="shared" si="26"/>
        <v>0</v>
      </c>
      <c r="Q235">
        <f t="shared" si="27"/>
        <v>0</v>
      </c>
    </row>
    <row r="236" spans="1:17">
      <c r="A236" s="1" t="s">
        <v>217</v>
      </c>
      <c r="B236" s="8" t="s">
        <v>264</v>
      </c>
      <c r="C236" s="1">
        <v>4</v>
      </c>
      <c r="D236" s="1">
        <v>0</v>
      </c>
      <c r="E236" s="43">
        <v>1.8000000000000001E-4</v>
      </c>
      <c r="F236" s="43">
        <f t="shared" si="21"/>
        <v>3.2400000000000006E-8</v>
      </c>
      <c r="G236" s="43">
        <v>7.4638005672488425E-5</v>
      </c>
      <c r="H236" s="43">
        <v>9.2737396226331362E-9</v>
      </c>
      <c r="I236" s="43">
        <v>0.13551642467305117</v>
      </c>
      <c r="J236" s="43">
        <v>0.14362372567191845</v>
      </c>
      <c r="L236">
        <f t="shared" si="22"/>
        <v>0</v>
      </c>
      <c r="M236" s="37">
        <f t="shared" si="23"/>
        <v>0</v>
      </c>
      <c r="N236" s="37">
        <f t="shared" si="24"/>
        <v>0</v>
      </c>
      <c r="O236" s="37">
        <f t="shared" si="25"/>
        <v>0</v>
      </c>
      <c r="P236" s="37">
        <f t="shared" si="26"/>
        <v>0</v>
      </c>
      <c r="Q236">
        <f t="shared" si="27"/>
        <v>0</v>
      </c>
    </row>
    <row r="237" spans="1:17">
      <c r="A237" s="1" t="s">
        <v>187</v>
      </c>
      <c r="B237" s="10" t="s">
        <v>264</v>
      </c>
      <c r="C237" s="1">
        <v>4</v>
      </c>
      <c r="D237" s="1">
        <v>0</v>
      </c>
      <c r="E237" s="43">
        <v>0.14673366834170853</v>
      </c>
      <c r="F237" s="43">
        <f t="shared" si="21"/>
        <v>2.1530769425014518E-2</v>
      </c>
      <c r="G237" s="43">
        <v>3.9427491223332431E-2</v>
      </c>
      <c r="H237" s="43">
        <v>4.2891045754678259E-7</v>
      </c>
      <c r="I237" s="43">
        <v>0.84150000000000003</v>
      </c>
      <c r="J237" s="43">
        <v>8.7900621600621598</v>
      </c>
      <c r="K237" s="10"/>
      <c r="L237">
        <f t="shared" si="22"/>
        <v>0</v>
      </c>
      <c r="M237" s="37">
        <f t="shared" si="23"/>
        <v>1</v>
      </c>
      <c r="N237" s="37">
        <f t="shared" si="24"/>
        <v>1</v>
      </c>
      <c r="O237" s="37">
        <f t="shared" si="25"/>
        <v>1</v>
      </c>
      <c r="P237" s="37">
        <f t="shared" si="26"/>
        <v>1</v>
      </c>
      <c r="Q237">
        <f t="shared" si="27"/>
        <v>1</v>
      </c>
    </row>
    <row r="238" spans="1:17">
      <c r="A238" s="1" t="s">
        <v>217</v>
      </c>
      <c r="B238" s="8" t="s">
        <v>266</v>
      </c>
      <c r="C238" s="1">
        <v>4</v>
      </c>
      <c r="D238" s="1">
        <v>0</v>
      </c>
      <c r="E238" s="43">
        <v>8.0000000000000007E-5</v>
      </c>
      <c r="F238" s="43">
        <f t="shared" si="21"/>
        <v>6.4000000000000011E-9</v>
      </c>
      <c r="G238" s="43">
        <v>3.3172446965550414E-5</v>
      </c>
      <c r="H238" s="43">
        <v>3.8140587065472991E-9</v>
      </c>
      <c r="I238" s="43">
        <v>5.4165379466584285E-2</v>
      </c>
      <c r="J238" s="43">
        <v>5.4906806714035632E-2</v>
      </c>
      <c r="L238">
        <f t="shared" si="22"/>
        <v>0</v>
      </c>
      <c r="M238" s="37">
        <f t="shared" si="23"/>
        <v>0</v>
      </c>
      <c r="N238" s="37">
        <f t="shared" si="24"/>
        <v>0</v>
      </c>
      <c r="O238" s="37">
        <f t="shared" si="25"/>
        <v>0</v>
      </c>
      <c r="P238" s="37">
        <f t="shared" si="26"/>
        <v>0</v>
      </c>
      <c r="Q238">
        <f t="shared" si="27"/>
        <v>0</v>
      </c>
    </row>
    <row r="239" spans="1:17">
      <c r="A239" s="1" t="s">
        <v>216</v>
      </c>
      <c r="B239" s="10" t="s">
        <v>266</v>
      </c>
      <c r="C239" s="1">
        <v>4</v>
      </c>
      <c r="D239" s="1">
        <v>0</v>
      </c>
      <c r="E239" s="43">
        <v>7.0763270324538048E-6</v>
      </c>
      <c r="F239" s="43">
        <f t="shared" si="21"/>
        <v>5.0074404270236472E-11</v>
      </c>
      <c r="G239" s="43">
        <v>7.0763270324538048E-6</v>
      </c>
      <c r="H239" s="43">
        <v>3.8140587065472991E-9</v>
      </c>
      <c r="I239" s="43">
        <v>4.9252418645558488E-2</v>
      </c>
      <c r="J239" s="43">
        <v>9.3790677220756388E-2</v>
      </c>
      <c r="K239" s="10"/>
      <c r="L239">
        <f t="shared" si="22"/>
        <v>0</v>
      </c>
      <c r="M239" s="37">
        <f t="shared" si="23"/>
        <v>0</v>
      </c>
      <c r="N239" s="37">
        <f t="shared" si="24"/>
        <v>0</v>
      </c>
      <c r="O239" s="37">
        <f t="shared" si="25"/>
        <v>0</v>
      </c>
      <c r="P239" s="37">
        <f t="shared" si="26"/>
        <v>0</v>
      </c>
      <c r="Q239">
        <f t="shared" si="27"/>
        <v>0</v>
      </c>
    </row>
    <row r="240" spans="1:17" ht="47.25">
      <c r="A240" s="1" t="s">
        <v>216</v>
      </c>
      <c r="B240" s="10" t="s">
        <v>273</v>
      </c>
      <c r="C240" s="1">
        <v>4</v>
      </c>
      <c r="D240" s="1">
        <v>0</v>
      </c>
      <c r="E240" s="43">
        <v>1.7690817581134512E-6</v>
      </c>
      <c r="F240" s="43">
        <f t="shared" si="21"/>
        <v>3.1296502668897795E-12</v>
      </c>
      <c r="G240" s="43">
        <v>1.7690817581134512E-6</v>
      </c>
      <c r="H240" s="43">
        <v>9.8147723387175604E-10</v>
      </c>
      <c r="I240" s="43">
        <v>3.3773087071240104E-2</v>
      </c>
      <c r="J240" s="43">
        <v>2.4045734388742301E-2</v>
      </c>
      <c r="K240" s="10"/>
      <c r="L240">
        <f t="shared" si="22"/>
        <v>0</v>
      </c>
      <c r="M240" s="37">
        <f t="shared" si="23"/>
        <v>0</v>
      </c>
      <c r="N240" s="37">
        <f t="shared" si="24"/>
        <v>0</v>
      </c>
      <c r="O240" s="37">
        <f t="shared" si="25"/>
        <v>0</v>
      </c>
      <c r="P240" s="37">
        <f t="shared" si="26"/>
        <v>0</v>
      </c>
      <c r="Q240">
        <f t="shared" si="27"/>
        <v>0</v>
      </c>
    </row>
    <row r="241" spans="1:17" ht="31.5">
      <c r="A241" s="1" t="s">
        <v>216</v>
      </c>
      <c r="B241" s="10" t="s">
        <v>285</v>
      </c>
      <c r="C241" s="1">
        <v>4</v>
      </c>
      <c r="D241" s="1">
        <v>0</v>
      </c>
      <c r="E241" s="43">
        <v>1.7690817581134512E-6</v>
      </c>
      <c r="F241" s="43">
        <f t="shared" si="21"/>
        <v>3.1296502668897795E-12</v>
      </c>
      <c r="G241" s="43">
        <v>1.7690817581134512E-6</v>
      </c>
      <c r="H241" s="43">
        <v>1.0355702800923259E-9</v>
      </c>
      <c r="I241" s="43">
        <v>2.9199648197009674E-2</v>
      </c>
      <c r="J241" s="43">
        <v>2.4886543535620052E-2</v>
      </c>
      <c r="K241" s="10"/>
      <c r="L241">
        <f t="shared" si="22"/>
        <v>0</v>
      </c>
      <c r="M241" s="37">
        <f t="shared" si="23"/>
        <v>0</v>
      </c>
      <c r="N241" s="37">
        <f t="shared" si="24"/>
        <v>0</v>
      </c>
      <c r="O241" s="37">
        <f t="shared" si="25"/>
        <v>0</v>
      </c>
      <c r="P241" s="37">
        <f t="shared" si="26"/>
        <v>0</v>
      </c>
      <c r="Q241">
        <f t="shared" si="27"/>
        <v>0</v>
      </c>
    </row>
    <row r="242" spans="1:17" ht="31.5">
      <c r="A242" s="1" t="s">
        <v>216</v>
      </c>
      <c r="B242" s="10" t="s">
        <v>293</v>
      </c>
      <c r="C242" s="1">
        <v>4</v>
      </c>
      <c r="D242" s="1">
        <v>0</v>
      </c>
      <c r="E242" s="43">
        <v>1.1145215076114742E-4</v>
      </c>
      <c r="F242" s="43">
        <f t="shared" si="21"/>
        <v>1.2421581909285535E-8</v>
      </c>
      <c r="G242" s="43">
        <v>1.1145215076114742E-4</v>
      </c>
      <c r="H242" s="43">
        <v>6.272614335348345E-8</v>
      </c>
      <c r="I242" s="43">
        <v>0.70360598065083557</v>
      </c>
      <c r="J242" s="43">
        <v>1.5206437994722957</v>
      </c>
      <c r="K242" s="10"/>
      <c r="L242">
        <f t="shared" si="22"/>
        <v>0</v>
      </c>
      <c r="M242" s="37">
        <f t="shared" si="23"/>
        <v>0</v>
      </c>
      <c r="N242" s="37">
        <f t="shared" si="24"/>
        <v>0</v>
      </c>
      <c r="O242" s="37">
        <f t="shared" si="25"/>
        <v>1</v>
      </c>
      <c r="P242" s="37">
        <f t="shared" si="26"/>
        <v>0</v>
      </c>
      <c r="Q242">
        <f t="shared" si="27"/>
        <v>0</v>
      </c>
    </row>
    <row r="243" spans="1:17">
      <c r="A243" s="1" t="s">
        <v>218</v>
      </c>
      <c r="B243" s="10" t="s">
        <v>278</v>
      </c>
      <c r="C243" s="1">
        <v>4</v>
      </c>
      <c r="D243" s="1">
        <v>1</v>
      </c>
      <c r="E243" s="43">
        <v>1</v>
      </c>
      <c r="F243" s="43">
        <f t="shared" si="21"/>
        <v>1</v>
      </c>
      <c r="G243" s="43">
        <v>0.24129052765416401</v>
      </c>
      <c r="H243" s="43">
        <v>7.4219608529938256E-6</v>
      </c>
      <c r="I243" s="43">
        <v>0.27203482045701849</v>
      </c>
      <c r="J243" s="43">
        <v>137.05513329706204</v>
      </c>
      <c r="K243" s="10"/>
      <c r="L243">
        <f t="shared" si="22"/>
        <v>1</v>
      </c>
      <c r="M243" s="37">
        <f t="shared" si="23"/>
        <v>1</v>
      </c>
      <c r="N243" s="37">
        <f t="shared" si="24"/>
        <v>1</v>
      </c>
      <c r="O243" s="37">
        <f t="shared" si="25"/>
        <v>0</v>
      </c>
      <c r="P243" s="37">
        <f t="shared" si="26"/>
        <v>1</v>
      </c>
      <c r="Q243">
        <f t="shared" si="27"/>
        <v>1</v>
      </c>
    </row>
    <row r="244" spans="1:17">
      <c r="A244" s="1" t="s">
        <v>218</v>
      </c>
      <c r="B244" s="10" t="s">
        <v>263</v>
      </c>
      <c r="C244" s="1">
        <v>4</v>
      </c>
      <c r="D244" s="1">
        <v>1</v>
      </c>
      <c r="E244" s="43">
        <v>0.68186009748386245</v>
      </c>
      <c r="F244" s="43">
        <f t="shared" si="21"/>
        <v>0.46493319254070242</v>
      </c>
      <c r="G244" s="43">
        <v>0.16452638270820089</v>
      </c>
      <c r="H244" s="43">
        <v>5.0594623846594739E-6</v>
      </c>
      <c r="I244" s="43">
        <v>0.40805223068552776</v>
      </c>
      <c r="J244" s="43">
        <v>96.965516866158865</v>
      </c>
      <c r="L244">
        <f t="shared" si="22"/>
        <v>1</v>
      </c>
      <c r="M244" s="37">
        <f t="shared" si="23"/>
        <v>1</v>
      </c>
      <c r="N244" s="37">
        <f t="shared" si="24"/>
        <v>1</v>
      </c>
      <c r="O244" s="37">
        <f t="shared" si="25"/>
        <v>1</v>
      </c>
      <c r="P244" s="37">
        <f t="shared" si="26"/>
        <v>1</v>
      </c>
      <c r="Q244">
        <f t="shared" si="27"/>
        <v>1</v>
      </c>
    </row>
    <row r="245" spans="1:17" ht="31.5">
      <c r="A245" s="1" t="s">
        <v>218</v>
      </c>
      <c r="B245" s="10" t="s">
        <v>283</v>
      </c>
      <c r="C245" s="1">
        <v>4</v>
      </c>
      <c r="D245" s="1">
        <v>1</v>
      </c>
      <c r="E245" s="43">
        <v>0.80173890133052295</v>
      </c>
      <c r="F245" s="43">
        <f t="shared" si="21"/>
        <v>0.64278526590667406</v>
      </c>
      <c r="G245" s="43">
        <v>0.19345200254291164</v>
      </c>
      <c r="H245" s="43">
        <v>5.9689258474411398E-6</v>
      </c>
      <c r="I245" s="43">
        <v>0.3400435255712731</v>
      </c>
      <c r="J245" s="43">
        <v>112.58934439608269</v>
      </c>
      <c r="L245">
        <f t="shared" si="22"/>
        <v>1</v>
      </c>
      <c r="M245" s="37">
        <f t="shared" si="23"/>
        <v>1</v>
      </c>
      <c r="N245" s="37">
        <f t="shared" si="24"/>
        <v>1</v>
      </c>
      <c r="O245" s="37">
        <f t="shared" si="25"/>
        <v>1</v>
      </c>
      <c r="P245" s="37">
        <f t="shared" si="26"/>
        <v>1</v>
      </c>
      <c r="Q245">
        <f t="shared" si="27"/>
        <v>1</v>
      </c>
    </row>
    <row r="246" spans="1:17" ht="31.5">
      <c r="A246" s="1" t="s">
        <v>217</v>
      </c>
      <c r="B246" s="10" t="s">
        <v>283</v>
      </c>
      <c r="C246" s="1">
        <v>4</v>
      </c>
      <c r="D246" s="1">
        <v>1</v>
      </c>
      <c r="E246" s="43">
        <v>7.4079999999999993E-2</v>
      </c>
      <c r="F246" s="43">
        <f t="shared" si="21"/>
        <v>5.4878463999999986E-3</v>
      </c>
      <c r="G246" s="43">
        <v>3.0717685890099683E-2</v>
      </c>
      <c r="H246" s="43">
        <v>3.6219210239327312E-6</v>
      </c>
      <c r="I246" s="43">
        <v>0.61785603954278656</v>
      </c>
      <c r="J246" s="43">
        <v>51.877359695191018</v>
      </c>
      <c r="L246">
        <f t="shared" si="22"/>
        <v>0</v>
      </c>
      <c r="M246" s="37">
        <f t="shared" si="23"/>
        <v>1</v>
      </c>
      <c r="N246" s="37">
        <f t="shared" si="24"/>
        <v>1</v>
      </c>
      <c r="O246" s="37">
        <f t="shared" si="25"/>
        <v>1</v>
      </c>
      <c r="P246" s="37">
        <f t="shared" si="26"/>
        <v>1</v>
      </c>
      <c r="Q246">
        <f t="shared" si="27"/>
        <v>1</v>
      </c>
    </row>
    <row r="247" spans="1:17" ht="31.5">
      <c r="A247" s="1" t="s">
        <v>219</v>
      </c>
      <c r="B247" s="10" t="s">
        <v>283</v>
      </c>
      <c r="C247" s="1">
        <v>4</v>
      </c>
      <c r="D247" s="1">
        <v>1</v>
      </c>
      <c r="E247" s="43">
        <v>0.11642131453452208</v>
      </c>
      <c r="F247" s="43">
        <f t="shared" si="21"/>
        <v>1.3553922477946121E-2</v>
      </c>
      <c r="G247" s="43">
        <v>8.4959903162354369E-2</v>
      </c>
      <c r="H247" s="43">
        <v>1.1010639912755503E-6</v>
      </c>
      <c r="I247" s="43">
        <v>1.1125703564727956</v>
      </c>
      <c r="J247" s="43">
        <v>23.880429956222635</v>
      </c>
      <c r="K247" s="10"/>
      <c r="L247">
        <f t="shared" si="22"/>
        <v>0</v>
      </c>
      <c r="M247" s="37">
        <f t="shared" si="23"/>
        <v>1</v>
      </c>
      <c r="N247" s="37">
        <f t="shared" si="24"/>
        <v>1</v>
      </c>
      <c r="O247" s="37">
        <f t="shared" si="25"/>
        <v>1</v>
      </c>
      <c r="P247" s="37">
        <f t="shared" si="26"/>
        <v>1</v>
      </c>
      <c r="Q247">
        <f t="shared" si="27"/>
        <v>1</v>
      </c>
    </row>
    <row r="248" spans="1:17" ht="31.5">
      <c r="A248" s="1" t="s">
        <v>187</v>
      </c>
      <c r="B248" s="10" t="s">
        <v>283</v>
      </c>
      <c r="C248" s="1">
        <v>4</v>
      </c>
      <c r="D248" s="1">
        <v>1</v>
      </c>
      <c r="E248" s="43">
        <v>2.0531807472231572E-2</v>
      </c>
      <c r="F248" s="43">
        <f t="shared" si="21"/>
        <v>4.2155511807678424E-4</v>
      </c>
      <c r="G248" s="43">
        <v>4.3928346385813305E-2</v>
      </c>
      <c r="H248" s="43">
        <v>4.7809357515912055E-7</v>
      </c>
      <c r="I248" s="43">
        <v>0.94679999999999997</v>
      </c>
      <c r="J248" s="43">
        <v>8.5952965552965548</v>
      </c>
      <c r="K248" s="10"/>
      <c r="L248">
        <f t="shared" si="22"/>
        <v>0</v>
      </c>
      <c r="M248" s="37">
        <f t="shared" si="23"/>
        <v>1</v>
      </c>
      <c r="N248" s="37">
        <f t="shared" si="24"/>
        <v>1</v>
      </c>
      <c r="O248" s="37">
        <f t="shared" si="25"/>
        <v>1</v>
      </c>
      <c r="P248" s="37">
        <f t="shared" si="26"/>
        <v>1</v>
      </c>
      <c r="Q248">
        <f t="shared" si="27"/>
        <v>1</v>
      </c>
    </row>
    <row r="249" spans="1:17" ht="31.5">
      <c r="A249" s="1" t="s">
        <v>211</v>
      </c>
      <c r="B249" s="10" t="s">
        <v>283</v>
      </c>
      <c r="C249" s="1">
        <v>4</v>
      </c>
      <c r="D249" s="1">
        <v>1</v>
      </c>
      <c r="E249" s="43">
        <v>1</v>
      </c>
      <c r="F249" s="43">
        <f t="shared" si="21"/>
        <v>1</v>
      </c>
      <c r="G249" s="43">
        <v>0.67534957274722873</v>
      </c>
      <c r="H249" s="43">
        <v>6.5426381376320849E-4</v>
      </c>
      <c r="I249" s="43">
        <v>0.96744670991658943</v>
      </c>
      <c r="J249" s="43">
        <v>10534.994220109011</v>
      </c>
      <c r="K249" s="10"/>
      <c r="L249">
        <f t="shared" si="22"/>
        <v>1</v>
      </c>
      <c r="M249" s="37">
        <f t="shared" si="23"/>
        <v>1</v>
      </c>
      <c r="N249" s="37">
        <f t="shared" si="24"/>
        <v>1</v>
      </c>
      <c r="O249" s="37">
        <f t="shared" si="25"/>
        <v>1</v>
      </c>
      <c r="P249" s="37">
        <f t="shared" si="26"/>
        <v>1</v>
      </c>
      <c r="Q249">
        <f t="shared" si="27"/>
        <v>1</v>
      </c>
    </row>
    <row r="250" spans="1:17" ht="47.25">
      <c r="A250" s="1" t="s">
        <v>218</v>
      </c>
      <c r="B250" s="10" t="s">
        <v>277</v>
      </c>
      <c r="C250" s="1">
        <v>4</v>
      </c>
      <c r="D250" s="1">
        <v>1</v>
      </c>
      <c r="E250" s="43">
        <v>1.6598603609537611E-2</v>
      </c>
      <c r="F250" s="43">
        <f t="shared" si="21"/>
        <v>2.7551364178655501E-4</v>
      </c>
      <c r="G250" s="43">
        <v>4.0050858232676418E-3</v>
      </c>
      <c r="H250" s="43">
        <v>1.230082691507007E-7</v>
      </c>
      <c r="I250" s="43">
        <v>0.27203482045701849</v>
      </c>
      <c r="J250" s="43">
        <v>2.3373068552774758</v>
      </c>
      <c r="K250" s="10" t="s">
        <v>270</v>
      </c>
      <c r="L250">
        <f t="shared" si="22"/>
        <v>0</v>
      </c>
      <c r="M250" s="37">
        <f t="shared" si="23"/>
        <v>1</v>
      </c>
      <c r="N250" s="37">
        <f t="shared" si="24"/>
        <v>0</v>
      </c>
      <c r="O250" s="37">
        <f t="shared" si="25"/>
        <v>0</v>
      </c>
      <c r="P250" s="37">
        <f t="shared" si="26"/>
        <v>1</v>
      </c>
      <c r="Q250">
        <f t="shared" si="27"/>
        <v>1</v>
      </c>
    </row>
    <row r="251" spans="1:17">
      <c r="A251" s="1" t="s">
        <v>217</v>
      </c>
      <c r="B251" s="8" t="s">
        <v>277</v>
      </c>
      <c r="C251" s="1">
        <v>4</v>
      </c>
      <c r="D251" s="1">
        <v>1</v>
      </c>
      <c r="E251" s="43">
        <v>5.6600000000000001E-3</v>
      </c>
      <c r="F251" s="43">
        <f t="shared" si="21"/>
        <v>3.2035600000000002E-5</v>
      </c>
      <c r="G251" s="43">
        <v>2.3469506228126916E-3</v>
      </c>
      <c r="H251" s="43">
        <v>2.7335170922377933E-7</v>
      </c>
      <c r="I251" s="43">
        <v>0.15446400988569664</v>
      </c>
      <c r="J251" s="43">
        <v>3.9744145814025331</v>
      </c>
      <c r="K251" t="s">
        <v>270</v>
      </c>
      <c r="L251">
        <f t="shared" si="22"/>
        <v>0</v>
      </c>
      <c r="M251" s="37">
        <f t="shared" si="23"/>
        <v>1</v>
      </c>
      <c r="N251" s="37">
        <f t="shared" si="24"/>
        <v>1</v>
      </c>
      <c r="O251" s="37">
        <f t="shared" si="25"/>
        <v>0</v>
      </c>
      <c r="P251" s="37">
        <f t="shared" si="26"/>
        <v>1</v>
      </c>
      <c r="Q251">
        <f t="shared" si="27"/>
        <v>1</v>
      </c>
    </row>
    <row r="252" spans="1:17" ht="47.25">
      <c r="A252" s="1" t="s">
        <v>219</v>
      </c>
      <c r="B252" s="10" t="s">
        <v>277</v>
      </c>
      <c r="C252" s="1">
        <v>4</v>
      </c>
      <c r="D252" s="1">
        <v>1</v>
      </c>
      <c r="E252" s="43">
        <v>2.9027576197387518E-3</v>
      </c>
      <c r="F252" s="43">
        <f t="shared" si="21"/>
        <v>8.4260017989513843E-6</v>
      </c>
      <c r="G252" s="43">
        <v>4.9534289227176636E-5</v>
      </c>
      <c r="H252" s="43">
        <v>2.7335170922377928E-8</v>
      </c>
      <c r="I252" s="43">
        <v>0.46904315196998125</v>
      </c>
      <c r="J252" s="43">
        <v>0.59703564727954972</v>
      </c>
      <c r="K252" t="s">
        <v>270</v>
      </c>
      <c r="L252">
        <f t="shared" si="22"/>
        <v>0</v>
      </c>
      <c r="M252" s="37">
        <f t="shared" si="23"/>
        <v>0</v>
      </c>
      <c r="N252" s="37">
        <f t="shared" si="24"/>
        <v>0</v>
      </c>
      <c r="O252" s="37">
        <f t="shared" si="25"/>
        <v>1</v>
      </c>
      <c r="P252" s="37">
        <f t="shared" si="26"/>
        <v>0</v>
      </c>
      <c r="Q252">
        <f t="shared" si="27"/>
        <v>0</v>
      </c>
    </row>
    <row r="253" spans="1:17" ht="47.25">
      <c r="A253" s="1" t="s">
        <v>187</v>
      </c>
      <c r="B253" s="10" t="s">
        <v>277</v>
      </c>
      <c r="C253" s="1">
        <v>4</v>
      </c>
      <c r="D253" s="1">
        <v>1</v>
      </c>
      <c r="E253" s="43">
        <v>1.43049478290138E-3</v>
      </c>
      <c r="F253" s="43">
        <f t="shared" si="21"/>
        <v>2.0463153239080663E-6</v>
      </c>
      <c r="G253" s="43">
        <v>3.0605815104869927E-3</v>
      </c>
      <c r="H253" s="43">
        <v>3.2802205106853518E-8</v>
      </c>
      <c r="I253" s="43">
        <v>0.40579999999999999</v>
      </c>
      <c r="J253" s="43">
        <v>0.60048174048174052</v>
      </c>
      <c r="K253" s="10" t="s">
        <v>270</v>
      </c>
      <c r="L253">
        <f t="shared" si="22"/>
        <v>0</v>
      </c>
      <c r="M253" s="37">
        <f t="shared" si="23"/>
        <v>1</v>
      </c>
      <c r="N253" s="37">
        <f t="shared" si="24"/>
        <v>0</v>
      </c>
      <c r="O253" s="37">
        <f t="shared" si="25"/>
        <v>1</v>
      </c>
      <c r="P253" s="37">
        <f t="shared" si="26"/>
        <v>0</v>
      </c>
      <c r="Q253">
        <f t="shared" si="27"/>
        <v>0</v>
      </c>
    </row>
    <row r="254" spans="1:17" ht="47.25">
      <c r="A254" s="1" t="s">
        <v>211</v>
      </c>
      <c r="B254" s="10" t="s">
        <v>277</v>
      </c>
      <c r="C254" s="1">
        <v>4</v>
      </c>
      <c r="D254" s="1">
        <v>1</v>
      </c>
      <c r="E254" s="43">
        <v>1.6222099785002903E-2</v>
      </c>
      <c r="F254" s="43">
        <f t="shared" si="21"/>
        <v>2.6315652143459126E-4</v>
      </c>
      <c r="G254" s="43">
        <v>1.0955588158864623E-2</v>
      </c>
      <c r="H254" s="43">
        <v>1.0606046317882638E-5</v>
      </c>
      <c r="I254" s="43">
        <v>0.90361445783132532</v>
      </c>
      <c r="J254" s="43">
        <v>171.36464107619159</v>
      </c>
      <c r="K254" s="10" t="s">
        <v>270</v>
      </c>
      <c r="L254">
        <f t="shared" si="22"/>
        <v>0</v>
      </c>
      <c r="M254" s="37">
        <f t="shared" si="23"/>
        <v>1</v>
      </c>
      <c r="N254" s="37">
        <f t="shared" si="24"/>
        <v>1</v>
      </c>
      <c r="O254" s="37">
        <f t="shared" si="25"/>
        <v>1</v>
      </c>
      <c r="P254" s="37">
        <f t="shared" si="26"/>
        <v>1</v>
      </c>
      <c r="Q254">
        <f t="shared" si="27"/>
        <v>1</v>
      </c>
    </row>
    <row r="255" spans="1:17" ht="47.25">
      <c r="A255" s="1" t="s">
        <v>218</v>
      </c>
      <c r="B255" s="10" t="s">
        <v>273</v>
      </c>
      <c r="C255" s="1">
        <v>4</v>
      </c>
      <c r="D255" s="1">
        <v>1</v>
      </c>
      <c r="E255" s="43">
        <v>3.952048478461336E-4</v>
      </c>
      <c r="F255" s="43">
        <f t="shared" si="21"/>
        <v>1.561868717610856E-7</v>
      </c>
      <c r="G255" s="43">
        <v>9.5359186268277176E-5</v>
      </c>
      <c r="H255" s="43">
        <v>2.9444317016152675E-9</v>
      </c>
      <c r="I255" s="43">
        <v>6.2840043525571279E-2</v>
      </c>
      <c r="J255" s="43">
        <v>5.5780739934711637E-2</v>
      </c>
      <c r="K255" t="s">
        <v>272</v>
      </c>
      <c r="L255">
        <f t="shared" si="22"/>
        <v>0</v>
      </c>
      <c r="M255" s="37">
        <f t="shared" si="23"/>
        <v>0</v>
      </c>
      <c r="N255" s="37">
        <f t="shared" si="24"/>
        <v>0</v>
      </c>
      <c r="O255" s="37">
        <f t="shared" si="25"/>
        <v>0</v>
      </c>
      <c r="P255" s="37">
        <f t="shared" si="26"/>
        <v>0</v>
      </c>
      <c r="Q255">
        <f t="shared" si="27"/>
        <v>0</v>
      </c>
    </row>
    <row r="256" spans="1:17">
      <c r="A256" s="1" t="s">
        <v>217</v>
      </c>
      <c r="B256" s="8" t="s">
        <v>273</v>
      </c>
      <c r="C256" s="1">
        <v>4</v>
      </c>
      <c r="D256" s="1">
        <v>1</v>
      </c>
      <c r="E256" s="43">
        <v>5.5999999999999995E-4</v>
      </c>
      <c r="F256" s="43">
        <f t="shared" si="21"/>
        <v>3.1359999999999995E-7</v>
      </c>
      <c r="G256" s="43">
        <v>2.322071287588529E-4</v>
      </c>
      <c r="H256" s="43">
        <v>2.6990623931473293E-8</v>
      </c>
      <c r="I256" s="43">
        <v>0.15817114612295335</v>
      </c>
      <c r="J256" s="43">
        <v>0.39415096282566159</v>
      </c>
      <c r="K256" t="s">
        <v>272</v>
      </c>
      <c r="L256">
        <f t="shared" si="22"/>
        <v>0</v>
      </c>
      <c r="M256" s="37">
        <f t="shared" si="23"/>
        <v>0</v>
      </c>
      <c r="N256" s="37">
        <f t="shared" si="24"/>
        <v>0</v>
      </c>
      <c r="O256" s="37">
        <f t="shared" si="25"/>
        <v>0</v>
      </c>
      <c r="P256" s="37">
        <f t="shared" si="26"/>
        <v>0</v>
      </c>
      <c r="Q256">
        <f t="shared" si="27"/>
        <v>0</v>
      </c>
    </row>
    <row r="257" spans="1:17" ht="47.25">
      <c r="A257" s="1" t="s">
        <v>219</v>
      </c>
      <c r="B257" s="10" t="s">
        <v>273</v>
      </c>
      <c r="C257" s="1">
        <v>4</v>
      </c>
      <c r="D257" s="1">
        <v>1</v>
      </c>
      <c r="E257" s="43">
        <v>3.1100974497200911E-4</v>
      </c>
      <c r="F257" s="43">
        <f t="shared" si="21"/>
        <v>9.672706146755414E-8</v>
      </c>
      <c r="G257" s="43">
        <v>5.3072452743403534E-6</v>
      </c>
      <c r="H257" s="43">
        <v>2.9444317016152675E-9</v>
      </c>
      <c r="I257" s="43">
        <v>6.144465290806754E-2</v>
      </c>
      <c r="J257" s="43">
        <v>6.4118198874296428E-2</v>
      </c>
      <c r="K257" s="10" t="s">
        <v>272</v>
      </c>
      <c r="L257">
        <f t="shared" si="22"/>
        <v>0</v>
      </c>
      <c r="M257" s="37">
        <f t="shared" si="23"/>
        <v>0</v>
      </c>
      <c r="N257" s="37">
        <f t="shared" si="24"/>
        <v>0</v>
      </c>
      <c r="O257" s="37">
        <f t="shared" si="25"/>
        <v>0</v>
      </c>
      <c r="P257" s="37">
        <f t="shared" si="26"/>
        <v>0</v>
      </c>
      <c r="Q257">
        <f t="shared" si="27"/>
        <v>0</v>
      </c>
    </row>
    <row r="258" spans="1:17" ht="47.25">
      <c r="A258" s="1" t="s">
        <v>211</v>
      </c>
      <c r="B258" s="10" t="s">
        <v>273</v>
      </c>
      <c r="C258" s="1">
        <v>4</v>
      </c>
      <c r="D258" s="1">
        <v>1</v>
      </c>
      <c r="E258" s="43">
        <v>2.2637577180363998E-3</v>
      </c>
      <c r="F258" s="43">
        <f t="shared" ref="F258:F321" si="28">E258*E258</f>
        <v>5.1245990059693679E-6</v>
      </c>
      <c r="G258" s="43">
        <v>1.5288278076791241E-3</v>
      </c>
      <c r="H258" s="43">
        <v>1.472215850807634E-6</v>
      </c>
      <c r="I258" s="43">
        <v>0.87986561631139948</v>
      </c>
      <c r="J258" s="43">
        <v>23.969662530441841</v>
      </c>
      <c r="K258" t="s">
        <v>272</v>
      </c>
      <c r="L258">
        <f t="shared" ref="L258:L321" si="29">IF(E258&gt;$S$3,1,0)</f>
        <v>0</v>
      </c>
      <c r="M258" s="37">
        <f t="shared" ref="M258:M321" si="30">IF(G258&gt;$T$3,1,0)</f>
        <v>1</v>
      </c>
      <c r="N258" s="37">
        <f t="shared" ref="N258:N321" si="31">IF(H258&gt;$U$3,1,0)</f>
        <v>1</v>
      </c>
      <c r="O258" s="37">
        <f t="shared" ref="O258:O321" si="32">IF(I258&gt;$V$3,1,0)</f>
        <v>1</v>
      </c>
      <c r="P258" s="37">
        <f t="shared" ref="P258:P321" si="33">IF(J258&gt;$W$3,1,0)</f>
        <v>1</v>
      </c>
      <c r="Q258">
        <f t="shared" ref="Q258:Q321" si="34">IF(E258&gt;$X$3,1,0)</f>
        <v>0</v>
      </c>
    </row>
    <row r="259" spans="1:17">
      <c r="A259" s="1" t="s">
        <v>218</v>
      </c>
      <c r="B259" s="8" t="s">
        <v>276</v>
      </c>
      <c r="C259" s="1">
        <v>4</v>
      </c>
      <c r="D259" s="1">
        <v>1</v>
      </c>
      <c r="E259" s="43">
        <v>0.10604663417204585</v>
      </c>
      <c r="F259" s="43">
        <f t="shared" si="28"/>
        <v>1.1245888619219723E-2</v>
      </c>
      <c r="G259" s="43">
        <v>2.5588048315321042E-2</v>
      </c>
      <c r="H259" s="43">
        <v>7.9305623684678068E-7</v>
      </c>
      <c r="I259" s="43">
        <v>0.29447769314472255</v>
      </c>
      <c r="J259" s="43">
        <v>14.876951849836781</v>
      </c>
      <c r="K259" t="s">
        <v>268</v>
      </c>
      <c r="L259">
        <f t="shared" si="29"/>
        <v>0</v>
      </c>
      <c r="M259" s="37">
        <f t="shared" si="30"/>
        <v>1</v>
      </c>
      <c r="N259" s="37">
        <f t="shared" si="31"/>
        <v>1</v>
      </c>
      <c r="O259" s="37">
        <f t="shared" si="32"/>
        <v>0</v>
      </c>
      <c r="P259" s="37">
        <f t="shared" si="33"/>
        <v>1</v>
      </c>
      <c r="Q259">
        <f t="shared" si="34"/>
        <v>1</v>
      </c>
    </row>
    <row r="260" spans="1:17">
      <c r="A260" s="1" t="s">
        <v>217</v>
      </c>
      <c r="B260" s="8" t="s">
        <v>276</v>
      </c>
      <c r="C260" s="1">
        <v>4</v>
      </c>
      <c r="D260" s="1">
        <v>1</v>
      </c>
      <c r="E260" s="43">
        <v>1.3559999999999999E-2</v>
      </c>
      <c r="F260" s="43">
        <f t="shared" si="28"/>
        <v>1.8387359999999997E-4</v>
      </c>
      <c r="G260" s="43">
        <v>5.6227297606607956E-3</v>
      </c>
      <c r="H260" s="43">
        <v>6.5143905169556992E-7</v>
      </c>
      <c r="I260" s="43">
        <v>0.25867572855524662</v>
      </c>
      <c r="J260" s="43">
        <v>9.48613531047266</v>
      </c>
      <c r="K260" t="s">
        <v>268</v>
      </c>
      <c r="L260">
        <f t="shared" si="29"/>
        <v>0</v>
      </c>
      <c r="M260" s="37">
        <f t="shared" si="30"/>
        <v>1</v>
      </c>
      <c r="N260" s="37">
        <f t="shared" si="31"/>
        <v>1</v>
      </c>
      <c r="O260" s="37">
        <f t="shared" si="32"/>
        <v>0</v>
      </c>
      <c r="P260" s="37">
        <f t="shared" si="33"/>
        <v>1</v>
      </c>
      <c r="Q260">
        <f t="shared" si="34"/>
        <v>1</v>
      </c>
    </row>
    <row r="261" spans="1:17" ht="31.5">
      <c r="A261" s="1" t="s">
        <v>219</v>
      </c>
      <c r="B261" s="10" t="s">
        <v>276</v>
      </c>
      <c r="C261" s="1">
        <v>4</v>
      </c>
      <c r="D261" s="1">
        <v>1</v>
      </c>
      <c r="E261" s="43">
        <v>2.6539498237611446E-2</v>
      </c>
      <c r="F261" s="43">
        <f t="shared" si="28"/>
        <v>7.0434496670418109E-4</v>
      </c>
      <c r="G261" s="43">
        <v>4.5288493007704351E-4</v>
      </c>
      <c r="H261" s="43">
        <v>2.4924624586613107E-7</v>
      </c>
      <c r="I261" s="43">
        <v>0.89634146341463417</v>
      </c>
      <c r="J261" s="43">
        <v>5.4381988742964351</v>
      </c>
      <c r="K261" s="10" t="s">
        <v>268</v>
      </c>
      <c r="L261">
        <f t="shared" si="29"/>
        <v>0</v>
      </c>
      <c r="M261" s="37">
        <f t="shared" si="30"/>
        <v>0</v>
      </c>
      <c r="N261" s="37">
        <f t="shared" si="31"/>
        <v>1</v>
      </c>
      <c r="O261" s="37">
        <f t="shared" si="32"/>
        <v>1</v>
      </c>
      <c r="P261" s="37">
        <f t="shared" si="33"/>
        <v>1</v>
      </c>
      <c r="Q261">
        <f t="shared" si="34"/>
        <v>1</v>
      </c>
    </row>
    <row r="262" spans="1:17" ht="31.5">
      <c r="A262" s="1" t="s">
        <v>187</v>
      </c>
      <c r="B262" s="10" t="s">
        <v>276</v>
      </c>
      <c r="C262" s="1">
        <v>4</v>
      </c>
      <c r="D262" s="1">
        <v>1</v>
      </c>
      <c r="E262" s="43">
        <v>1.215920565466173E-2</v>
      </c>
      <c r="F262" s="43">
        <f t="shared" si="28"/>
        <v>1.478462821523578E-4</v>
      </c>
      <c r="G262" s="43">
        <v>2.6014942839139438E-2</v>
      </c>
      <c r="H262" s="43">
        <v>2.8323437030242168E-7</v>
      </c>
      <c r="I262" s="43">
        <v>0.81159999999999999</v>
      </c>
      <c r="J262" s="43">
        <v>5.0850077700077705</v>
      </c>
      <c r="K262" s="10" t="s">
        <v>268</v>
      </c>
      <c r="L262">
        <f t="shared" si="29"/>
        <v>0</v>
      </c>
      <c r="M262" s="37">
        <f t="shared" si="30"/>
        <v>1</v>
      </c>
      <c r="N262" s="37">
        <f t="shared" si="31"/>
        <v>1</v>
      </c>
      <c r="O262" s="37">
        <f t="shared" si="32"/>
        <v>1</v>
      </c>
      <c r="P262" s="37">
        <f t="shared" si="33"/>
        <v>1</v>
      </c>
      <c r="Q262">
        <f t="shared" si="34"/>
        <v>1</v>
      </c>
    </row>
    <row r="263" spans="1:17">
      <c r="A263" s="1" t="s">
        <v>211</v>
      </c>
      <c r="B263" s="8" t="s">
        <v>276</v>
      </c>
      <c r="C263" s="1">
        <v>4</v>
      </c>
      <c r="D263" s="1">
        <v>1</v>
      </c>
      <c r="E263" s="43">
        <v>0.15397894345995605</v>
      </c>
      <c r="F263" s="43">
        <f t="shared" si="28"/>
        <v>2.3709515029044344E-2</v>
      </c>
      <c r="G263" s="43">
        <v>0.103989613677751</v>
      </c>
      <c r="H263" s="43">
        <v>1.0083143582766211E-4</v>
      </c>
      <c r="I263" s="43">
        <v>0.99455514365152919</v>
      </c>
      <c r="J263" s="43">
        <v>1614.8251130696974</v>
      </c>
      <c r="K263" t="s">
        <v>268</v>
      </c>
      <c r="L263">
        <f t="shared" si="29"/>
        <v>0</v>
      </c>
      <c r="M263" s="37">
        <f t="shared" si="30"/>
        <v>1</v>
      </c>
      <c r="N263" s="37">
        <f t="shared" si="31"/>
        <v>1</v>
      </c>
      <c r="O263" s="37">
        <f t="shared" si="32"/>
        <v>1</v>
      </c>
      <c r="P263" s="37">
        <f t="shared" si="33"/>
        <v>1</v>
      </c>
      <c r="Q263">
        <f t="shared" si="34"/>
        <v>1</v>
      </c>
    </row>
    <row r="264" spans="1:17">
      <c r="A264" s="1" t="s">
        <v>218</v>
      </c>
      <c r="B264" s="8" t="s">
        <v>281</v>
      </c>
      <c r="C264" s="1">
        <v>4</v>
      </c>
      <c r="D264" s="1">
        <v>1</v>
      </c>
      <c r="E264" s="43">
        <v>0.1106573573969174</v>
      </c>
      <c r="F264" s="43">
        <f t="shared" si="28"/>
        <v>1.224505074606911E-2</v>
      </c>
      <c r="G264" s="43">
        <v>2.6700572155117609E-2</v>
      </c>
      <c r="H264" s="43">
        <v>8.3103372701680621E-7</v>
      </c>
      <c r="I264" s="43">
        <v>0.2218443960826986</v>
      </c>
      <c r="J264" s="43">
        <v>16.16702937976061</v>
      </c>
      <c r="L264">
        <f t="shared" si="29"/>
        <v>0</v>
      </c>
      <c r="M264" s="37">
        <f t="shared" si="30"/>
        <v>1</v>
      </c>
      <c r="N264" s="37">
        <f t="shared" si="31"/>
        <v>1</v>
      </c>
      <c r="O264" s="37">
        <f t="shared" si="32"/>
        <v>0</v>
      </c>
      <c r="P264" s="37">
        <f t="shared" si="33"/>
        <v>1</v>
      </c>
      <c r="Q264">
        <f t="shared" si="34"/>
        <v>1</v>
      </c>
    </row>
    <row r="265" spans="1:17">
      <c r="A265" s="1" t="s">
        <v>217</v>
      </c>
      <c r="B265" s="8" t="s">
        <v>281</v>
      </c>
      <c r="C265" s="1">
        <v>4</v>
      </c>
      <c r="D265" s="1">
        <v>1</v>
      </c>
      <c r="E265" s="43">
        <v>0.15307999999999999</v>
      </c>
      <c r="F265" s="43">
        <f t="shared" si="28"/>
        <v>2.3433486399999998E-2</v>
      </c>
      <c r="G265" s="43">
        <v>6.3475477268580716E-2</v>
      </c>
      <c r="H265" s="43">
        <v>7.5030473639231651E-6</v>
      </c>
      <c r="I265" s="43">
        <v>0.97827206260941202</v>
      </c>
      <c r="J265" s="43">
        <v>111.52723715374317</v>
      </c>
      <c r="L265">
        <f t="shared" si="29"/>
        <v>0</v>
      </c>
      <c r="M265" s="37">
        <f t="shared" si="30"/>
        <v>1</v>
      </c>
      <c r="N265" s="37">
        <f t="shared" si="31"/>
        <v>1</v>
      </c>
      <c r="O265" s="37">
        <f t="shared" si="32"/>
        <v>1</v>
      </c>
      <c r="P265" s="37">
        <f t="shared" si="33"/>
        <v>1</v>
      </c>
      <c r="Q265">
        <f t="shared" si="34"/>
        <v>1</v>
      </c>
    </row>
    <row r="266" spans="1:17" ht="31.5">
      <c r="A266" s="1" t="s">
        <v>219</v>
      </c>
      <c r="B266" s="10" t="s">
        <v>281</v>
      </c>
      <c r="C266" s="1">
        <v>4</v>
      </c>
      <c r="D266" s="1">
        <v>1</v>
      </c>
      <c r="E266" s="43">
        <v>2.9027576197387519E-2</v>
      </c>
      <c r="F266" s="43">
        <f t="shared" si="28"/>
        <v>8.4260017989513849E-4</v>
      </c>
      <c r="G266" s="43">
        <v>2.1183234982599487E-2</v>
      </c>
      <c r="H266" s="43">
        <v>2.8492584926290503E-7</v>
      </c>
      <c r="I266" s="43">
        <v>0.70121951219512191</v>
      </c>
      <c r="J266" s="43">
        <v>6.1944965603502187</v>
      </c>
      <c r="L266">
        <f t="shared" si="29"/>
        <v>0</v>
      </c>
      <c r="M266" s="37">
        <f t="shared" si="30"/>
        <v>1</v>
      </c>
      <c r="N266" s="37">
        <f t="shared" si="31"/>
        <v>1</v>
      </c>
      <c r="O266" s="37">
        <f t="shared" si="32"/>
        <v>1</v>
      </c>
      <c r="P266" s="37">
        <f t="shared" si="33"/>
        <v>1</v>
      </c>
      <c r="Q266">
        <f t="shared" si="34"/>
        <v>1</v>
      </c>
    </row>
    <row r="267" spans="1:17" ht="31.5">
      <c r="A267" s="1" t="s">
        <v>187</v>
      </c>
      <c r="B267" s="10" t="s">
        <v>281</v>
      </c>
      <c r="C267" s="1">
        <v>4</v>
      </c>
      <c r="D267" s="1">
        <v>1</v>
      </c>
      <c r="E267" s="43">
        <v>0.10207001009761023</v>
      </c>
      <c r="F267" s="43">
        <f t="shared" si="28"/>
        <v>1.0418286961326254E-2</v>
      </c>
      <c r="G267" s="43">
        <v>0.21838149248357189</v>
      </c>
      <c r="H267" s="43">
        <v>2.3743820771908752E-6</v>
      </c>
      <c r="I267" s="43">
        <v>0.98040000000000005</v>
      </c>
      <c r="J267" s="43">
        <v>44.454674954674957</v>
      </c>
      <c r="L267">
        <f t="shared" si="29"/>
        <v>0</v>
      </c>
      <c r="M267" s="37">
        <f t="shared" si="30"/>
        <v>1</v>
      </c>
      <c r="N267" s="37">
        <f t="shared" si="31"/>
        <v>1</v>
      </c>
      <c r="O267" s="37">
        <f t="shared" si="32"/>
        <v>1</v>
      </c>
      <c r="P267" s="37">
        <f t="shared" si="33"/>
        <v>1</v>
      </c>
      <c r="Q267">
        <f t="shared" si="34"/>
        <v>1</v>
      </c>
    </row>
    <row r="268" spans="1:17" ht="31.5">
      <c r="A268" s="1" t="s">
        <v>211</v>
      </c>
      <c r="B268" s="10" t="s">
        <v>281</v>
      </c>
      <c r="C268" s="1">
        <v>4</v>
      </c>
      <c r="D268" s="1">
        <v>1</v>
      </c>
      <c r="E268" s="43">
        <v>2.4486612088945318E-2</v>
      </c>
      <c r="F268" s="43">
        <f t="shared" si="28"/>
        <v>5.9959417159448293E-4</v>
      </c>
      <c r="G268" s="43">
        <v>1.6537023012296346E-2</v>
      </c>
      <c r="H268" s="43">
        <v>1.6027079021038408E-5</v>
      </c>
      <c r="I268" s="43">
        <v>0.92191844300278036</v>
      </c>
      <c r="J268" s="43">
        <v>268.37904441609646</v>
      </c>
      <c r="L268">
        <f t="shared" si="29"/>
        <v>0</v>
      </c>
      <c r="M268" s="37">
        <f t="shared" si="30"/>
        <v>1</v>
      </c>
      <c r="N268" s="37">
        <f t="shared" si="31"/>
        <v>1</v>
      </c>
      <c r="O268" s="37">
        <f t="shared" si="32"/>
        <v>1</v>
      </c>
      <c r="P268" s="37">
        <f t="shared" si="33"/>
        <v>1</v>
      </c>
      <c r="Q268">
        <f t="shared" si="34"/>
        <v>1</v>
      </c>
    </row>
    <row r="269" spans="1:17">
      <c r="A269" s="1" t="s">
        <v>218</v>
      </c>
      <c r="B269" s="8" t="s">
        <v>269</v>
      </c>
      <c r="C269" s="1">
        <v>4</v>
      </c>
      <c r="D269" s="1">
        <v>1</v>
      </c>
      <c r="E269" s="43">
        <v>3.6885785798972466E-3</v>
      </c>
      <c r="F269" s="43">
        <f t="shared" si="28"/>
        <v>1.3605611940076788E-5</v>
      </c>
      <c r="G269" s="43">
        <v>8.9001907183725363E-4</v>
      </c>
      <c r="H269" s="43">
        <v>2.6650085606036385E-8</v>
      </c>
      <c r="I269" s="43">
        <v>0.10636561479869423</v>
      </c>
      <c r="J269" s="43">
        <v>0.51197497279651794</v>
      </c>
      <c r="K269" t="s">
        <v>270</v>
      </c>
      <c r="L269">
        <f t="shared" si="29"/>
        <v>0</v>
      </c>
      <c r="M269" s="37">
        <f t="shared" si="30"/>
        <v>0</v>
      </c>
      <c r="N269" s="37">
        <f t="shared" si="31"/>
        <v>0</v>
      </c>
      <c r="O269" s="37">
        <f t="shared" si="32"/>
        <v>0</v>
      </c>
      <c r="P269" s="37">
        <f t="shared" si="33"/>
        <v>0</v>
      </c>
      <c r="Q269">
        <f t="shared" si="34"/>
        <v>1</v>
      </c>
    </row>
    <row r="270" spans="1:17">
      <c r="A270" s="1" t="s">
        <v>217</v>
      </c>
      <c r="B270" s="8" t="s">
        <v>269</v>
      </c>
      <c r="C270" s="1">
        <v>4</v>
      </c>
      <c r="D270" s="1">
        <v>1</v>
      </c>
      <c r="E270" s="43">
        <v>3.0000000000000001E-3</v>
      </c>
      <c r="F270" s="43">
        <f t="shared" si="28"/>
        <v>9.0000000000000002E-6</v>
      </c>
      <c r="G270" s="43">
        <v>1.2439667612081406E-3</v>
      </c>
      <c r="H270" s="43">
        <v>1.4657547083320009E-7</v>
      </c>
      <c r="I270" s="43">
        <v>0.82380805272371538</v>
      </c>
      <c r="J270" s="43">
        <v>2.07645968489342</v>
      </c>
      <c r="K270" t="s">
        <v>270</v>
      </c>
      <c r="L270">
        <f t="shared" si="29"/>
        <v>0</v>
      </c>
      <c r="M270" s="37">
        <f t="shared" si="30"/>
        <v>1</v>
      </c>
      <c r="N270" s="37">
        <f t="shared" si="31"/>
        <v>0</v>
      </c>
      <c r="O270" s="37">
        <f t="shared" si="32"/>
        <v>1</v>
      </c>
      <c r="P270" s="37">
        <f t="shared" si="33"/>
        <v>1</v>
      </c>
      <c r="Q270">
        <f t="shared" si="34"/>
        <v>0</v>
      </c>
    </row>
    <row r="271" spans="1:17" ht="47.25">
      <c r="A271" s="1" t="s">
        <v>219</v>
      </c>
      <c r="B271" s="10" t="s">
        <v>269</v>
      </c>
      <c r="C271" s="1">
        <v>4</v>
      </c>
      <c r="D271" s="1">
        <v>1</v>
      </c>
      <c r="E271" s="43">
        <v>1.5550487248600455E-3</v>
      </c>
      <c r="F271" s="43">
        <f t="shared" si="28"/>
        <v>2.4181765366888538E-6</v>
      </c>
      <c r="G271" s="43">
        <v>2.6536226371701767E-5</v>
      </c>
      <c r="H271" s="43">
        <v>1.5990051363621827E-8</v>
      </c>
      <c r="I271" s="43">
        <v>0.31269543464665417</v>
      </c>
      <c r="J271" s="43">
        <v>0.31526735459662292</v>
      </c>
      <c r="K271" t="s">
        <v>270</v>
      </c>
      <c r="L271">
        <f t="shared" si="29"/>
        <v>0</v>
      </c>
      <c r="M271" s="37">
        <f t="shared" si="30"/>
        <v>0</v>
      </c>
      <c r="N271" s="37">
        <f t="shared" si="31"/>
        <v>0</v>
      </c>
      <c r="O271" s="37">
        <f t="shared" si="32"/>
        <v>1</v>
      </c>
      <c r="P271" s="37">
        <f t="shared" si="33"/>
        <v>0</v>
      </c>
      <c r="Q271">
        <f t="shared" si="34"/>
        <v>0</v>
      </c>
    </row>
    <row r="272" spans="1:17" ht="47.25">
      <c r="A272" s="1" t="s">
        <v>187</v>
      </c>
      <c r="B272" s="10" t="s">
        <v>269</v>
      </c>
      <c r="C272" s="1">
        <v>4</v>
      </c>
      <c r="D272" s="1">
        <v>1</v>
      </c>
      <c r="E272" s="43">
        <v>3.7866038370918884E-3</v>
      </c>
      <c r="F272" s="43">
        <f t="shared" si="28"/>
        <v>1.4338368619079013E-5</v>
      </c>
      <c r="G272" s="43">
        <v>8.1015392924655687E-3</v>
      </c>
      <c r="H272" s="43">
        <v>8.7945282499920065E-8</v>
      </c>
      <c r="I272" s="43">
        <v>0.54100000000000004</v>
      </c>
      <c r="J272" s="43">
        <v>1.566783216783217</v>
      </c>
      <c r="K272" t="s">
        <v>270</v>
      </c>
      <c r="L272">
        <f t="shared" si="29"/>
        <v>0</v>
      </c>
      <c r="M272" s="37">
        <f t="shared" si="30"/>
        <v>1</v>
      </c>
      <c r="N272" s="37">
        <f t="shared" si="31"/>
        <v>0</v>
      </c>
      <c r="O272" s="37">
        <f t="shared" si="32"/>
        <v>1</v>
      </c>
      <c r="P272" s="37">
        <f t="shared" si="33"/>
        <v>1</v>
      </c>
      <c r="Q272">
        <f t="shared" si="34"/>
        <v>1</v>
      </c>
    </row>
    <row r="273" spans="1:17" ht="47.25">
      <c r="A273" s="1" t="s">
        <v>211</v>
      </c>
      <c r="B273" s="10" t="s">
        <v>269</v>
      </c>
      <c r="C273" s="1">
        <v>4</v>
      </c>
      <c r="D273" s="1">
        <v>1</v>
      </c>
      <c r="E273" s="43">
        <v>1.3429832493906419E-3</v>
      </c>
      <c r="F273" s="43">
        <f t="shared" si="28"/>
        <v>1.8036040081438471E-6</v>
      </c>
      <c r="G273" s="43">
        <v>9.0698316368265498E-4</v>
      </c>
      <c r="H273" s="43">
        <v>8.794528249992007E-7</v>
      </c>
      <c r="I273" s="43">
        <v>0.69508804448563488</v>
      </c>
      <c r="J273" s="43">
        <v>13.983962658007655</v>
      </c>
      <c r="K273" t="s">
        <v>270</v>
      </c>
      <c r="L273">
        <f t="shared" si="29"/>
        <v>0</v>
      </c>
      <c r="M273" s="37">
        <f t="shared" si="30"/>
        <v>0</v>
      </c>
      <c r="N273" s="37">
        <f t="shared" si="31"/>
        <v>1</v>
      </c>
      <c r="O273" s="37">
        <f t="shared" si="32"/>
        <v>1</v>
      </c>
      <c r="P273" s="37">
        <f t="shared" si="33"/>
        <v>1</v>
      </c>
      <c r="Q273">
        <f t="shared" si="34"/>
        <v>0</v>
      </c>
    </row>
    <row r="274" spans="1:17" ht="47.25">
      <c r="A274" s="1" t="s">
        <v>218</v>
      </c>
      <c r="B274" s="10" t="s">
        <v>271</v>
      </c>
      <c r="C274" s="1">
        <v>4</v>
      </c>
      <c r="D274" s="1">
        <v>1</v>
      </c>
      <c r="E274" s="43">
        <v>2.6346989856408903E-4</v>
      </c>
      <c r="F274" s="43">
        <f t="shared" si="28"/>
        <v>6.9416387449371365E-8</v>
      </c>
      <c r="G274" s="43">
        <v>6.3572790845518122E-5</v>
      </c>
      <c r="H274" s="43">
        <v>2.0133050611806062E-9</v>
      </c>
      <c r="I274" s="43">
        <v>3.0603917301414582E-2</v>
      </c>
      <c r="J274" s="43">
        <v>3.7369423286180634E-2</v>
      </c>
      <c r="K274" t="s">
        <v>272</v>
      </c>
      <c r="L274">
        <f t="shared" si="29"/>
        <v>0</v>
      </c>
      <c r="M274" s="37">
        <f t="shared" si="30"/>
        <v>0</v>
      </c>
      <c r="N274" s="37">
        <f t="shared" si="31"/>
        <v>0</v>
      </c>
      <c r="O274" s="37">
        <f t="shared" si="32"/>
        <v>0</v>
      </c>
      <c r="P274" s="37">
        <f t="shared" si="33"/>
        <v>0</v>
      </c>
      <c r="Q274">
        <f t="shared" si="34"/>
        <v>0</v>
      </c>
    </row>
    <row r="275" spans="1:17">
      <c r="A275" s="1" t="s">
        <v>217</v>
      </c>
      <c r="B275" s="8" t="s">
        <v>271</v>
      </c>
      <c r="C275" s="1">
        <v>4</v>
      </c>
      <c r="D275" s="1">
        <v>1</v>
      </c>
      <c r="E275" s="43">
        <v>1.3600000000000001E-3</v>
      </c>
      <c r="F275" s="43">
        <f t="shared" si="28"/>
        <v>1.8496000000000003E-6</v>
      </c>
      <c r="G275" s="43">
        <v>5.6393159841435707E-4</v>
      </c>
      <c r="H275" s="43">
        <v>6.6151452010219922E-8</v>
      </c>
      <c r="I275" s="43">
        <v>0.41190402636185769</v>
      </c>
      <c r="J275" s="43">
        <v>0.96191535372258263</v>
      </c>
      <c r="K275" t="s">
        <v>272</v>
      </c>
      <c r="L275">
        <f t="shared" si="29"/>
        <v>0</v>
      </c>
      <c r="M275" s="37">
        <f t="shared" si="30"/>
        <v>0</v>
      </c>
      <c r="N275" s="37">
        <f t="shared" si="31"/>
        <v>0</v>
      </c>
      <c r="O275" s="37">
        <f t="shared" si="32"/>
        <v>1</v>
      </c>
      <c r="P275" s="37">
        <f t="shared" si="33"/>
        <v>0</v>
      </c>
      <c r="Q275">
        <f t="shared" si="34"/>
        <v>0</v>
      </c>
    </row>
    <row r="276" spans="1:17" ht="47.25">
      <c r="A276" s="1" t="s">
        <v>219</v>
      </c>
      <c r="B276" s="10" t="s">
        <v>271</v>
      </c>
      <c r="C276" s="1">
        <v>4</v>
      </c>
      <c r="D276" s="1">
        <v>1</v>
      </c>
      <c r="E276" s="43">
        <v>4.1467965996267884E-4</v>
      </c>
      <c r="F276" s="43">
        <f t="shared" si="28"/>
        <v>1.7195922038676296E-7</v>
      </c>
      <c r="G276" s="43">
        <v>7.0763270324538048E-6</v>
      </c>
      <c r="H276" s="43">
        <v>4.0266101223612124E-9</v>
      </c>
      <c r="I276" s="43">
        <v>5.8786741713570984E-2</v>
      </c>
      <c r="J276" s="43">
        <v>8.590994371482176E-2</v>
      </c>
      <c r="K276" t="s">
        <v>272</v>
      </c>
      <c r="L276">
        <f t="shared" si="29"/>
        <v>0</v>
      </c>
      <c r="M276" s="37">
        <f t="shared" si="30"/>
        <v>0</v>
      </c>
      <c r="N276" s="37">
        <f t="shared" si="31"/>
        <v>0</v>
      </c>
      <c r="O276" s="37">
        <f t="shared" si="32"/>
        <v>0</v>
      </c>
      <c r="P276" s="37">
        <f t="shared" si="33"/>
        <v>0</v>
      </c>
      <c r="Q276">
        <f t="shared" si="34"/>
        <v>0</v>
      </c>
    </row>
    <row r="277" spans="1:17" ht="47.25">
      <c r="A277" s="1" t="s">
        <v>187</v>
      </c>
      <c r="B277" s="10" t="s">
        <v>271</v>
      </c>
      <c r="C277" s="1">
        <v>4</v>
      </c>
      <c r="D277" s="1">
        <v>1</v>
      </c>
      <c r="E277" s="43">
        <v>5.4695388757993943E-4</v>
      </c>
      <c r="F277" s="43">
        <f t="shared" si="28"/>
        <v>2.9915855513880905E-7</v>
      </c>
      <c r="G277" s="43">
        <v>1.1702223422450266E-3</v>
      </c>
      <c r="H277" s="43">
        <v>1.2655060384563811E-8</v>
      </c>
      <c r="I277" s="43">
        <v>0.19600000000000001</v>
      </c>
      <c r="J277" s="43">
        <v>0.23126262626262625</v>
      </c>
      <c r="K277" s="10" t="s">
        <v>272</v>
      </c>
      <c r="L277">
        <f t="shared" si="29"/>
        <v>0</v>
      </c>
      <c r="M277" s="37">
        <f t="shared" si="30"/>
        <v>1</v>
      </c>
      <c r="N277" s="37">
        <f t="shared" si="31"/>
        <v>0</v>
      </c>
      <c r="O277" s="37">
        <f t="shared" si="32"/>
        <v>0</v>
      </c>
      <c r="P277" s="37">
        <f t="shared" si="33"/>
        <v>0</v>
      </c>
      <c r="Q277">
        <f t="shared" si="34"/>
        <v>0</v>
      </c>
    </row>
    <row r="278" spans="1:17" ht="47.25">
      <c r="A278" s="1" t="s">
        <v>211</v>
      </c>
      <c r="B278" s="10" t="s">
        <v>271</v>
      </c>
      <c r="C278" s="1">
        <v>4</v>
      </c>
      <c r="D278" s="1">
        <v>1</v>
      </c>
      <c r="E278" s="43">
        <v>8.9831655477634912E-5</v>
      </c>
      <c r="F278" s="43">
        <f t="shared" si="28"/>
        <v>8.0697263258524953E-9</v>
      </c>
      <c r="G278" s="43">
        <v>6.0667770145996991E-5</v>
      </c>
      <c r="H278" s="43">
        <v>5.7523001748017319E-8</v>
      </c>
      <c r="I278" s="43">
        <v>0.39133456904541242</v>
      </c>
      <c r="J278" s="43">
        <v>0.95583903513858293</v>
      </c>
      <c r="K278" t="s">
        <v>272</v>
      </c>
      <c r="L278">
        <f t="shared" si="29"/>
        <v>0</v>
      </c>
      <c r="M278" s="37">
        <f t="shared" si="30"/>
        <v>0</v>
      </c>
      <c r="N278" s="37">
        <f t="shared" si="31"/>
        <v>0</v>
      </c>
      <c r="O278" s="37">
        <f t="shared" si="32"/>
        <v>1</v>
      </c>
      <c r="P278" s="37">
        <f t="shared" si="33"/>
        <v>0</v>
      </c>
      <c r="Q278">
        <f t="shared" si="34"/>
        <v>0</v>
      </c>
    </row>
    <row r="279" spans="1:17">
      <c r="A279" s="1" t="s">
        <v>218</v>
      </c>
      <c r="B279" s="8" t="s">
        <v>284</v>
      </c>
      <c r="C279" s="1">
        <v>4</v>
      </c>
      <c r="D279" s="1">
        <v>1</v>
      </c>
      <c r="E279" s="43">
        <v>3.2011592675536819E-2</v>
      </c>
      <c r="F279" s="43">
        <f t="shared" si="28"/>
        <v>1.0247420656244826E-3</v>
      </c>
      <c r="G279" s="43">
        <v>7.7240940877304513E-3</v>
      </c>
      <c r="H279" s="43">
        <v>2.3768835283218002E-7</v>
      </c>
      <c r="I279" s="43">
        <v>0.17247007616974971</v>
      </c>
      <c r="J279" s="43">
        <v>4.4471776387377586</v>
      </c>
      <c r="K279" t="s">
        <v>268</v>
      </c>
      <c r="L279">
        <f t="shared" si="29"/>
        <v>0</v>
      </c>
      <c r="M279" s="37">
        <f t="shared" si="30"/>
        <v>1</v>
      </c>
      <c r="N279" s="37">
        <f t="shared" si="31"/>
        <v>1</v>
      </c>
      <c r="O279" s="37">
        <f t="shared" si="32"/>
        <v>0</v>
      </c>
      <c r="P279" s="37">
        <f t="shared" si="33"/>
        <v>1</v>
      </c>
      <c r="Q279">
        <f t="shared" si="34"/>
        <v>1</v>
      </c>
    </row>
    <row r="280" spans="1:17" ht="31.5">
      <c r="A280" s="1" t="s">
        <v>217</v>
      </c>
      <c r="B280" s="10" t="s">
        <v>284</v>
      </c>
      <c r="C280" s="1">
        <v>4</v>
      </c>
      <c r="D280" s="1">
        <v>1</v>
      </c>
      <c r="E280" s="43">
        <v>4.5060000000000003E-2</v>
      </c>
      <c r="F280" s="43">
        <f t="shared" si="28"/>
        <v>2.0304036000000003E-3</v>
      </c>
      <c r="G280" s="43">
        <v>1.8684380753346271E-2</v>
      </c>
      <c r="H280" s="43">
        <v>2.2140832866559231E-6</v>
      </c>
      <c r="I280" s="43">
        <v>0.97827206260941202</v>
      </c>
      <c r="J280" s="43">
        <v>31.216265060240968</v>
      </c>
      <c r="K280" s="10" t="s">
        <v>268</v>
      </c>
      <c r="L280">
        <f t="shared" si="29"/>
        <v>0</v>
      </c>
      <c r="M280" s="37">
        <f t="shared" si="30"/>
        <v>1</v>
      </c>
      <c r="N280" s="37">
        <f t="shared" si="31"/>
        <v>1</v>
      </c>
      <c r="O280" s="37">
        <f t="shared" si="32"/>
        <v>1</v>
      </c>
      <c r="P280" s="37">
        <f t="shared" si="33"/>
        <v>1</v>
      </c>
      <c r="Q280">
        <f t="shared" si="34"/>
        <v>1</v>
      </c>
    </row>
    <row r="281" spans="1:17" ht="31.5">
      <c r="A281" s="1" t="s">
        <v>219</v>
      </c>
      <c r="B281" s="10" t="s">
        <v>284</v>
      </c>
      <c r="C281" s="1">
        <v>4</v>
      </c>
      <c r="D281" s="1">
        <v>1</v>
      </c>
      <c r="E281" s="43">
        <v>7.04955421936554E-3</v>
      </c>
      <c r="F281" s="43">
        <f t="shared" si="28"/>
        <v>4.969621469177449E-5</v>
      </c>
      <c r="G281" s="43">
        <v>1.2029755955171469E-4</v>
      </c>
      <c r="H281" s="43">
        <v>6.5120096666350676E-8</v>
      </c>
      <c r="I281" s="43">
        <v>0.78173858661663542</v>
      </c>
      <c r="J281" s="43">
        <v>1.4304878048780489</v>
      </c>
      <c r="K281" t="s">
        <v>268</v>
      </c>
      <c r="L281">
        <f t="shared" si="29"/>
        <v>0</v>
      </c>
      <c r="M281" s="37">
        <f t="shared" si="30"/>
        <v>0</v>
      </c>
      <c r="N281" s="37">
        <f t="shared" si="31"/>
        <v>0</v>
      </c>
      <c r="O281" s="37">
        <f t="shared" si="32"/>
        <v>1</v>
      </c>
      <c r="P281" s="37">
        <f t="shared" si="33"/>
        <v>0</v>
      </c>
      <c r="Q281">
        <f t="shared" si="34"/>
        <v>1</v>
      </c>
    </row>
    <row r="282" spans="1:17" ht="31.5">
      <c r="A282" s="1" t="s">
        <v>187</v>
      </c>
      <c r="B282" s="10" t="s">
        <v>284</v>
      </c>
      <c r="C282" s="1">
        <v>4</v>
      </c>
      <c r="D282" s="1">
        <v>1</v>
      </c>
      <c r="E282" s="43">
        <v>2.5328172332547964E-2</v>
      </c>
      <c r="F282" s="43">
        <f t="shared" si="28"/>
        <v>6.4151631370724818E-4</v>
      </c>
      <c r="G282" s="43">
        <v>5.4190296156269691E-2</v>
      </c>
      <c r="H282" s="43">
        <v>5.8608086999715614E-7</v>
      </c>
      <c r="I282" s="43">
        <v>0.95420000000000005</v>
      </c>
      <c r="J282" s="43">
        <v>10.48939393939394</v>
      </c>
      <c r="K282" s="10" t="s">
        <v>268</v>
      </c>
      <c r="L282">
        <f t="shared" si="29"/>
        <v>0</v>
      </c>
      <c r="M282" s="37">
        <f t="shared" si="30"/>
        <v>1</v>
      </c>
      <c r="N282" s="37">
        <f t="shared" si="31"/>
        <v>1</v>
      </c>
      <c r="O282" s="37">
        <f t="shared" si="32"/>
        <v>1</v>
      </c>
      <c r="P282" s="37">
        <f t="shared" si="33"/>
        <v>1</v>
      </c>
      <c r="Q282">
        <f t="shared" si="34"/>
        <v>1</v>
      </c>
    </row>
    <row r="283" spans="1:17" ht="31.5">
      <c r="A283" s="1" t="s">
        <v>211</v>
      </c>
      <c r="B283" s="10" t="s">
        <v>284</v>
      </c>
      <c r="C283" s="1">
        <v>4</v>
      </c>
      <c r="D283" s="1">
        <v>1</v>
      </c>
      <c r="E283" s="43">
        <v>8.775055545906971E-3</v>
      </c>
      <c r="F283" s="43">
        <f t="shared" si="28"/>
        <v>7.7001599833752686E-5</v>
      </c>
      <c r="G283" s="43">
        <v>5.9262300137614722E-3</v>
      </c>
      <c r="H283" s="43">
        <v>5.7305685066388599E-6</v>
      </c>
      <c r="I283" s="43">
        <v>0.83897126969416125</v>
      </c>
      <c r="J283" s="43">
        <v>91.452806447871978</v>
      </c>
      <c r="K283" t="s">
        <v>268</v>
      </c>
      <c r="L283">
        <f t="shared" si="29"/>
        <v>0</v>
      </c>
      <c r="M283" s="37">
        <f t="shared" si="30"/>
        <v>1</v>
      </c>
      <c r="N283" s="37">
        <f t="shared" si="31"/>
        <v>1</v>
      </c>
      <c r="O283" s="37">
        <f t="shared" si="32"/>
        <v>1</v>
      </c>
      <c r="P283" s="37">
        <f t="shared" si="33"/>
        <v>1</v>
      </c>
      <c r="Q283">
        <f t="shared" si="34"/>
        <v>1</v>
      </c>
    </row>
    <row r="284" spans="1:17" ht="47.25">
      <c r="A284" s="1" t="s">
        <v>218</v>
      </c>
      <c r="B284" s="10" t="s">
        <v>275</v>
      </c>
      <c r="C284" s="1">
        <v>4</v>
      </c>
      <c r="D284" s="1">
        <v>1</v>
      </c>
      <c r="E284" s="43">
        <v>1.3173494928204451E-4</v>
      </c>
      <c r="F284" s="43">
        <f t="shared" si="28"/>
        <v>1.7354096862342841E-8</v>
      </c>
      <c r="G284" s="43">
        <v>3.1786395422759061E-5</v>
      </c>
      <c r="H284" s="43">
        <v>1.0605143890184075E-9</v>
      </c>
      <c r="I284" s="43">
        <v>1.5369967355821546E-2</v>
      </c>
      <c r="J284" s="43">
        <v>1.8586779107725791E-2</v>
      </c>
      <c r="K284" s="10" t="s">
        <v>270</v>
      </c>
      <c r="L284">
        <f t="shared" si="29"/>
        <v>0</v>
      </c>
      <c r="M284" s="37">
        <f t="shared" si="30"/>
        <v>0</v>
      </c>
      <c r="N284" s="37">
        <f t="shared" si="31"/>
        <v>0</v>
      </c>
      <c r="O284" s="37">
        <f t="shared" si="32"/>
        <v>0</v>
      </c>
      <c r="P284" s="37">
        <f t="shared" si="33"/>
        <v>0</v>
      </c>
      <c r="Q284">
        <f t="shared" si="34"/>
        <v>0</v>
      </c>
    </row>
    <row r="285" spans="1:17">
      <c r="A285" s="1" t="s">
        <v>217</v>
      </c>
      <c r="B285" s="8" t="s">
        <v>275</v>
      </c>
      <c r="C285" s="1">
        <v>4</v>
      </c>
      <c r="D285" s="1">
        <v>1</v>
      </c>
      <c r="E285" s="43">
        <v>2.2000000000000001E-4</v>
      </c>
      <c r="F285" s="43">
        <f t="shared" si="28"/>
        <v>4.8400000000000003E-8</v>
      </c>
      <c r="G285" s="43">
        <v>9.1224229155263632E-5</v>
      </c>
      <c r="H285" s="43">
        <v>1.0605143890184074E-8</v>
      </c>
      <c r="I285" s="43">
        <v>0.17382349912470393</v>
      </c>
      <c r="J285" s="43">
        <v>0.15478838430645661</v>
      </c>
      <c r="K285" t="s">
        <v>270</v>
      </c>
      <c r="L285">
        <f t="shared" si="29"/>
        <v>0</v>
      </c>
      <c r="M285" s="37">
        <f t="shared" si="30"/>
        <v>0</v>
      </c>
      <c r="N285" s="37">
        <f t="shared" si="31"/>
        <v>0</v>
      </c>
      <c r="O285" s="37">
        <f t="shared" si="32"/>
        <v>0</v>
      </c>
      <c r="P285" s="37">
        <f t="shared" si="33"/>
        <v>0</v>
      </c>
      <c r="Q285">
        <f t="shared" si="34"/>
        <v>0</v>
      </c>
    </row>
    <row r="286" spans="1:17" ht="47.25">
      <c r="A286" s="1" t="s">
        <v>219</v>
      </c>
      <c r="B286" s="10" t="s">
        <v>275</v>
      </c>
      <c r="C286" s="1">
        <v>4</v>
      </c>
      <c r="D286" s="1">
        <v>1</v>
      </c>
      <c r="E286" s="43">
        <v>4.8724860045614759E-3</v>
      </c>
      <c r="F286" s="43">
        <f t="shared" si="28"/>
        <v>2.3741119864647456E-5</v>
      </c>
      <c r="G286" s="43">
        <v>8.3146842631332202E-5</v>
      </c>
      <c r="H286" s="43">
        <v>4.5071861533282322E-8</v>
      </c>
      <c r="I286" s="43">
        <v>0.31269543464665417</v>
      </c>
      <c r="J286" s="43">
        <v>1.0041510318949343</v>
      </c>
      <c r="K286" t="s">
        <v>270</v>
      </c>
      <c r="L286">
        <f t="shared" si="29"/>
        <v>0</v>
      </c>
      <c r="M286" s="37">
        <f t="shared" si="30"/>
        <v>0</v>
      </c>
      <c r="N286" s="37">
        <f t="shared" si="31"/>
        <v>0</v>
      </c>
      <c r="O286" s="37">
        <f t="shared" si="32"/>
        <v>1</v>
      </c>
      <c r="P286" s="37">
        <f t="shared" si="33"/>
        <v>0</v>
      </c>
      <c r="Q286">
        <f t="shared" si="34"/>
        <v>1</v>
      </c>
    </row>
    <row r="287" spans="1:17" ht="47.25">
      <c r="A287" s="1" t="s">
        <v>187</v>
      </c>
      <c r="B287" s="10" t="s">
        <v>275</v>
      </c>
      <c r="C287" s="1">
        <v>4</v>
      </c>
      <c r="D287" s="1">
        <v>1</v>
      </c>
      <c r="E287" s="43">
        <v>6.3110063951531473E-4</v>
      </c>
      <c r="F287" s="43">
        <f t="shared" si="28"/>
        <v>3.9828801719663924E-7</v>
      </c>
      <c r="G287" s="43">
        <v>1.3502565487442614E-3</v>
      </c>
      <c r="H287" s="43">
        <v>1.4582072849003104E-8</v>
      </c>
      <c r="I287" s="43">
        <v>0.1623</v>
      </c>
      <c r="J287" s="43">
        <v>0.26544289044289043</v>
      </c>
      <c r="K287" s="10" t="s">
        <v>270</v>
      </c>
      <c r="L287">
        <f t="shared" si="29"/>
        <v>0</v>
      </c>
      <c r="M287" s="37">
        <f t="shared" si="30"/>
        <v>1</v>
      </c>
      <c r="N287" s="37">
        <f t="shared" si="31"/>
        <v>0</v>
      </c>
      <c r="O287" s="37">
        <f t="shared" si="32"/>
        <v>0</v>
      </c>
      <c r="P287" s="37">
        <f t="shared" si="33"/>
        <v>0</v>
      </c>
      <c r="Q287">
        <f t="shared" si="34"/>
        <v>0</v>
      </c>
    </row>
    <row r="288" spans="1:17" ht="47.25">
      <c r="A288" s="1" t="s">
        <v>211</v>
      </c>
      <c r="B288" s="10" t="s">
        <v>275</v>
      </c>
      <c r="C288" s="1">
        <v>4</v>
      </c>
      <c r="D288" s="1">
        <v>1</v>
      </c>
      <c r="E288" s="43">
        <v>1.497194257960582E-4</v>
      </c>
      <c r="F288" s="43">
        <f t="shared" si="28"/>
        <v>2.2415906460701376E-8</v>
      </c>
      <c r="G288" s="43">
        <v>1.0111295024332831E-4</v>
      </c>
      <c r="H288" s="43">
        <v>9.8097580984202701E-8</v>
      </c>
      <c r="I288" s="43">
        <v>0.46339202965708992</v>
      </c>
      <c r="J288" s="43">
        <v>1.5847152963005915</v>
      </c>
      <c r="K288" s="10" t="s">
        <v>270</v>
      </c>
      <c r="L288">
        <f t="shared" si="29"/>
        <v>0</v>
      </c>
      <c r="M288" s="37">
        <f t="shared" si="30"/>
        <v>0</v>
      </c>
      <c r="N288" s="37">
        <f t="shared" si="31"/>
        <v>0</v>
      </c>
      <c r="O288" s="37">
        <f t="shared" si="32"/>
        <v>1</v>
      </c>
      <c r="P288" s="37">
        <f t="shared" si="33"/>
        <v>1</v>
      </c>
      <c r="Q288">
        <f t="shared" si="34"/>
        <v>0</v>
      </c>
    </row>
    <row r="289" spans="1:17" ht="47.25">
      <c r="A289" s="1" t="s">
        <v>218</v>
      </c>
      <c r="B289" s="10" t="s">
        <v>291</v>
      </c>
      <c r="C289" s="1">
        <v>4</v>
      </c>
      <c r="D289" s="1">
        <v>1</v>
      </c>
      <c r="E289" s="43">
        <v>1.3173494928204451E-4</v>
      </c>
      <c r="F289" s="43">
        <f t="shared" si="28"/>
        <v>1.7354096862342841E-8</v>
      </c>
      <c r="G289" s="43">
        <v>3.1786395422759061E-5</v>
      </c>
      <c r="H289" s="43">
        <v>1.0831182161646311E-9</v>
      </c>
      <c r="I289" s="43">
        <v>1.9314472252448315E-2</v>
      </c>
      <c r="J289" s="43">
        <v>1.8949945593035908E-2</v>
      </c>
      <c r="K289" s="10" t="s">
        <v>272</v>
      </c>
      <c r="L289">
        <f t="shared" si="29"/>
        <v>0</v>
      </c>
      <c r="M289" s="37">
        <f t="shared" si="30"/>
        <v>0</v>
      </c>
      <c r="N289" s="37">
        <f t="shared" si="31"/>
        <v>0</v>
      </c>
      <c r="O289" s="37">
        <f t="shared" si="32"/>
        <v>0</v>
      </c>
      <c r="P289" s="37">
        <f t="shared" si="33"/>
        <v>0</v>
      </c>
      <c r="Q289">
        <f t="shared" si="34"/>
        <v>0</v>
      </c>
    </row>
    <row r="290" spans="1:17" ht="47.25">
      <c r="A290" s="1" t="s">
        <v>219</v>
      </c>
      <c r="B290" s="10" t="s">
        <v>291</v>
      </c>
      <c r="C290" s="1">
        <v>4</v>
      </c>
      <c r="D290" s="1">
        <v>1</v>
      </c>
      <c r="E290" s="43">
        <v>5.1834957495334858E-4</v>
      </c>
      <c r="F290" s="43">
        <f t="shared" si="28"/>
        <v>2.6868628185431713E-7</v>
      </c>
      <c r="G290" s="43">
        <v>8.8454087905672562E-6</v>
      </c>
      <c r="H290" s="43">
        <v>5.054551675434945E-9</v>
      </c>
      <c r="I290" s="43">
        <v>0.11726078799249531</v>
      </c>
      <c r="J290" s="43">
        <v>0.10891181988742962</v>
      </c>
      <c r="K290" s="10" t="s">
        <v>272</v>
      </c>
      <c r="L290">
        <f t="shared" si="29"/>
        <v>0</v>
      </c>
      <c r="M290" s="37">
        <f t="shared" si="30"/>
        <v>0</v>
      </c>
      <c r="N290" s="37">
        <f t="shared" si="31"/>
        <v>0</v>
      </c>
      <c r="O290" s="37">
        <f t="shared" si="32"/>
        <v>0</v>
      </c>
      <c r="P290" s="37">
        <f t="shared" si="33"/>
        <v>0</v>
      </c>
      <c r="Q290">
        <f t="shared" si="34"/>
        <v>0</v>
      </c>
    </row>
    <row r="291" spans="1:17" ht="47.25">
      <c r="A291" s="1" t="s">
        <v>187</v>
      </c>
      <c r="B291" s="10" t="s">
        <v>291</v>
      </c>
      <c r="C291" s="1">
        <v>4</v>
      </c>
      <c r="D291" s="1">
        <v>1</v>
      </c>
      <c r="E291" s="43">
        <v>4.2073375967687648E-5</v>
      </c>
      <c r="F291" s="43">
        <f t="shared" si="28"/>
        <v>1.7701689653183966E-9</v>
      </c>
      <c r="G291" s="43">
        <v>9.0017103249617422E-5</v>
      </c>
      <c r="H291" s="43">
        <v>1.0831182161646311E-9</v>
      </c>
      <c r="I291" s="43">
        <v>1.6400000000000001E-2</v>
      </c>
      <c r="J291" s="43">
        <v>1.8041958041958042E-2</v>
      </c>
      <c r="K291" s="10" t="s">
        <v>272</v>
      </c>
      <c r="L291">
        <f t="shared" si="29"/>
        <v>0</v>
      </c>
      <c r="M291" s="37">
        <f t="shared" si="30"/>
        <v>0</v>
      </c>
      <c r="N291" s="37">
        <f t="shared" si="31"/>
        <v>0</v>
      </c>
      <c r="O291" s="37">
        <f t="shared" si="32"/>
        <v>0</v>
      </c>
      <c r="P291" s="37">
        <f t="shared" si="33"/>
        <v>0</v>
      </c>
      <c r="Q291">
        <f t="shared" si="34"/>
        <v>0</v>
      </c>
    </row>
    <row r="292" spans="1:17" ht="47.25">
      <c r="A292" s="1" t="s">
        <v>211</v>
      </c>
      <c r="B292" s="10" t="s">
        <v>291</v>
      </c>
      <c r="C292" s="1">
        <v>4</v>
      </c>
      <c r="D292" s="1">
        <v>1</v>
      </c>
      <c r="E292" s="43">
        <v>1.4223345450625527E-4</v>
      </c>
      <c r="F292" s="43">
        <f t="shared" si="28"/>
        <v>2.0230355580782987E-8</v>
      </c>
      <c r="G292" s="43">
        <v>9.6057302731161894E-5</v>
      </c>
      <c r="H292" s="43">
        <v>9.3870245400934689E-8</v>
      </c>
      <c r="I292" s="43">
        <v>0.34754402224281744</v>
      </c>
      <c r="J292" s="43">
        <v>1.534895048127102</v>
      </c>
      <c r="K292" t="s">
        <v>272</v>
      </c>
      <c r="L292">
        <f t="shared" si="29"/>
        <v>0</v>
      </c>
      <c r="M292" s="37">
        <f t="shared" si="30"/>
        <v>0</v>
      </c>
      <c r="N292" s="37">
        <f t="shared" si="31"/>
        <v>0</v>
      </c>
      <c r="O292" s="37">
        <f t="shared" si="32"/>
        <v>1</v>
      </c>
      <c r="P292" s="37">
        <f t="shared" si="33"/>
        <v>0</v>
      </c>
      <c r="Q292">
        <f t="shared" si="34"/>
        <v>0</v>
      </c>
    </row>
    <row r="293" spans="1:17" ht="31.5">
      <c r="A293" s="1" t="s">
        <v>218</v>
      </c>
      <c r="B293" s="10" t="s">
        <v>267</v>
      </c>
      <c r="C293" s="1">
        <v>4</v>
      </c>
      <c r="D293" s="1">
        <v>1</v>
      </c>
      <c r="E293" s="43">
        <v>5.6646028191279143E-3</v>
      </c>
      <c r="F293" s="43">
        <f t="shared" si="28"/>
        <v>3.2087725098471913E-5</v>
      </c>
      <c r="G293" s="43">
        <v>1.3668150031786396E-3</v>
      </c>
      <c r="H293" s="43">
        <v>4.158657843012313E-8</v>
      </c>
      <c r="I293" s="43">
        <v>0.13601741022850924</v>
      </c>
      <c r="J293" s="43">
        <v>0.81022714907508164</v>
      </c>
      <c r="K293" s="10" t="s">
        <v>268</v>
      </c>
      <c r="L293">
        <f t="shared" si="29"/>
        <v>0</v>
      </c>
      <c r="M293" s="37">
        <f t="shared" si="30"/>
        <v>1</v>
      </c>
      <c r="N293" s="37">
        <f t="shared" si="31"/>
        <v>0</v>
      </c>
      <c r="O293" s="37">
        <f t="shared" si="32"/>
        <v>0</v>
      </c>
      <c r="P293" s="37">
        <f t="shared" si="33"/>
        <v>0</v>
      </c>
      <c r="Q293">
        <f t="shared" si="34"/>
        <v>1</v>
      </c>
    </row>
    <row r="294" spans="1:17">
      <c r="A294" s="1" t="s">
        <v>217</v>
      </c>
      <c r="B294" s="8" t="s">
        <v>267</v>
      </c>
      <c r="C294" s="1">
        <v>4</v>
      </c>
      <c r="D294" s="1">
        <v>1</v>
      </c>
      <c r="E294" s="43">
        <v>3.0400000000000002E-3</v>
      </c>
      <c r="F294" s="43">
        <f t="shared" si="28"/>
        <v>9.2416000000000014E-6</v>
      </c>
      <c r="G294" s="43">
        <v>1.2605529846909157E-3</v>
      </c>
      <c r="H294" s="43">
        <v>1.4852349439329694E-7</v>
      </c>
      <c r="I294" s="43">
        <v>0.92678405931417984</v>
      </c>
      <c r="J294" s="43">
        <v>2.1683204613325096</v>
      </c>
      <c r="K294" t="s">
        <v>268</v>
      </c>
      <c r="L294">
        <f t="shared" si="29"/>
        <v>0</v>
      </c>
      <c r="M294" s="37">
        <f t="shared" si="30"/>
        <v>1</v>
      </c>
      <c r="N294" s="37">
        <f t="shared" si="31"/>
        <v>0</v>
      </c>
      <c r="O294" s="37">
        <f t="shared" si="32"/>
        <v>1</v>
      </c>
      <c r="P294" s="37">
        <f t="shared" si="33"/>
        <v>1</v>
      </c>
      <c r="Q294">
        <f t="shared" si="34"/>
        <v>0</v>
      </c>
    </row>
    <row r="295" spans="1:17" ht="31.5">
      <c r="A295" s="1" t="s">
        <v>219</v>
      </c>
      <c r="B295" s="10" t="s">
        <v>267</v>
      </c>
      <c r="C295" s="1">
        <v>4</v>
      </c>
      <c r="D295" s="1">
        <v>1</v>
      </c>
      <c r="E295" s="43">
        <v>3.2345013477088951E-2</v>
      </c>
      <c r="F295" s="43">
        <f t="shared" si="28"/>
        <v>1.0461998968330658E-3</v>
      </c>
      <c r="G295" s="43">
        <v>5.5195350853139678E-4</v>
      </c>
      <c r="H295" s="43">
        <v>2.9704698878659387E-7</v>
      </c>
      <c r="I295" s="43">
        <v>0.86053783614759227</v>
      </c>
      <c r="J295" s="43">
        <v>6.7575609756097563</v>
      </c>
      <c r="K295" s="10" t="s">
        <v>268</v>
      </c>
      <c r="L295">
        <f t="shared" si="29"/>
        <v>0</v>
      </c>
      <c r="M295" s="37">
        <f t="shared" si="30"/>
        <v>0</v>
      </c>
      <c r="N295" s="37">
        <f t="shared" si="31"/>
        <v>1</v>
      </c>
      <c r="O295" s="37">
        <f t="shared" si="32"/>
        <v>1</v>
      </c>
      <c r="P295" s="37">
        <f t="shared" si="33"/>
        <v>1</v>
      </c>
      <c r="Q295">
        <f t="shared" si="34"/>
        <v>1</v>
      </c>
    </row>
    <row r="296" spans="1:17" ht="31.5">
      <c r="A296" s="1" t="s">
        <v>187</v>
      </c>
      <c r="B296" s="10" t="s">
        <v>267</v>
      </c>
      <c r="C296" s="1">
        <v>4</v>
      </c>
      <c r="D296" s="1">
        <v>1</v>
      </c>
      <c r="E296" s="43">
        <v>2.7768428138673848E-3</v>
      </c>
      <c r="F296" s="43">
        <f t="shared" si="28"/>
        <v>7.7108560129269347E-6</v>
      </c>
      <c r="G296" s="43">
        <v>5.9411288144747502E-3</v>
      </c>
      <c r="H296" s="43">
        <v>5.9409397757318761E-8</v>
      </c>
      <c r="I296" s="43">
        <v>0.67630000000000001</v>
      </c>
      <c r="J296" s="43">
        <v>1.184017094017094</v>
      </c>
      <c r="K296" t="s">
        <v>268</v>
      </c>
      <c r="L296">
        <f t="shared" si="29"/>
        <v>0</v>
      </c>
      <c r="M296" s="37">
        <f t="shared" si="30"/>
        <v>1</v>
      </c>
      <c r="N296" s="37">
        <f t="shared" si="31"/>
        <v>0</v>
      </c>
      <c r="O296" s="37">
        <f t="shared" si="32"/>
        <v>1</v>
      </c>
      <c r="P296" s="37">
        <f t="shared" si="33"/>
        <v>0</v>
      </c>
      <c r="Q296">
        <f t="shared" si="34"/>
        <v>0</v>
      </c>
    </row>
    <row r="297" spans="1:17" ht="31.5">
      <c r="A297" s="1" t="s">
        <v>211</v>
      </c>
      <c r="B297" s="10" t="s">
        <v>267</v>
      </c>
      <c r="C297" s="1">
        <v>4</v>
      </c>
      <c r="D297" s="1">
        <v>1</v>
      </c>
      <c r="E297" s="43">
        <v>4.4915827738817452E-3</v>
      </c>
      <c r="F297" s="43">
        <f t="shared" si="28"/>
        <v>2.0174315814631232E-5</v>
      </c>
      <c r="G297" s="43">
        <v>3.0333885072998494E-3</v>
      </c>
      <c r="H297" s="43">
        <v>2.9407651889872785E-6</v>
      </c>
      <c r="I297" s="43">
        <v>0.81093605189990736</v>
      </c>
      <c r="J297" s="43">
        <v>48.19552359967529</v>
      </c>
      <c r="K297" s="10" t="s">
        <v>268</v>
      </c>
      <c r="L297">
        <f t="shared" si="29"/>
        <v>0</v>
      </c>
      <c r="M297" s="37">
        <f t="shared" si="30"/>
        <v>1</v>
      </c>
      <c r="N297" s="37">
        <f t="shared" si="31"/>
        <v>1</v>
      </c>
      <c r="O297" s="37">
        <f t="shared" si="32"/>
        <v>1</v>
      </c>
      <c r="P297" s="37">
        <f t="shared" si="33"/>
        <v>1</v>
      </c>
      <c r="Q297">
        <f t="shared" si="34"/>
        <v>1</v>
      </c>
    </row>
    <row r="298" spans="1:17" ht="31.5">
      <c r="A298" s="1" t="s">
        <v>218</v>
      </c>
      <c r="B298" s="10" t="s">
        <v>285</v>
      </c>
      <c r="C298" s="1">
        <v>4</v>
      </c>
      <c r="D298" s="1">
        <v>1</v>
      </c>
      <c r="E298" s="43">
        <v>0.15860887893558162</v>
      </c>
      <c r="F298" s="43">
        <f t="shared" si="28"/>
        <v>2.5156776477201988E-2</v>
      </c>
      <c r="G298" s="43">
        <v>3.8270820089001907E-2</v>
      </c>
      <c r="H298" s="43">
        <v>1.1736463174379695E-6</v>
      </c>
      <c r="I298" s="43">
        <v>0.27203482045701849</v>
      </c>
      <c r="J298" s="43">
        <v>23.169466811751903</v>
      </c>
      <c r="K298" s="10"/>
      <c r="L298">
        <f t="shared" si="29"/>
        <v>0</v>
      </c>
      <c r="M298" s="37">
        <f t="shared" si="30"/>
        <v>1</v>
      </c>
      <c r="N298" s="37">
        <f t="shared" si="31"/>
        <v>1</v>
      </c>
      <c r="O298" s="37">
        <f t="shared" si="32"/>
        <v>0</v>
      </c>
      <c r="P298" s="37">
        <f t="shared" si="33"/>
        <v>1</v>
      </c>
      <c r="Q298">
        <f t="shared" si="34"/>
        <v>1</v>
      </c>
    </row>
    <row r="299" spans="1:17" ht="31.5">
      <c r="A299" s="1" t="s">
        <v>217</v>
      </c>
      <c r="B299" s="10" t="s">
        <v>285</v>
      </c>
      <c r="C299" s="1">
        <v>4</v>
      </c>
      <c r="D299" s="1">
        <v>1</v>
      </c>
      <c r="E299" s="43">
        <v>4.0939999999999997E-2</v>
      </c>
      <c r="F299" s="43">
        <f t="shared" si="28"/>
        <v>1.6760835999999999E-3</v>
      </c>
      <c r="G299" s="43">
        <v>1.6975999734620426E-2</v>
      </c>
      <c r="H299" s="43">
        <v>2.0021025415118303E-6</v>
      </c>
      <c r="I299" s="43">
        <v>1</v>
      </c>
      <c r="J299" s="43">
        <v>29.8228359592215</v>
      </c>
      <c r="K299" s="10"/>
      <c r="L299">
        <f t="shared" si="29"/>
        <v>0</v>
      </c>
      <c r="M299" s="37">
        <f t="shared" si="30"/>
        <v>1</v>
      </c>
      <c r="N299" s="37">
        <f t="shared" si="31"/>
        <v>1</v>
      </c>
      <c r="O299" s="37">
        <f t="shared" si="32"/>
        <v>1</v>
      </c>
      <c r="P299" s="37">
        <f t="shared" si="33"/>
        <v>1</v>
      </c>
      <c r="Q299">
        <f t="shared" si="34"/>
        <v>1</v>
      </c>
    </row>
    <row r="300" spans="1:17" ht="31.5">
      <c r="A300" s="1" t="s">
        <v>219</v>
      </c>
      <c r="B300" s="10" t="s">
        <v>285</v>
      </c>
      <c r="C300" s="1">
        <v>4</v>
      </c>
      <c r="D300" s="1">
        <v>1</v>
      </c>
      <c r="E300" s="43">
        <v>1</v>
      </c>
      <c r="F300" s="43">
        <f t="shared" si="28"/>
        <v>1</v>
      </c>
      <c r="G300" s="43">
        <v>0.72976244515055233</v>
      </c>
      <c r="H300" s="43">
        <v>9.3201325208309352E-6</v>
      </c>
      <c r="I300" s="43">
        <v>1.0162601626016261</v>
      </c>
      <c r="J300" s="43">
        <v>213.370243902439</v>
      </c>
      <c r="L300">
        <f t="shared" si="29"/>
        <v>1</v>
      </c>
      <c r="M300" s="37">
        <f t="shared" si="30"/>
        <v>1</v>
      </c>
      <c r="N300" s="37">
        <f t="shared" si="31"/>
        <v>1</v>
      </c>
      <c r="O300" s="37">
        <f t="shared" si="32"/>
        <v>1</v>
      </c>
      <c r="P300" s="37">
        <f t="shared" si="33"/>
        <v>1</v>
      </c>
      <c r="Q300">
        <f t="shared" si="34"/>
        <v>1</v>
      </c>
    </row>
    <row r="301" spans="1:17" ht="31.5">
      <c r="A301" s="1" t="s">
        <v>187</v>
      </c>
      <c r="B301" s="10" t="s">
        <v>285</v>
      </c>
      <c r="C301" s="1">
        <v>4</v>
      </c>
      <c r="D301" s="1">
        <v>1</v>
      </c>
      <c r="E301" s="43">
        <v>2.82733086502861E-2</v>
      </c>
      <c r="F301" s="43">
        <f t="shared" si="28"/>
        <v>7.9937998203434275E-4</v>
      </c>
      <c r="G301" s="43">
        <v>6.0491493383742913E-2</v>
      </c>
      <c r="H301" s="43">
        <v>6.5586117739180656E-7</v>
      </c>
      <c r="I301" s="43">
        <v>0.91339999999999999</v>
      </c>
      <c r="J301" s="43">
        <v>12.312167832167832</v>
      </c>
      <c r="K301" s="10"/>
      <c r="L301">
        <f t="shared" si="29"/>
        <v>0</v>
      </c>
      <c r="M301" s="37">
        <f t="shared" si="30"/>
        <v>1</v>
      </c>
      <c r="N301" s="37">
        <f t="shared" si="31"/>
        <v>1</v>
      </c>
      <c r="O301" s="37">
        <f t="shared" si="32"/>
        <v>1</v>
      </c>
      <c r="P301" s="37">
        <f t="shared" si="33"/>
        <v>1</v>
      </c>
      <c r="Q301">
        <f t="shared" si="34"/>
        <v>1</v>
      </c>
    </row>
    <row r="302" spans="1:17" ht="31.5">
      <c r="A302" s="1" t="s">
        <v>211</v>
      </c>
      <c r="B302" s="10" t="s">
        <v>285</v>
      </c>
      <c r="C302" s="1">
        <v>4</v>
      </c>
      <c r="D302" s="1">
        <v>1</v>
      </c>
      <c r="E302" s="43">
        <v>0.10834446247731751</v>
      </c>
      <c r="F302" s="43">
        <f t="shared" si="28"/>
        <v>1.1738522549498861E-2</v>
      </c>
      <c r="G302" s="43">
        <v>7.3170386443584534E-2</v>
      </c>
      <c r="H302" s="43">
        <v>7.0763969139642289E-5</v>
      </c>
      <c r="I302" s="43">
        <v>0.86839666357738643</v>
      </c>
      <c r="J302" s="43">
        <v>1187.3130233097529</v>
      </c>
      <c r="L302">
        <f t="shared" si="29"/>
        <v>0</v>
      </c>
      <c r="M302" s="37">
        <f t="shared" si="30"/>
        <v>1</v>
      </c>
      <c r="N302" s="37">
        <f t="shared" si="31"/>
        <v>1</v>
      </c>
      <c r="O302" s="37">
        <f t="shared" si="32"/>
        <v>1</v>
      </c>
      <c r="P302" s="37">
        <f t="shared" si="33"/>
        <v>1</v>
      </c>
      <c r="Q302">
        <f t="shared" si="34"/>
        <v>1</v>
      </c>
    </row>
    <row r="303" spans="1:17" ht="31.5">
      <c r="A303" s="1" t="s">
        <v>218</v>
      </c>
      <c r="B303" s="10" t="s">
        <v>282</v>
      </c>
      <c r="C303" s="1">
        <v>4</v>
      </c>
      <c r="D303" s="1">
        <v>1</v>
      </c>
      <c r="E303" s="43">
        <v>0.51798182057699904</v>
      </c>
      <c r="F303" s="43">
        <f t="shared" si="28"/>
        <v>0.26830516644826241</v>
      </c>
      <c r="G303" s="43">
        <v>0.12498410680228862</v>
      </c>
      <c r="H303" s="43">
        <v>3.8640385885374098E-6</v>
      </c>
      <c r="I303" s="43">
        <v>0.27203482045701849</v>
      </c>
      <c r="J303" s="43">
        <v>72.264940152339491</v>
      </c>
      <c r="K303" s="10"/>
      <c r="L303">
        <f t="shared" si="29"/>
        <v>1</v>
      </c>
      <c r="M303" s="37">
        <f t="shared" si="30"/>
        <v>1</v>
      </c>
      <c r="N303" s="37">
        <f t="shared" si="31"/>
        <v>1</v>
      </c>
      <c r="O303" s="37">
        <f t="shared" si="32"/>
        <v>0</v>
      </c>
      <c r="P303" s="37">
        <f t="shared" si="33"/>
        <v>1</v>
      </c>
      <c r="Q303">
        <f t="shared" si="34"/>
        <v>1</v>
      </c>
    </row>
    <row r="304" spans="1:17" ht="31.5">
      <c r="A304" s="1" t="s">
        <v>217</v>
      </c>
      <c r="B304" s="10" t="s">
        <v>282</v>
      </c>
      <c r="C304" s="1">
        <v>4</v>
      </c>
      <c r="D304" s="1">
        <v>1</v>
      </c>
      <c r="E304" s="43">
        <v>7.5759999999999994E-2</v>
      </c>
      <c r="F304" s="43">
        <f t="shared" si="28"/>
        <v>5.7395775999999994E-3</v>
      </c>
      <c r="G304" s="43">
        <v>3.1414307276376244E-2</v>
      </c>
      <c r="H304" s="43">
        <v>3.7056763513022699E-6</v>
      </c>
      <c r="I304" s="43">
        <v>1</v>
      </c>
      <c r="J304" s="43">
        <v>52.706679023787459</v>
      </c>
      <c r="L304">
        <f t="shared" si="29"/>
        <v>0</v>
      </c>
      <c r="M304" s="37">
        <f t="shared" si="30"/>
        <v>1</v>
      </c>
      <c r="N304" s="37">
        <f t="shared" si="31"/>
        <v>1</v>
      </c>
      <c r="O304" s="37">
        <f t="shared" si="32"/>
        <v>1</v>
      </c>
      <c r="P304" s="37">
        <f t="shared" si="33"/>
        <v>1</v>
      </c>
      <c r="Q304">
        <f t="shared" si="34"/>
        <v>1</v>
      </c>
    </row>
    <row r="305" spans="1:17" ht="31.5">
      <c r="A305" s="1" t="s">
        <v>219</v>
      </c>
      <c r="B305" s="10" t="s">
        <v>282</v>
      </c>
      <c r="C305" s="1">
        <v>4</v>
      </c>
      <c r="D305" s="1">
        <v>1</v>
      </c>
      <c r="E305" s="43">
        <v>4.5614762595894672E-3</v>
      </c>
      <c r="F305" s="43">
        <f t="shared" si="28"/>
        <v>2.0807065666798316E-5</v>
      </c>
      <c r="G305" s="43">
        <v>3.3287940686942048E-3</v>
      </c>
      <c r="H305" s="43">
        <v>4.4341426425839127E-8</v>
      </c>
      <c r="I305" s="43">
        <v>0.46904315196998125</v>
      </c>
      <c r="J305" s="43">
        <v>0.92953095684803011</v>
      </c>
      <c r="K305" s="10"/>
      <c r="L305">
        <f t="shared" si="29"/>
        <v>0</v>
      </c>
      <c r="M305" s="37">
        <f t="shared" si="30"/>
        <v>1</v>
      </c>
      <c r="N305" s="37">
        <f t="shared" si="31"/>
        <v>0</v>
      </c>
      <c r="O305" s="37">
        <f t="shared" si="32"/>
        <v>1</v>
      </c>
      <c r="P305" s="37">
        <f t="shared" si="33"/>
        <v>0</v>
      </c>
      <c r="Q305">
        <f t="shared" si="34"/>
        <v>1</v>
      </c>
    </row>
    <row r="306" spans="1:17" ht="31.5">
      <c r="A306" s="1" t="s">
        <v>187</v>
      </c>
      <c r="B306" s="10" t="s">
        <v>282</v>
      </c>
      <c r="C306" s="1">
        <v>4</v>
      </c>
      <c r="D306" s="1">
        <v>1</v>
      </c>
      <c r="E306" s="43">
        <v>7.7835745540222143E-2</v>
      </c>
      <c r="F306" s="43">
        <f t="shared" si="28"/>
        <v>6.0584032838022113E-3</v>
      </c>
      <c r="G306" s="43">
        <v>0.16653164101179224</v>
      </c>
      <c r="H306" s="43">
        <v>1.8053295044805931E-6</v>
      </c>
      <c r="I306" s="43">
        <v>1</v>
      </c>
      <c r="J306" s="43">
        <v>32.371406371406373</v>
      </c>
      <c r="K306" s="10"/>
      <c r="L306">
        <f t="shared" si="29"/>
        <v>0</v>
      </c>
      <c r="M306" s="37">
        <f t="shared" si="30"/>
        <v>1</v>
      </c>
      <c r="N306" s="37">
        <f t="shared" si="31"/>
        <v>1</v>
      </c>
      <c r="O306" s="37">
        <f t="shared" si="32"/>
        <v>1</v>
      </c>
      <c r="P306" s="37">
        <f t="shared" si="33"/>
        <v>1</v>
      </c>
      <c r="Q306">
        <f t="shared" si="34"/>
        <v>1</v>
      </c>
    </row>
    <row r="307" spans="1:17" ht="31.5">
      <c r="A307" s="1" t="s">
        <v>211</v>
      </c>
      <c r="B307" s="10" t="s">
        <v>282</v>
      </c>
      <c r="C307" s="1">
        <v>4</v>
      </c>
      <c r="D307" s="1">
        <v>1</v>
      </c>
      <c r="E307" s="43">
        <v>1.0914546140532642E-2</v>
      </c>
      <c r="F307" s="43">
        <f t="shared" si="28"/>
        <v>1.1912731745381599E-4</v>
      </c>
      <c r="G307" s="43">
        <v>7.3711340727386342E-3</v>
      </c>
      <c r="H307" s="43">
        <v>7.1263006755812881E-6</v>
      </c>
      <c r="I307" s="43">
        <v>0.85310472659870251</v>
      </c>
      <c r="J307" s="43">
        <v>114.23226255363564</v>
      </c>
      <c r="L307">
        <f t="shared" si="29"/>
        <v>0</v>
      </c>
      <c r="M307" s="37">
        <f t="shared" si="30"/>
        <v>1</v>
      </c>
      <c r="N307" s="37">
        <f t="shared" si="31"/>
        <v>1</v>
      </c>
      <c r="O307" s="37">
        <f t="shared" si="32"/>
        <v>1</v>
      </c>
      <c r="P307" s="37">
        <f t="shared" si="33"/>
        <v>1</v>
      </c>
      <c r="Q307">
        <f t="shared" si="34"/>
        <v>1</v>
      </c>
    </row>
    <row r="308" spans="1:17" ht="31.5">
      <c r="A308" s="1" t="s">
        <v>218</v>
      </c>
      <c r="B308" s="10" t="s">
        <v>280</v>
      </c>
      <c r="C308" s="1">
        <v>4</v>
      </c>
      <c r="D308" s="1">
        <v>1</v>
      </c>
      <c r="E308" s="43">
        <v>5.0059280727176919E-3</v>
      </c>
      <c r="F308" s="43">
        <f t="shared" si="28"/>
        <v>2.5059315869223066E-5</v>
      </c>
      <c r="G308" s="43">
        <v>1.2078830260648442E-3</v>
      </c>
      <c r="H308" s="43">
        <v>3.783197212672881E-8</v>
      </c>
      <c r="I308" s="43">
        <v>4.6109902067464632E-2</v>
      </c>
      <c r="J308" s="43">
        <v>0.71156964091403685</v>
      </c>
      <c r="K308" s="10"/>
      <c r="L308">
        <f t="shared" si="29"/>
        <v>0</v>
      </c>
      <c r="M308" s="37">
        <f t="shared" si="30"/>
        <v>1</v>
      </c>
      <c r="N308" s="37">
        <f t="shared" si="31"/>
        <v>0</v>
      </c>
      <c r="O308" s="37">
        <f t="shared" si="32"/>
        <v>0</v>
      </c>
      <c r="P308" s="37">
        <f t="shared" si="33"/>
        <v>0</v>
      </c>
      <c r="Q308">
        <f t="shared" si="34"/>
        <v>1</v>
      </c>
    </row>
    <row r="309" spans="1:17">
      <c r="A309" s="1" t="s">
        <v>217</v>
      </c>
      <c r="B309" s="8" t="s">
        <v>280</v>
      </c>
      <c r="C309" s="1">
        <v>4</v>
      </c>
      <c r="D309" s="1">
        <v>1</v>
      </c>
      <c r="E309" s="43">
        <v>0.94362000000000001</v>
      </c>
      <c r="F309" s="43">
        <f t="shared" si="28"/>
        <v>0.89041870440000004</v>
      </c>
      <c r="G309" s="43">
        <v>0.39127730507040853</v>
      </c>
      <c r="H309" s="43">
        <v>4.6288530602115252E-5</v>
      </c>
      <c r="I309" s="43">
        <v>1</v>
      </c>
      <c r="J309" s="43">
        <v>668.87120481927707</v>
      </c>
      <c r="L309">
        <f t="shared" si="29"/>
        <v>1</v>
      </c>
      <c r="M309" s="37">
        <f t="shared" si="30"/>
        <v>1</v>
      </c>
      <c r="N309" s="37">
        <f t="shared" si="31"/>
        <v>1</v>
      </c>
      <c r="O309" s="37">
        <f t="shared" si="32"/>
        <v>1</v>
      </c>
      <c r="P309" s="37">
        <f t="shared" si="33"/>
        <v>1</v>
      </c>
      <c r="Q309">
        <f t="shared" si="34"/>
        <v>1</v>
      </c>
    </row>
    <row r="310" spans="1:17" ht="31.5">
      <c r="A310" s="1" t="s">
        <v>187</v>
      </c>
      <c r="B310" s="10" t="s">
        <v>280</v>
      </c>
      <c r="C310" s="1">
        <v>4</v>
      </c>
      <c r="D310" s="1">
        <v>1</v>
      </c>
      <c r="E310" s="43">
        <v>2.9451363177381354E-3</v>
      </c>
      <c r="F310" s="43">
        <f t="shared" si="28"/>
        <v>8.6738279300601437E-6</v>
      </c>
      <c r="G310" s="43">
        <v>6.3011972274732196E-3</v>
      </c>
      <c r="H310" s="43">
        <v>6.8987713878152541E-8</v>
      </c>
      <c r="I310" s="43">
        <v>0.40579999999999999</v>
      </c>
      <c r="J310" s="43">
        <v>1.247979797979798</v>
      </c>
      <c r="K310" s="10"/>
      <c r="L310">
        <f t="shared" si="29"/>
        <v>0</v>
      </c>
      <c r="M310" s="37">
        <f t="shared" si="30"/>
        <v>1</v>
      </c>
      <c r="N310" s="37">
        <f t="shared" si="31"/>
        <v>0</v>
      </c>
      <c r="O310" s="37">
        <f t="shared" si="32"/>
        <v>1</v>
      </c>
      <c r="P310" s="37">
        <f t="shared" si="33"/>
        <v>0</v>
      </c>
      <c r="Q310">
        <f t="shared" si="34"/>
        <v>0</v>
      </c>
    </row>
    <row r="311" spans="1:17" ht="31.5">
      <c r="A311" s="1" t="s">
        <v>211</v>
      </c>
      <c r="B311" s="10" t="s">
        <v>280</v>
      </c>
      <c r="C311" s="1">
        <v>4</v>
      </c>
      <c r="D311" s="1">
        <v>1</v>
      </c>
      <c r="E311" s="43">
        <v>4.7161619125758329E-4</v>
      </c>
      <c r="F311" s="43">
        <f t="shared" si="28"/>
        <v>2.2242183185630939E-7</v>
      </c>
      <c r="G311" s="43">
        <v>3.185057932664842E-4</v>
      </c>
      <c r="H311" s="43">
        <v>3.1155741751423727E-7</v>
      </c>
      <c r="I311" s="43">
        <v>0.74849397590361444</v>
      </c>
      <c r="J311" s="43">
        <v>5.0291139974486834</v>
      </c>
      <c r="L311">
        <f t="shared" si="29"/>
        <v>0</v>
      </c>
      <c r="M311" s="37">
        <f t="shared" si="30"/>
        <v>0</v>
      </c>
      <c r="N311" s="37">
        <f t="shared" si="31"/>
        <v>1</v>
      </c>
      <c r="O311" s="37">
        <f t="shared" si="32"/>
        <v>1</v>
      </c>
      <c r="P311" s="37">
        <f t="shared" si="33"/>
        <v>1</v>
      </c>
      <c r="Q311">
        <f t="shared" si="34"/>
        <v>0</v>
      </c>
    </row>
    <row r="312" spans="1:17" ht="31.5">
      <c r="A312" s="1" t="s">
        <v>218</v>
      </c>
      <c r="B312" s="10" t="s">
        <v>286</v>
      </c>
      <c r="C312" s="1">
        <v>4</v>
      </c>
      <c r="D312" s="1">
        <v>1</v>
      </c>
      <c r="E312" s="43">
        <v>8.6681596627585303E-2</v>
      </c>
      <c r="F312" s="43">
        <f t="shared" si="28"/>
        <v>7.5136991939074079E-3</v>
      </c>
      <c r="G312" s="43">
        <v>2.0915448188175461E-2</v>
      </c>
      <c r="H312" s="43">
        <v>6.5334109137298369E-7</v>
      </c>
      <c r="I312" s="43">
        <v>0.3400435255712731</v>
      </c>
      <c r="J312" s="43">
        <v>12.630163220892275</v>
      </c>
      <c r="L312">
        <f t="shared" si="29"/>
        <v>0</v>
      </c>
      <c r="M312" s="37">
        <f t="shared" si="30"/>
        <v>1</v>
      </c>
      <c r="N312" s="37">
        <f t="shared" si="31"/>
        <v>1</v>
      </c>
      <c r="O312" s="37">
        <f t="shared" si="32"/>
        <v>1</v>
      </c>
      <c r="P312" s="37">
        <f t="shared" si="33"/>
        <v>1</v>
      </c>
      <c r="Q312">
        <f t="shared" si="34"/>
        <v>1</v>
      </c>
    </row>
    <row r="313" spans="1:17" ht="31.5">
      <c r="A313" s="1" t="s">
        <v>217</v>
      </c>
      <c r="B313" s="10" t="s">
        <v>286</v>
      </c>
      <c r="C313" s="1">
        <v>4</v>
      </c>
      <c r="D313" s="1">
        <v>1</v>
      </c>
      <c r="E313" s="43">
        <v>3.5119999999999998E-2</v>
      </c>
      <c r="F313" s="43">
        <f t="shared" si="28"/>
        <v>1.2334143999999999E-3</v>
      </c>
      <c r="G313" s="43">
        <v>1.4562704217876631E-2</v>
      </c>
      <c r="H313" s="43">
        <v>1.7180450921289574E-6</v>
      </c>
      <c r="I313" s="43">
        <v>1</v>
      </c>
      <c r="J313" s="43">
        <v>25.518146431881373</v>
      </c>
      <c r="L313">
        <f t="shared" si="29"/>
        <v>0</v>
      </c>
      <c r="M313" s="37">
        <f t="shared" si="30"/>
        <v>1</v>
      </c>
      <c r="N313" s="37">
        <f t="shared" si="31"/>
        <v>1</v>
      </c>
      <c r="O313" s="37">
        <f t="shared" si="32"/>
        <v>1</v>
      </c>
      <c r="P313" s="37">
        <f t="shared" si="33"/>
        <v>1</v>
      </c>
      <c r="Q313">
        <f t="shared" si="34"/>
        <v>1</v>
      </c>
    </row>
    <row r="314" spans="1:17" ht="31.5">
      <c r="A314" s="1" t="s">
        <v>219</v>
      </c>
      <c r="B314" s="10" t="s">
        <v>286</v>
      </c>
      <c r="C314" s="1">
        <v>4</v>
      </c>
      <c r="D314" s="1">
        <v>1</v>
      </c>
      <c r="E314" s="43">
        <v>0.11051212938005391</v>
      </c>
      <c r="F314" s="43">
        <f t="shared" si="28"/>
        <v>1.2212930740113774E-2</v>
      </c>
      <c r="G314" s="43">
        <v>8.0647601755182333E-2</v>
      </c>
      <c r="H314" s="43">
        <v>1.0405061825569739E-6</v>
      </c>
      <c r="I314" s="43">
        <v>0.78173858661663542</v>
      </c>
      <c r="J314" s="43">
        <v>23.520000000000003</v>
      </c>
      <c r="K314" s="10"/>
      <c r="L314">
        <f t="shared" si="29"/>
        <v>0</v>
      </c>
      <c r="M314" s="37">
        <f t="shared" si="30"/>
        <v>1</v>
      </c>
      <c r="N314" s="37">
        <f t="shared" si="31"/>
        <v>1</v>
      </c>
      <c r="O314" s="37">
        <f t="shared" si="32"/>
        <v>1</v>
      </c>
      <c r="P314" s="37">
        <f t="shared" si="33"/>
        <v>1</v>
      </c>
      <c r="Q314">
        <f t="shared" si="34"/>
        <v>1</v>
      </c>
    </row>
    <row r="315" spans="1:17" ht="31.5">
      <c r="A315" s="1" t="s">
        <v>187</v>
      </c>
      <c r="B315" s="10" t="s">
        <v>286</v>
      </c>
      <c r="C315" s="1">
        <v>4</v>
      </c>
      <c r="D315" s="1">
        <v>1</v>
      </c>
      <c r="E315" s="43">
        <v>4.7080107707842475E-2</v>
      </c>
      <c r="F315" s="43">
        <f t="shared" si="28"/>
        <v>2.2165365417820483E-3</v>
      </c>
      <c r="G315" s="43">
        <v>0.1007291385363219</v>
      </c>
      <c r="H315" s="43">
        <v>1.0889018189549728E-6</v>
      </c>
      <c r="I315" s="43">
        <v>0.90110000000000001</v>
      </c>
      <c r="J315" s="43">
        <v>20.449790209790208</v>
      </c>
      <c r="K315" s="10"/>
      <c r="L315">
        <f t="shared" si="29"/>
        <v>0</v>
      </c>
      <c r="M315" s="37">
        <f t="shared" si="30"/>
        <v>1</v>
      </c>
      <c r="N315" s="37">
        <f t="shared" si="31"/>
        <v>1</v>
      </c>
      <c r="O315" s="37">
        <f t="shared" si="32"/>
        <v>1</v>
      </c>
      <c r="P315" s="37">
        <f t="shared" si="33"/>
        <v>1</v>
      </c>
      <c r="Q315">
        <f t="shared" si="34"/>
        <v>1</v>
      </c>
    </row>
    <row r="316" spans="1:17" ht="31.5">
      <c r="A316" s="1" t="s">
        <v>211</v>
      </c>
      <c r="B316" s="10" t="s">
        <v>286</v>
      </c>
      <c r="C316" s="1">
        <v>4</v>
      </c>
      <c r="D316" s="1">
        <v>1</v>
      </c>
      <c r="E316" s="43">
        <v>2.140987788883632E-4</v>
      </c>
      <c r="F316" s="43">
        <f t="shared" si="28"/>
        <v>4.5838287121488234E-8</v>
      </c>
      <c r="G316" s="43">
        <v>1.4459151884795948E-4</v>
      </c>
      <c r="H316" s="43">
        <v>1.4034734555419652E-7</v>
      </c>
      <c r="I316" s="43">
        <v>0.65048656163114005</v>
      </c>
      <c r="J316" s="43">
        <v>2.3402713672735707</v>
      </c>
      <c r="L316">
        <f t="shared" si="29"/>
        <v>0</v>
      </c>
      <c r="M316" s="37">
        <f t="shared" si="30"/>
        <v>0</v>
      </c>
      <c r="N316" s="37">
        <f t="shared" si="31"/>
        <v>0</v>
      </c>
      <c r="O316" s="37">
        <f t="shared" si="32"/>
        <v>1</v>
      </c>
      <c r="P316" s="37">
        <f t="shared" si="33"/>
        <v>1</v>
      </c>
      <c r="Q316">
        <f t="shared" si="34"/>
        <v>0</v>
      </c>
    </row>
    <row r="317" spans="1:17" ht="47.25">
      <c r="A317" s="1" t="s">
        <v>218</v>
      </c>
      <c r="B317" s="10" t="s">
        <v>288</v>
      </c>
      <c r="C317" s="1">
        <v>4</v>
      </c>
      <c r="D317" s="1">
        <v>1</v>
      </c>
      <c r="E317" s="43">
        <v>5.7963377684099593E-3</v>
      </c>
      <c r="F317" s="43">
        <f t="shared" si="28"/>
        <v>3.3597531525495747E-5</v>
      </c>
      <c r="G317" s="43">
        <v>1.3986013986013986E-3</v>
      </c>
      <c r="H317" s="43">
        <v>4.3054959407879135E-8</v>
      </c>
      <c r="I317" s="43">
        <v>8.9091403699673555E-2</v>
      </c>
      <c r="J317" s="43">
        <v>0.88029923830250267</v>
      </c>
      <c r="K317" s="10" t="s">
        <v>270</v>
      </c>
      <c r="L317">
        <f t="shared" si="29"/>
        <v>0</v>
      </c>
      <c r="M317" s="37">
        <f t="shared" si="30"/>
        <v>1</v>
      </c>
      <c r="N317" s="37">
        <f t="shared" si="31"/>
        <v>0</v>
      </c>
      <c r="O317" s="37">
        <f t="shared" si="32"/>
        <v>0</v>
      </c>
      <c r="P317" s="37">
        <f t="shared" si="33"/>
        <v>0</v>
      </c>
      <c r="Q317">
        <f t="shared" si="34"/>
        <v>1</v>
      </c>
    </row>
    <row r="318" spans="1:17" ht="47.25">
      <c r="A318" s="1" t="s">
        <v>217</v>
      </c>
      <c r="B318" s="10" t="s">
        <v>288</v>
      </c>
      <c r="C318" s="1">
        <v>4</v>
      </c>
      <c r="D318" s="1">
        <v>1</v>
      </c>
      <c r="E318" s="43">
        <v>6.0000000000000001E-3</v>
      </c>
      <c r="F318" s="43">
        <f t="shared" si="28"/>
        <v>3.6000000000000001E-5</v>
      </c>
      <c r="G318" s="43">
        <v>2.4879335224162811E-3</v>
      </c>
      <c r="H318" s="43">
        <v>2.8703306271919422E-7</v>
      </c>
      <c r="I318" s="43">
        <v>0.92678405931417984</v>
      </c>
      <c r="J318" s="43">
        <v>4.544022242817424</v>
      </c>
      <c r="K318" s="10" t="s">
        <v>270</v>
      </c>
      <c r="L318">
        <f t="shared" si="29"/>
        <v>0</v>
      </c>
      <c r="M318" s="37">
        <f t="shared" si="30"/>
        <v>1</v>
      </c>
      <c r="N318" s="37">
        <f t="shared" si="31"/>
        <v>1</v>
      </c>
      <c r="O318" s="37">
        <f t="shared" si="32"/>
        <v>1</v>
      </c>
      <c r="P318" s="37">
        <f t="shared" si="33"/>
        <v>1</v>
      </c>
      <c r="Q318">
        <f t="shared" si="34"/>
        <v>1</v>
      </c>
    </row>
    <row r="319" spans="1:17" ht="47.25">
      <c r="A319" s="1" t="s">
        <v>219</v>
      </c>
      <c r="B319" s="10" t="s">
        <v>288</v>
      </c>
      <c r="C319" s="1">
        <v>4</v>
      </c>
      <c r="D319" s="1">
        <v>1</v>
      </c>
      <c r="E319" s="43">
        <v>6.9458843043748702E-3</v>
      </c>
      <c r="F319" s="43">
        <f t="shared" si="28"/>
        <v>4.8245308769761173E-5</v>
      </c>
      <c r="G319" s="43">
        <v>1.1852847779360123E-4</v>
      </c>
      <c r="H319" s="43">
        <v>6.601760442541467E-8</v>
      </c>
      <c r="I319" s="43">
        <v>0.46982489055659787</v>
      </c>
      <c r="J319" s="43">
        <v>1.5408114446529082</v>
      </c>
      <c r="K319" t="s">
        <v>270</v>
      </c>
      <c r="L319">
        <f t="shared" si="29"/>
        <v>0</v>
      </c>
      <c r="M319" s="37">
        <f t="shared" si="30"/>
        <v>0</v>
      </c>
      <c r="N319" s="37">
        <f t="shared" si="31"/>
        <v>0</v>
      </c>
      <c r="O319" s="37">
        <f t="shared" si="32"/>
        <v>1</v>
      </c>
      <c r="P319" s="37">
        <f t="shared" si="33"/>
        <v>0</v>
      </c>
      <c r="Q319">
        <f t="shared" si="34"/>
        <v>1</v>
      </c>
    </row>
    <row r="320" spans="1:17" ht="47.25">
      <c r="A320" s="1" t="s">
        <v>187</v>
      </c>
      <c r="B320" s="10" t="s">
        <v>288</v>
      </c>
      <c r="C320" s="1">
        <v>4</v>
      </c>
      <c r="D320" s="1">
        <v>1</v>
      </c>
      <c r="E320" s="43">
        <v>1.9353752945136318E-3</v>
      </c>
      <c r="F320" s="43">
        <f t="shared" si="28"/>
        <v>3.745677530613727E-6</v>
      </c>
      <c r="G320" s="43">
        <v>4.140786749482402E-3</v>
      </c>
      <c r="H320" s="43">
        <v>4.5925290035071071E-8</v>
      </c>
      <c r="I320" s="43">
        <v>0.54100000000000004</v>
      </c>
      <c r="J320" s="43">
        <v>0.87621600621600626</v>
      </c>
      <c r="K320" s="10" t="s">
        <v>270</v>
      </c>
      <c r="L320">
        <f t="shared" si="29"/>
        <v>0</v>
      </c>
      <c r="M320" s="37">
        <f t="shared" si="30"/>
        <v>1</v>
      </c>
      <c r="N320" s="37">
        <f t="shared" si="31"/>
        <v>0</v>
      </c>
      <c r="O320" s="37">
        <f t="shared" si="32"/>
        <v>1</v>
      </c>
      <c r="P320" s="37">
        <f t="shared" si="33"/>
        <v>0</v>
      </c>
      <c r="Q320">
        <f t="shared" si="34"/>
        <v>0</v>
      </c>
    </row>
    <row r="321" spans="1:17" ht="47.25">
      <c r="A321" s="1" t="s">
        <v>211</v>
      </c>
      <c r="B321" s="10" t="s">
        <v>288</v>
      </c>
      <c r="C321" s="1">
        <v>4</v>
      </c>
      <c r="D321" s="1">
        <v>1</v>
      </c>
      <c r="E321" s="43">
        <v>1.0480359805724073E-4</v>
      </c>
      <c r="F321" s="43">
        <f t="shared" si="28"/>
        <v>1.0983794165743671E-8</v>
      </c>
      <c r="G321" s="43">
        <v>7.077906517032982E-5</v>
      </c>
      <c r="H321" s="43">
        <v>6.8887935052606613E-8</v>
      </c>
      <c r="I321" s="43">
        <v>0.34754402224281744</v>
      </c>
      <c r="J321" s="43">
        <v>1.1940507943871044</v>
      </c>
      <c r="K321" t="s">
        <v>270</v>
      </c>
      <c r="L321">
        <f t="shared" si="29"/>
        <v>0</v>
      </c>
      <c r="M321" s="37">
        <f t="shared" si="30"/>
        <v>0</v>
      </c>
      <c r="N321" s="37">
        <f t="shared" si="31"/>
        <v>0</v>
      </c>
      <c r="O321" s="37">
        <f t="shared" si="32"/>
        <v>1</v>
      </c>
      <c r="P321" s="37">
        <f t="shared" si="33"/>
        <v>0</v>
      </c>
      <c r="Q321">
        <f t="shared" si="34"/>
        <v>0</v>
      </c>
    </row>
    <row r="322" spans="1:17" ht="47.25">
      <c r="A322" s="1" t="s">
        <v>218</v>
      </c>
      <c r="B322" s="10" t="s">
        <v>274</v>
      </c>
      <c r="C322" s="1">
        <v>4</v>
      </c>
      <c r="D322" s="1">
        <v>1</v>
      </c>
      <c r="E322" s="43">
        <v>3.952048478461336E-4</v>
      </c>
      <c r="F322" s="43">
        <f t="shared" ref="F322:F337" si="35">E322*E322</f>
        <v>1.561868717610856E-7</v>
      </c>
      <c r="G322" s="43">
        <v>9.5359186268277176E-5</v>
      </c>
      <c r="H322" s="43">
        <v>2.9360359529730692E-9</v>
      </c>
      <c r="I322" s="43">
        <v>3.0875952121871601E-2</v>
      </c>
      <c r="J322" s="43">
        <v>5.6388737758433082E-2</v>
      </c>
      <c r="K322" t="s">
        <v>272</v>
      </c>
      <c r="L322">
        <f t="shared" ref="L322:L337" si="36">IF(E322&gt;$S$3,1,0)</f>
        <v>0</v>
      </c>
      <c r="M322" s="37">
        <f t="shared" ref="M322:M337" si="37">IF(G322&gt;$T$3,1,0)</f>
        <v>0</v>
      </c>
      <c r="N322" s="37">
        <f t="shared" ref="N322:N337" si="38">IF(H322&gt;$U$3,1,0)</f>
        <v>0</v>
      </c>
      <c r="O322" s="37">
        <f t="shared" ref="O322:O337" si="39">IF(I322&gt;$V$3,1,0)</f>
        <v>0</v>
      </c>
      <c r="P322" s="37">
        <f t="shared" ref="P322:P337" si="40">IF(J322&gt;$W$3,1,0)</f>
        <v>0</v>
      </c>
      <c r="Q322">
        <f t="shared" ref="Q322:Q337" si="41">IF(E322&gt;$X$3,1,0)</f>
        <v>0</v>
      </c>
    </row>
    <row r="323" spans="1:17">
      <c r="A323" s="1" t="s">
        <v>217</v>
      </c>
      <c r="B323" s="8" t="s">
        <v>274</v>
      </c>
      <c r="C323" s="1">
        <v>4</v>
      </c>
      <c r="D323" s="1">
        <v>1</v>
      </c>
      <c r="E323" s="43">
        <v>4.0000000000000002E-4</v>
      </c>
      <c r="F323" s="43">
        <f t="shared" si="35"/>
        <v>1.6E-7</v>
      </c>
      <c r="G323" s="43">
        <v>1.6586223482775207E-4</v>
      </c>
      <c r="H323" s="43">
        <v>1.8683865155283166E-8</v>
      </c>
      <c r="I323" s="43">
        <v>0.30892801977139328</v>
      </c>
      <c r="J323" s="43">
        <v>0.28460508701472559</v>
      </c>
      <c r="K323" t="s">
        <v>272</v>
      </c>
      <c r="L323">
        <f t="shared" si="36"/>
        <v>0</v>
      </c>
      <c r="M323" s="37">
        <f t="shared" si="37"/>
        <v>0</v>
      </c>
      <c r="N323" s="37">
        <f t="shared" si="38"/>
        <v>0</v>
      </c>
      <c r="O323" s="37">
        <f t="shared" si="39"/>
        <v>1</v>
      </c>
      <c r="P323" s="37">
        <f t="shared" si="40"/>
        <v>0</v>
      </c>
      <c r="Q323">
        <f t="shared" si="41"/>
        <v>0</v>
      </c>
    </row>
    <row r="324" spans="1:17" ht="47.25">
      <c r="A324" s="1" t="s">
        <v>219</v>
      </c>
      <c r="B324" s="10" t="s">
        <v>274</v>
      </c>
      <c r="C324" s="1">
        <v>4</v>
      </c>
      <c r="D324" s="1">
        <v>1</v>
      </c>
      <c r="E324" s="43">
        <v>5.1834957495334858E-4</v>
      </c>
      <c r="F324" s="43">
        <f t="shared" si="35"/>
        <v>2.6868628185431713E-7</v>
      </c>
      <c r="G324" s="43">
        <v>8.8454087905672562E-6</v>
      </c>
      <c r="H324" s="43">
        <v>5.3382471872237618E-9</v>
      </c>
      <c r="I324" s="43">
        <v>0.11694809255784866</v>
      </c>
      <c r="J324" s="43">
        <v>0.10802845528455285</v>
      </c>
      <c r="K324" s="10" t="s">
        <v>272</v>
      </c>
      <c r="L324">
        <f t="shared" si="36"/>
        <v>0</v>
      </c>
      <c r="M324" s="37">
        <f t="shared" si="37"/>
        <v>0</v>
      </c>
      <c r="N324" s="37">
        <f t="shared" si="38"/>
        <v>0</v>
      </c>
      <c r="O324" s="37">
        <f t="shared" si="39"/>
        <v>0</v>
      </c>
      <c r="P324" s="37">
        <f t="shared" si="40"/>
        <v>0</v>
      </c>
      <c r="Q324">
        <f t="shared" si="41"/>
        <v>0</v>
      </c>
    </row>
    <row r="325" spans="1:17" ht="47.25">
      <c r="A325" s="1" t="s">
        <v>187</v>
      </c>
      <c r="B325" s="10" t="s">
        <v>274</v>
      </c>
      <c r="C325" s="1">
        <v>4</v>
      </c>
      <c r="D325" s="1">
        <v>1</v>
      </c>
      <c r="E325" s="43">
        <v>5.4695388757993943E-4</v>
      </c>
      <c r="F325" s="43">
        <f t="shared" si="35"/>
        <v>2.9915855513880905E-7</v>
      </c>
      <c r="G325" s="43">
        <v>1.1702223422450266E-3</v>
      </c>
      <c r="H325" s="43">
        <v>1.2811793249337028E-8</v>
      </c>
      <c r="I325" s="43">
        <v>0.14649999999999999</v>
      </c>
      <c r="J325" s="43">
        <v>0.23264309764309765</v>
      </c>
      <c r="K325" s="10" t="s">
        <v>272</v>
      </c>
      <c r="L325">
        <f t="shared" si="36"/>
        <v>0</v>
      </c>
      <c r="M325" s="37">
        <f t="shared" si="37"/>
        <v>1</v>
      </c>
      <c r="N325" s="37">
        <f t="shared" si="38"/>
        <v>0</v>
      </c>
      <c r="O325" s="37">
        <f t="shared" si="39"/>
        <v>0</v>
      </c>
      <c r="P325" s="37">
        <f t="shared" si="40"/>
        <v>0</v>
      </c>
      <c r="Q325">
        <f t="shared" si="41"/>
        <v>0</v>
      </c>
    </row>
    <row r="326" spans="1:17" ht="47.25">
      <c r="A326" s="1" t="s">
        <v>211</v>
      </c>
      <c r="B326" s="10" t="s">
        <v>274</v>
      </c>
      <c r="C326" s="1">
        <v>4</v>
      </c>
      <c r="D326" s="1">
        <v>1</v>
      </c>
      <c r="E326" s="43">
        <v>1.4971942579605819E-5</v>
      </c>
      <c r="F326" s="43">
        <f t="shared" si="35"/>
        <v>2.2415906460701376E-10</v>
      </c>
      <c r="G326" s="43">
        <v>1.0111295024332831E-5</v>
      </c>
      <c r="H326" s="43">
        <v>9.8757572963639595E-9</v>
      </c>
      <c r="I326" s="43">
        <v>1.8007414272474513</v>
      </c>
      <c r="J326" s="43">
        <v>0.16025745100313118</v>
      </c>
      <c r="K326" t="s">
        <v>272</v>
      </c>
      <c r="L326">
        <f t="shared" si="36"/>
        <v>0</v>
      </c>
      <c r="M326" s="37">
        <f t="shared" si="37"/>
        <v>0</v>
      </c>
      <c r="N326" s="37">
        <f t="shared" si="38"/>
        <v>0</v>
      </c>
      <c r="O326" s="37">
        <f t="shared" si="39"/>
        <v>1</v>
      </c>
      <c r="P326" s="37">
        <f t="shared" si="40"/>
        <v>0</v>
      </c>
      <c r="Q326">
        <f t="shared" si="41"/>
        <v>0</v>
      </c>
    </row>
    <row r="327" spans="1:17">
      <c r="A327" s="1" t="s">
        <v>218</v>
      </c>
      <c r="B327" s="8" t="s">
        <v>287</v>
      </c>
      <c r="C327" s="1">
        <v>4</v>
      </c>
      <c r="D327" s="1">
        <v>1</v>
      </c>
      <c r="E327" s="43">
        <v>2.1736266631537347E-2</v>
      </c>
      <c r="F327" s="43">
        <f t="shared" si="35"/>
        <v>4.7246528707728397E-4</v>
      </c>
      <c r="G327" s="43">
        <v>5.244755244755245E-3</v>
      </c>
      <c r="H327" s="43">
        <v>1.5606011652446528E-7</v>
      </c>
      <c r="I327" s="43">
        <v>9.480413492927095E-2</v>
      </c>
      <c r="J327" s="43">
        <v>3.120905875952122</v>
      </c>
      <c r="K327" t="s">
        <v>268</v>
      </c>
      <c r="L327">
        <f t="shared" si="36"/>
        <v>0</v>
      </c>
      <c r="M327" s="37">
        <f t="shared" si="37"/>
        <v>1</v>
      </c>
      <c r="N327" s="37">
        <f t="shared" si="38"/>
        <v>0</v>
      </c>
      <c r="O327" s="37">
        <f t="shared" si="39"/>
        <v>0</v>
      </c>
      <c r="P327" s="37">
        <f t="shared" si="40"/>
        <v>1</v>
      </c>
      <c r="Q327">
        <f t="shared" si="41"/>
        <v>1</v>
      </c>
    </row>
    <row r="328" spans="1:17" ht="47.25">
      <c r="A328" s="1" t="s">
        <v>217</v>
      </c>
      <c r="B328" s="10" t="s">
        <v>287</v>
      </c>
      <c r="C328" s="1">
        <v>4</v>
      </c>
      <c r="D328" s="1">
        <v>1</v>
      </c>
      <c r="E328" s="43">
        <v>1.018E-2</v>
      </c>
      <c r="F328" s="43">
        <f t="shared" si="35"/>
        <v>1.036324E-4</v>
      </c>
      <c r="G328" s="43">
        <v>4.2211938763662901E-3</v>
      </c>
      <c r="H328" s="43">
        <v>5.202003884148844E-7</v>
      </c>
      <c r="I328" s="43">
        <v>0.96797446195036552</v>
      </c>
      <c r="J328" s="43">
        <v>7.2888003295232222</v>
      </c>
      <c r="K328" s="10" t="s">
        <v>268</v>
      </c>
      <c r="L328">
        <f t="shared" si="36"/>
        <v>0</v>
      </c>
      <c r="M328" s="37">
        <f t="shared" si="37"/>
        <v>1</v>
      </c>
      <c r="N328" s="37">
        <f t="shared" si="38"/>
        <v>1</v>
      </c>
      <c r="O328" s="37">
        <f t="shared" si="39"/>
        <v>1</v>
      </c>
      <c r="P328" s="37">
        <f t="shared" si="40"/>
        <v>1</v>
      </c>
      <c r="Q328">
        <f t="shared" si="41"/>
        <v>1</v>
      </c>
    </row>
    <row r="329" spans="1:17" ht="47.25">
      <c r="A329" s="1" t="s">
        <v>219</v>
      </c>
      <c r="B329" s="10" t="s">
        <v>287</v>
      </c>
      <c r="C329" s="1">
        <v>4</v>
      </c>
      <c r="D329" s="1">
        <v>1</v>
      </c>
      <c r="E329" s="43">
        <v>1.7727555463404519E-2</v>
      </c>
      <c r="F329" s="43">
        <f t="shared" si="35"/>
        <v>3.1426622270808342E-4</v>
      </c>
      <c r="G329" s="43">
        <v>3.0251298063740017E-4</v>
      </c>
      <c r="H329" s="43">
        <v>1.5606011652446528E-7</v>
      </c>
      <c r="I329" s="43">
        <v>0.93808630393996251</v>
      </c>
      <c r="J329" s="43">
        <v>3.7178330206378991</v>
      </c>
      <c r="K329" s="10" t="s">
        <v>268</v>
      </c>
      <c r="L329">
        <f t="shared" si="36"/>
        <v>0</v>
      </c>
      <c r="M329" s="37">
        <f t="shared" si="37"/>
        <v>0</v>
      </c>
      <c r="N329" s="37">
        <f t="shared" si="38"/>
        <v>0</v>
      </c>
      <c r="O329" s="37">
        <f t="shared" si="39"/>
        <v>1</v>
      </c>
      <c r="P329" s="37">
        <f t="shared" si="40"/>
        <v>1</v>
      </c>
      <c r="Q329">
        <f t="shared" si="41"/>
        <v>1</v>
      </c>
    </row>
    <row r="330" spans="1:17" ht="47.25">
      <c r="A330" s="1" t="s">
        <v>187</v>
      </c>
      <c r="B330" s="10" t="s">
        <v>287</v>
      </c>
      <c r="C330" s="1">
        <v>4</v>
      </c>
      <c r="D330" s="1">
        <v>1</v>
      </c>
      <c r="E330" s="43">
        <v>1.3884214069336924E-2</v>
      </c>
      <c r="F330" s="43">
        <f t="shared" si="35"/>
        <v>1.9277140032317338E-4</v>
      </c>
      <c r="G330" s="43">
        <v>2.9705644072373753E-2</v>
      </c>
      <c r="H330" s="43">
        <v>3.1212023304893057E-7</v>
      </c>
      <c r="I330" s="43">
        <v>0.81159999999999999</v>
      </c>
      <c r="J330" s="43">
        <v>5.9427350427350429</v>
      </c>
      <c r="K330" s="10" t="s">
        <v>268</v>
      </c>
      <c r="L330">
        <f t="shared" si="36"/>
        <v>0</v>
      </c>
      <c r="M330" s="37">
        <f t="shared" si="37"/>
        <v>1</v>
      </c>
      <c r="N330" s="37">
        <f t="shared" si="38"/>
        <v>1</v>
      </c>
      <c r="O330" s="37">
        <f t="shared" si="39"/>
        <v>1</v>
      </c>
      <c r="P330" s="37">
        <f t="shared" si="40"/>
        <v>1</v>
      </c>
      <c r="Q330">
        <f t="shared" si="41"/>
        <v>1</v>
      </c>
    </row>
    <row r="331" spans="1:17" ht="47.25">
      <c r="A331" s="1" t="s">
        <v>211</v>
      </c>
      <c r="B331" s="10" t="s">
        <v>287</v>
      </c>
      <c r="C331" s="1">
        <v>4</v>
      </c>
      <c r="D331" s="1">
        <v>1</v>
      </c>
      <c r="E331" s="43">
        <v>1.7966331095526982E-4</v>
      </c>
      <c r="F331" s="43">
        <f t="shared" si="35"/>
        <v>3.2278905303409981E-8</v>
      </c>
      <c r="G331" s="43">
        <v>1.2133554029199398E-4</v>
      </c>
      <c r="H331" s="43">
        <v>1.1704508739334897E-7</v>
      </c>
      <c r="I331" s="43">
        <v>0.5792400370713624</v>
      </c>
      <c r="J331" s="43">
        <v>1.9351965673199583</v>
      </c>
      <c r="K331" t="s">
        <v>268</v>
      </c>
      <c r="L331">
        <f t="shared" si="36"/>
        <v>0</v>
      </c>
      <c r="M331" s="37">
        <f t="shared" si="37"/>
        <v>0</v>
      </c>
      <c r="N331" s="37">
        <f t="shared" si="38"/>
        <v>0</v>
      </c>
      <c r="O331" s="37">
        <f t="shared" si="39"/>
        <v>1</v>
      </c>
      <c r="P331" s="37">
        <f t="shared" si="40"/>
        <v>1</v>
      </c>
      <c r="Q331">
        <f t="shared" si="41"/>
        <v>0</v>
      </c>
    </row>
    <row r="332" spans="1:17" ht="31.5">
      <c r="A332" s="1" t="s">
        <v>218</v>
      </c>
      <c r="B332" s="10" t="s">
        <v>279</v>
      </c>
      <c r="C332" s="1">
        <v>4</v>
      </c>
      <c r="D332" s="1">
        <v>1</v>
      </c>
      <c r="E332" s="43">
        <v>0.58898695824002112</v>
      </c>
      <c r="F332" s="43">
        <f t="shared" si="35"/>
        <v>0.34690563697683235</v>
      </c>
      <c r="G332" s="43">
        <v>0.14211697393515577</v>
      </c>
      <c r="H332" s="43">
        <v>4.3747117734709495E-6</v>
      </c>
      <c r="I332" s="43">
        <v>0.32821001088139284</v>
      </c>
      <c r="J332" s="43">
        <v>82.882561207834598</v>
      </c>
      <c r="K332" s="10"/>
      <c r="L332">
        <f t="shared" si="36"/>
        <v>1</v>
      </c>
      <c r="M332" s="37">
        <f t="shared" si="37"/>
        <v>1</v>
      </c>
      <c r="N332" s="37">
        <f t="shared" si="38"/>
        <v>1</v>
      </c>
      <c r="O332" s="37">
        <f t="shared" si="39"/>
        <v>1</v>
      </c>
      <c r="P332" s="37">
        <f t="shared" si="40"/>
        <v>1</v>
      </c>
      <c r="Q332">
        <f t="shared" si="41"/>
        <v>1</v>
      </c>
    </row>
    <row r="333" spans="1:17">
      <c r="A333" s="1" t="s">
        <v>217</v>
      </c>
      <c r="B333" s="8" t="s">
        <v>279</v>
      </c>
      <c r="C333" s="1">
        <v>4</v>
      </c>
      <c r="D333" s="1">
        <v>1</v>
      </c>
      <c r="E333" s="43">
        <v>1</v>
      </c>
      <c r="F333" s="43">
        <f t="shared" si="35"/>
        <v>1</v>
      </c>
      <c r="G333" s="43">
        <v>0.41465558706938016</v>
      </c>
      <c r="H333" s="43">
        <v>4.8958523016767781E-5</v>
      </c>
      <c r="I333" s="43">
        <v>1</v>
      </c>
      <c r="J333" s="43">
        <v>701.72999691071982</v>
      </c>
      <c r="L333">
        <f t="shared" si="36"/>
        <v>1</v>
      </c>
      <c r="M333" s="37">
        <f t="shared" si="37"/>
        <v>1</v>
      </c>
      <c r="N333" s="37">
        <f t="shared" si="38"/>
        <v>1</v>
      </c>
      <c r="O333" s="37">
        <f t="shared" si="39"/>
        <v>1</v>
      </c>
      <c r="P333" s="37">
        <f t="shared" si="40"/>
        <v>1</v>
      </c>
      <c r="Q333">
        <f t="shared" si="41"/>
        <v>1</v>
      </c>
    </row>
    <row r="334" spans="1:17" ht="31.5">
      <c r="A334" s="1" t="s">
        <v>219</v>
      </c>
      <c r="B334" s="10" t="s">
        <v>279</v>
      </c>
      <c r="C334" s="1">
        <v>4</v>
      </c>
      <c r="D334" s="1">
        <v>1</v>
      </c>
      <c r="E334" s="43">
        <v>8.0862533692722376E-3</v>
      </c>
      <c r="F334" s="43">
        <f t="shared" si="35"/>
        <v>6.538749355206661E-5</v>
      </c>
      <c r="G334" s="43">
        <v>5.9010440308669993E-3</v>
      </c>
      <c r="H334" s="43">
        <v>7.6497692213699645E-8</v>
      </c>
      <c r="I334" s="43">
        <v>0.54721701063164474</v>
      </c>
      <c r="J334" s="43">
        <v>1.6620731707317071</v>
      </c>
      <c r="K334" s="10"/>
      <c r="L334">
        <f t="shared" si="36"/>
        <v>0</v>
      </c>
      <c r="M334" s="37">
        <f t="shared" si="37"/>
        <v>1</v>
      </c>
      <c r="N334" s="37">
        <f t="shared" si="38"/>
        <v>0</v>
      </c>
      <c r="O334" s="37">
        <f t="shared" si="39"/>
        <v>1</v>
      </c>
      <c r="P334" s="37">
        <f t="shared" si="40"/>
        <v>1</v>
      </c>
      <c r="Q334">
        <f t="shared" si="41"/>
        <v>1</v>
      </c>
    </row>
    <row r="335" spans="1:17" ht="31.5">
      <c r="A335" s="1" t="s">
        <v>187</v>
      </c>
      <c r="B335" s="10" t="s">
        <v>279</v>
      </c>
      <c r="C335" s="1">
        <v>4</v>
      </c>
      <c r="D335" s="1">
        <v>1</v>
      </c>
      <c r="E335" s="43">
        <v>0.12558902726354762</v>
      </c>
      <c r="F335" s="43">
        <f t="shared" si="35"/>
        <v>1.5772603769004107E-2</v>
      </c>
      <c r="G335" s="43">
        <v>0.26870105320010801</v>
      </c>
      <c r="H335" s="43">
        <v>2.9236461742923334E-6</v>
      </c>
      <c r="I335" s="43">
        <v>1</v>
      </c>
      <c r="J335" s="43">
        <v>17.384829059829059</v>
      </c>
      <c r="K335" s="10"/>
      <c r="L335">
        <f t="shared" si="36"/>
        <v>0</v>
      </c>
      <c r="M335" s="37">
        <f t="shared" si="37"/>
        <v>1</v>
      </c>
      <c r="N335" s="37">
        <f t="shared" si="38"/>
        <v>1</v>
      </c>
      <c r="O335" s="37">
        <f t="shared" si="39"/>
        <v>1</v>
      </c>
      <c r="P335" s="37">
        <f t="shared" si="40"/>
        <v>1</v>
      </c>
      <c r="Q335">
        <f t="shared" si="41"/>
        <v>1</v>
      </c>
    </row>
    <row r="336" spans="1:17" ht="31.5">
      <c r="A336" s="1" t="s">
        <v>211</v>
      </c>
      <c r="B336" s="10" t="s">
        <v>279</v>
      </c>
      <c r="C336" s="1">
        <v>4</v>
      </c>
      <c r="D336" s="1">
        <v>1</v>
      </c>
      <c r="E336" s="43">
        <v>0.14852765916672156</v>
      </c>
      <c r="F336" s="43">
        <f t="shared" si="35"/>
        <v>2.2060465537545808E-2</v>
      </c>
      <c r="G336" s="43">
        <v>0.10030809115939142</v>
      </c>
      <c r="H336" s="43">
        <v>9.7152069111398551E-5</v>
      </c>
      <c r="I336" s="43">
        <v>0.99096385542168675</v>
      </c>
      <c r="J336" s="43">
        <v>1567.9593134639915</v>
      </c>
      <c r="L336">
        <f t="shared" si="36"/>
        <v>0</v>
      </c>
      <c r="M336" s="37">
        <f t="shared" si="37"/>
        <v>1</v>
      </c>
      <c r="N336" s="37">
        <f t="shared" si="38"/>
        <v>1</v>
      </c>
      <c r="O336" s="37">
        <f t="shared" si="39"/>
        <v>1</v>
      </c>
      <c r="P336" s="37">
        <f t="shared" si="40"/>
        <v>1</v>
      </c>
      <c r="Q336">
        <f t="shared" si="41"/>
        <v>1</v>
      </c>
    </row>
    <row r="337" spans="1:17">
      <c r="A337" s="1" t="s">
        <v>216</v>
      </c>
      <c r="B337" s="10" t="s">
        <v>294</v>
      </c>
      <c r="C337" s="1">
        <v>4</v>
      </c>
      <c r="D337" s="1">
        <v>1</v>
      </c>
      <c r="E337" s="43">
        <v>1</v>
      </c>
      <c r="F337" s="43">
        <f t="shared" si="35"/>
        <v>1</v>
      </c>
      <c r="G337" s="43">
        <v>42.764790437282493</v>
      </c>
      <c r="H337" s="43">
        <v>5.5365070211171354E-4</v>
      </c>
      <c r="I337" s="43">
        <v>1</v>
      </c>
      <c r="J337" s="43">
        <v>13008.552321899737</v>
      </c>
      <c r="K337" s="10"/>
      <c r="L337">
        <f t="shared" si="36"/>
        <v>1</v>
      </c>
      <c r="M337" s="37">
        <f t="shared" si="37"/>
        <v>1</v>
      </c>
      <c r="N337" s="37">
        <f t="shared" si="38"/>
        <v>1</v>
      </c>
      <c r="O337" s="37">
        <f t="shared" si="39"/>
        <v>1</v>
      </c>
      <c r="P337" s="37">
        <f t="shared" si="40"/>
        <v>1</v>
      </c>
      <c r="Q337">
        <f t="shared" si="41"/>
        <v>1</v>
      </c>
    </row>
  </sheetData>
  <autoFilter ref="A1:Q1" xr:uid="{00000000-0009-0000-0000-000001000000}">
    <sortState xmlns:xlrd2="http://schemas.microsoft.com/office/spreadsheetml/2017/richdata2" ref="A2:Q337">
      <sortCondition ref="C1"/>
    </sortState>
  </autoFilter>
  <phoneticPr fontId="3" type="noConversion"/>
  <conditionalFormatting sqref="E69:E12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9:G12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9:H12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9:I1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9:J12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337">
    <cfRule type="colorScale" priority="44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6">
      <colorScale>
        <cfvo type="min"/>
        <cfvo type="max"/>
        <color theme="6" tint="-0.499984740745262"/>
        <color theme="9" tint="0.59999389629810485"/>
      </colorScale>
    </cfRule>
  </conditionalFormatting>
  <conditionalFormatting sqref="T46 T37 T55:T33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N337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6 U37 U55:U3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337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337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6 V37 V55:V33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6 W37 W55:W33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 E3:E68 F3:F126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68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68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68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68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3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7:J3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7"/>
  <sheetViews>
    <sheetView zoomScale="130" zoomScaleNormal="130" workbookViewId="0"/>
  </sheetViews>
  <sheetFormatPr defaultRowHeight="15"/>
  <cols>
    <col min="1" max="1" width="11.7109375" customWidth="1"/>
    <col min="2" max="2" width="35.85546875" style="65" customWidth="1"/>
    <col min="3" max="3" width="20.85546875" customWidth="1"/>
    <col min="5" max="5" width="14.85546875" customWidth="1"/>
    <col min="13" max="13" width="18.28515625" customWidth="1"/>
    <col min="15" max="15" width="17.140625" customWidth="1"/>
    <col min="16" max="16" width="13.42578125" customWidth="1"/>
    <col min="17" max="17" width="15.28515625" customWidth="1"/>
    <col min="18" max="18" width="15.85546875" customWidth="1"/>
  </cols>
  <sheetData>
    <row r="1" spans="1:21" ht="48" thickBot="1">
      <c r="A1" s="7" t="s">
        <v>500</v>
      </c>
      <c r="B1" s="7" t="s">
        <v>0</v>
      </c>
      <c r="C1" s="6" t="s">
        <v>312</v>
      </c>
      <c r="D1" s="6" t="s">
        <v>1</v>
      </c>
      <c r="E1" s="6" t="s">
        <v>2</v>
      </c>
      <c r="G1" s="10" t="s">
        <v>296</v>
      </c>
      <c r="H1" s="10" t="s">
        <v>297</v>
      </c>
      <c r="I1" s="10" t="s">
        <v>298</v>
      </c>
      <c r="J1" s="10" t="s">
        <v>299</v>
      </c>
      <c r="K1" s="10" t="s">
        <v>300</v>
      </c>
      <c r="O1" s="10" t="s">
        <v>303</v>
      </c>
      <c r="P1" s="10" t="s">
        <v>304</v>
      </c>
      <c r="Q1" s="10" t="s">
        <v>305</v>
      </c>
      <c r="R1" s="10" t="s">
        <v>306</v>
      </c>
    </row>
    <row r="2" spans="1:21" ht="15.75">
      <c r="A2" s="1" t="s">
        <v>218</v>
      </c>
      <c r="B2" s="10" t="s">
        <v>189</v>
      </c>
      <c r="C2" s="8" t="s">
        <v>314</v>
      </c>
      <c r="D2" s="1">
        <v>1</v>
      </c>
      <c r="E2" s="1">
        <v>0</v>
      </c>
      <c r="G2">
        <f>IF('pre-compute all'!E2&gt;$O$3,1,0)</f>
        <v>0</v>
      </c>
      <c r="H2" s="37">
        <f>IF('pre-compute all'!$G$2&gt;$O$3,1,0)</f>
        <v>0</v>
      </c>
      <c r="I2" s="37">
        <f>IF('pre-compute all'!H2&gt;$O$3,1,0)</f>
        <v>0</v>
      </c>
      <c r="J2" s="37">
        <f>IF('pre-compute all'!I2&gt;$O$3,1,0)</f>
        <v>1</v>
      </c>
      <c r="K2" s="37">
        <f>IF('pre-compute all'!J2&gt;$O$3,1,0)</f>
        <v>1</v>
      </c>
      <c r="L2" s="56"/>
      <c r="M2" s="57" t="s">
        <v>301</v>
      </c>
      <c r="O2" s="36" t="s">
        <v>366</v>
      </c>
      <c r="P2" s="36" t="s">
        <v>366</v>
      </c>
      <c r="Q2" s="36" t="s">
        <v>366</v>
      </c>
      <c r="R2" s="36" t="s">
        <v>366</v>
      </c>
      <c r="T2" s="36" t="s">
        <v>307</v>
      </c>
    </row>
    <row r="3" spans="1:21" ht="15.75">
      <c r="A3" s="1" t="s">
        <v>187</v>
      </c>
      <c r="B3" s="10" t="s">
        <v>189</v>
      </c>
      <c r="C3" s="8" t="s">
        <v>314</v>
      </c>
      <c r="D3" s="1">
        <v>1</v>
      </c>
      <c r="E3" s="1">
        <v>0</v>
      </c>
      <c r="G3">
        <f>IF('pre-compute all'!E3&gt;$O$3,1,0)</f>
        <v>0</v>
      </c>
      <c r="H3" s="37">
        <f>IF('pre-compute all'!$G$2&gt;$O$3,1,0)</f>
        <v>0</v>
      </c>
      <c r="I3" s="37">
        <f>IF('pre-compute all'!H3&gt;$O$3,1,0)</f>
        <v>0</v>
      </c>
      <c r="J3" s="37">
        <f>IF('pre-compute all'!I3&gt;$O$3,1,0)</f>
        <v>1</v>
      </c>
      <c r="K3" s="37">
        <f>IF('pre-compute all'!J3&gt;$O$3,1,0)</f>
        <v>1</v>
      </c>
      <c r="L3" s="49"/>
      <c r="M3" s="50" t="s">
        <v>185</v>
      </c>
      <c r="O3">
        <v>5.0000000000000001E-3</v>
      </c>
      <c r="P3">
        <v>8.0000000000000002E-3</v>
      </c>
      <c r="Q3">
        <v>1.4999999999999999E-2</v>
      </c>
      <c r="R3">
        <v>2E-3</v>
      </c>
      <c r="T3">
        <f>SUM(O3:R3)/4</f>
        <v>7.4999999999999997E-3</v>
      </c>
      <c r="U3">
        <f>(O3*L11+P3*L16+Q3*L21*+R3*L26)/(L11+L16+L21+L26)</f>
        <v>3.3366467065868268E-3</v>
      </c>
    </row>
    <row r="4" spans="1:21" ht="15.75">
      <c r="A4" s="1" t="s">
        <v>211</v>
      </c>
      <c r="B4" s="10" t="s">
        <v>189</v>
      </c>
      <c r="C4" s="8" t="s">
        <v>314</v>
      </c>
      <c r="D4" s="1">
        <v>1</v>
      </c>
      <c r="E4" s="1">
        <v>0</v>
      </c>
      <c r="G4">
        <f>IF('pre-compute all'!E4&gt;$O$3,1,0)</f>
        <v>0</v>
      </c>
      <c r="H4" s="37">
        <f>IF('pre-compute all'!$G$2&gt;$O$3,1,0)</f>
        <v>0</v>
      </c>
      <c r="I4" s="37">
        <f>IF('pre-compute all'!H4&gt;$O$3,1,0)</f>
        <v>0</v>
      </c>
      <c r="J4" s="37">
        <f>IF('pre-compute all'!I4&gt;$O$3,1,0)</f>
        <v>0</v>
      </c>
      <c r="K4" s="37">
        <f>IF('pre-compute all'!J4&gt;$O$3,1,0)</f>
        <v>1</v>
      </c>
      <c r="L4" s="49"/>
      <c r="M4" s="51">
        <f>COUNTIF($E$2:$E$337,0)</f>
        <v>158</v>
      </c>
      <c r="O4" s="48">
        <f>COUNTIFS($E$2:$E$337,"=0",$G$2:$G$337,"=0",$D$2:$D$337,$M$7)</f>
        <v>33</v>
      </c>
      <c r="P4" s="48">
        <f>COUNTIFS($E$2:$E$337,"=0",$G$2:$G$337,"=0",$D$2:$D$337,$M$12)</f>
        <v>34</v>
      </c>
      <c r="Q4" s="48">
        <f>COUNTIFS($E$2:$E$337,"=0",$G$2:$G$337,"=0",$D$2:$D$337,$M$17)</f>
        <v>55</v>
      </c>
      <c r="R4" s="48">
        <f>COUNTIFS($E$2:$E$337,"=0",$G$2:$G$337,"=0",$D$2:$D$337,$M$22)</f>
        <v>17</v>
      </c>
    </row>
    <row r="5" spans="1:21" ht="15.75">
      <c r="A5" s="1" t="s">
        <v>187</v>
      </c>
      <c r="B5" s="10" t="s">
        <v>199</v>
      </c>
      <c r="C5" s="8" t="s">
        <v>314</v>
      </c>
      <c r="D5" s="1">
        <v>1</v>
      </c>
      <c r="E5" s="1">
        <v>0</v>
      </c>
      <c r="G5">
        <f>IF('pre-compute all'!E5&gt;$O$3,1,0)</f>
        <v>0</v>
      </c>
      <c r="H5" s="37">
        <f>IF('pre-compute all'!$G$2&gt;$O$3,1,0)</f>
        <v>0</v>
      </c>
      <c r="I5" s="37">
        <f>IF('pre-compute all'!H5&gt;$O$3,1,0)</f>
        <v>0</v>
      </c>
      <c r="J5" s="37">
        <f>IF('pre-compute all'!I5&gt;$O$3,1,0)</f>
        <v>1</v>
      </c>
      <c r="K5" s="37">
        <f>IF('pre-compute all'!J5&gt;$O$3,1,0)</f>
        <v>1</v>
      </c>
      <c r="L5" s="49"/>
      <c r="M5" s="50" t="s">
        <v>186</v>
      </c>
      <c r="O5" s="48">
        <f>($O$4/$M$9)*100</f>
        <v>94.285714285714278</v>
      </c>
      <c r="P5" s="48">
        <f>($P$4/$M$14)*100</f>
        <v>82.926829268292678</v>
      </c>
      <c r="Q5" s="48">
        <f>($Q$4/$M$19)*100</f>
        <v>94.827586206896555</v>
      </c>
      <c r="R5" s="48">
        <f>($R$4/$M$24)*100</f>
        <v>70.833333333333343</v>
      </c>
    </row>
    <row r="6" spans="1:21" ht="16.5" thickBot="1">
      <c r="A6" s="1" t="s">
        <v>187</v>
      </c>
      <c r="B6" s="10" t="s">
        <v>198</v>
      </c>
      <c r="C6" s="8" t="s">
        <v>314</v>
      </c>
      <c r="D6" s="1">
        <v>1</v>
      </c>
      <c r="E6" s="1">
        <v>0</v>
      </c>
      <c r="G6">
        <f>IF('pre-compute all'!E6&gt;$O$3,1,0)</f>
        <v>0</v>
      </c>
      <c r="H6" s="37">
        <f>IF('pre-compute all'!$G$2&gt;$O$3,1,0)</f>
        <v>0</v>
      </c>
      <c r="I6" s="37">
        <f>IF('pre-compute all'!H6&gt;$O$3,1,0)</f>
        <v>0</v>
      </c>
      <c r="J6" s="37">
        <f>IF('pre-compute all'!I6&gt;$O$3,1,0)</f>
        <v>1</v>
      </c>
      <c r="K6" s="37">
        <f>IF('pre-compute all'!J6&gt;$O$3,1,0)</f>
        <v>1</v>
      </c>
      <c r="L6" s="52"/>
      <c r="M6" s="53">
        <f>COUNTIF($E$2:$E$337,1)</f>
        <v>176</v>
      </c>
      <c r="O6" s="36" t="s">
        <v>367</v>
      </c>
      <c r="P6" s="36" t="s">
        <v>367</v>
      </c>
      <c r="Q6" s="36" t="s">
        <v>367</v>
      </c>
      <c r="R6" s="36" t="s">
        <v>367</v>
      </c>
    </row>
    <row r="7" spans="1:21" ht="15.75">
      <c r="A7" s="1" t="s">
        <v>187</v>
      </c>
      <c r="B7" s="10" t="s">
        <v>200</v>
      </c>
      <c r="C7" s="8" t="s">
        <v>314</v>
      </c>
      <c r="D7" s="1">
        <v>1</v>
      </c>
      <c r="E7" s="1">
        <v>0</v>
      </c>
      <c r="G7">
        <f>IF('pre-compute all'!E7&gt;$O$3,1,0)</f>
        <v>0</v>
      </c>
      <c r="H7" s="37">
        <f>IF('pre-compute all'!$G$2&gt;$O$3,1,0)</f>
        <v>0</v>
      </c>
      <c r="I7" s="37">
        <f>IF('pre-compute all'!H7&gt;$O$3,1,0)</f>
        <v>0</v>
      </c>
      <c r="J7" s="37">
        <f>IF('pre-compute all'!I7&gt;$O$3,1,0)</f>
        <v>1</v>
      </c>
      <c r="K7" s="37">
        <f>IF('pre-compute all'!J7&gt;$O$3,1,0)</f>
        <v>1</v>
      </c>
      <c r="L7" s="54" t="s">
        <v>302</v>
      </c>
      <c r="M7" s="55">
        <v>1</v>
      </c>
      <c r="O7">
        <v>5.0000000000000001E-3</v>
      </c>
      <c r="P7">
        <v>8.0000000000000002E-3</v>
      </c>
      <c r="Q7">
        <v>1.4999999999999999E-2</v>
      </c>
      <c r="R7">
        <v>2E-3</v>
      </c>
    </row>
    <row r="8" spans="1:21" ht="15.75">
      <c r="A8" s="1" t="s">
        <v>218</v>
      </c>
      <c r="B8" s="10" t="s">
        <v>197</v>
      </c>
      <c r="C8" s="8" t="s">
        <v>315</v>
      </c>
      <c r="D8" s="1">
        <v>1</v>
      </c>
      <c r="E8" s="1">
        <v>0</v>
      </c>
      <c r="G8">
        <f>IF('pre-compute all'!E8&gt;$O$3,1,0)</f>
        <v>0</v>
      </c>
      <c r="H8" s="37">
        <f>IF('pre-compute all'!$G$2&gt;$O$3,1,0)</f>
        <v>0</v>
      </c>
      <c r="I8" s="37">
        <f>IF('pre-compute all'!H8&gt;$O$3,1,0)</f>
        <v>0</v>
      </c>
      <c r="J8" s="37">
        <f>IF('pre-compute all'!I8&gt;$O$3,1,0)</f>
        <v>1</v>
      </c>
      <c r="K8" s="37">
        <f>IF('pre-compute all'!J8&gt;$O$3,1,0)</f>
        <v>1</v>
      </c>
      <c r="L8" s="49"/>
      <c r="M8" s="50" t="s">
        <v>185</v>
      </c>
      <c r="O8" s="48">
        <f>COUNTIFS($E$2:$E$337,"=1",$G$2:$G$337,"=1",$D$2:$D$337,$M$7)</f>
        <v>29</v>
      </c>
      <c r="P8" s="48">
        <f>COUNTIFS($E$2:$E$337,"=1",$G$2:$G$337,"=1",$D$2:$D$337,$M$12)</f>
        <v>13</v>
      </c>
      <c r="Q8" s="48">
        <f>COUNTIFS($E$2:$E$337,"=1",$G$2:$G$337,"=1",$D$2:$D$337,$M$17)</f>
        <v>31</v>
      </c>
      <c r="R8" s="48">
        <f>COUNTIFS($E$2:$E$337,"=1",$G$2:$G$337,"=1",$D$2:$D$337,$M$22)</f>
        <v>66</v>
      </c>
    </row>
    <row r="9" spans="1:21" ht="15.75">
      <c r="A9" s="1" t="s">
        <v>187</v>
      </c>
      <c r="B9" s="10" t="s">
        <v>197</v>
      </c>
      <c r="C9" s="8" t="s">
        <v>313</v>
      </c>
      <c r="D9" s="1">
        <v>1</v>
      </c>
      <c r="E9" s="1">
        <v>0</v>
      </c>
      <c r="G9">
        <f>IF('pre-compute all'!E9&gt;$O$3,1,0)</f>
        <v>0</v>
      </c>
      <c r="H9" s="37">
        <f>IF('pre-compute all'!$G$2&gt;$O$3,1,0)</f>
        <v>0</v>
      </c>
      <c r="I9" s="37">
        <f>IF('pre-compute all'!H9&gt;$O$3,1,0)</f>
        <v>0</v>
      </c>
      <c r="J9" s="37">
        <f>IF('pre-compute all'!I9&gt;$O$3,1,0)</f>
        <v>1</v>
      </c>
      <c r="K9" s="37">
        <f>IF('pre-compute all'!J9&gt;$O$3,1,0)</f>
        <v>1</v>
      </c>
      <c r="L9" s="49"/>
      <c r="M9" s="51">
        <f>COUNTIFS($E$2:$E$337,"=0",$D$2:$D$337,$M$7)</f>
        <v>35</v>
      </c>
      <c r="O9" s="48">
        <f>($O$8/$M$11)*100</f>
        <v>93.548387096774192</v>
      </c>
      <c r="P9" s="48">
        <f>($P$8/$M$16)*100</f>
        <v>81.25</v>
      </c>
      <c r="Q9" s="48">
        <f>($Q$8/$M$21)*100</f>
        <v>91.17647058823529</v>
      </c>
      <c r="R9" s="48">
        <f>($R$8/$M$26)*100</f>
        <v>69.473684210526315</v>
      </c>
    </row>
    <row r="10" spans="1:21" ht="15.75">
      <c r="A10" s="1" t="s">
        <v>218</v>
      </c>
      <c r="B10" s="10" t="s">
        <v>202</v>
      </c>
      <c r="C10" s="8" t="s">
        <v>319</v>
      </c>
      <c r="D10" s="1">
        <v>1</v>
      </c>
      <c r="E10" s="1">
        <v>0</v>
      </c>
      <c r="G10">
        <f>IF('pre-compute all'!E10&gt;$O$3,1,0)</f>
        <v>0</v>
      </c>
      <c r="H10" s="37">
        <f>IF('pre-compute all'!$G$2&gt;$O$3,1,0)</f>
        <v>0</v>
      </c>
      <c r="I10" s="37">
        <f>IF('pre-compute all'!H10&gt;$O$3,1,0)</f>
        <v>0</v>
      </c>
      <c r="J10" s="37">
        <f>IF('pre-compute all'!I10&gt;$O$3,1,0)</f>
        <v>1</v>
      </c>
      <c r="K10" s="37">
        <f>IF('pre-compute all'!J10&gt;$O$3,1,0)</f>
        <v>1</v>
      </c>
      <c r="L10" s="49"/>
      <c r="M10" s="50" t="s">
        <v>186</v>
      </c>
    </row>
    <row r="11" spans="1:21" ht="16.5" thickBot="1">
      <c r="A11" s="59" t="s">
        <v>187</v>
      </c>
      <c r="B11" s="60" t="s">
        <v>202</v>
      </c>
      <c r="C11" s="61" t="s">
        <v>318</v>
      </c>
      <c r="D11" s="1">
        <v>1</v>
      </c>
      <c r="E11" s="1">
        <v>0</v>
      </c>
      <c r="G11">
        <f>IF('pre-compute all'!E11&gt;$O$3,1,0)</f>
        <v>1</v>
      </c>
      <c r="H11" s="37">
        <f>IF('pre-compute all'!$G$2&gt;$O$3,1,0)</f>
        <v>0</v>
      </c>
      <c r="I11" s="37">
        <f>IF('pre-compute all'!H11&gt;$O$3,1,0)</f>
        <v>0</v>
      </c>
      <c r="J11" s="37">
        <f>IF('pre-compute all'!I11&gt;$O$3,1,0)</f>
        <v>1</v>
      </c>
      <c r="K11" s="37">
        <f>IF('pre-compute all'!J11&gt;$O$3,1,0)</f>
        <v>1</v>
      </c>
      <c r="L11" s="52">
        <f>M9+M11</f>
        <v>66</v>
      </c>
      <c r="M11" s="53">
        <f>COUNTIFS($E$2:$E$337,"=1",$D$2:$D$337,$M$7)</f>
        <v>31</v>
      </c>
      <c r="O11" s="36" t="s">
        <v>366</v>
      </c>
      <c r="P11" s="36" t="s">
        <v>366</v>
      </c>
      <c r="Q11" s="36" t="s">
        <v>366</v>
      </c>
      <c r="R11" s="36" t="s">
        <v>366</v>
      </c>
    </row>
    <row r="12" spans="1:21" ht="15.75">
      <c r="A12" s="1" t="s">
        <v>216</v>
      </c>
      <c r="B12" s="10" t="s">
        <v>202</v>
      </c>
      <c r="C12" s="8" t="s">
        <v>319</v>
      </c>
      <c r="D12" s="1">
        <v>1</v>
      </c>
      <c r="E12" s="1">
        <v>0</v>
      </c>
      <c r="G12">
        <f>IF('pre-compute all'!E12&gt;$O$3,1,0)</f>
        <v>0</v>
      </c>
      <c r="H12" s="37">
        <f>IF('pre-compute all'!$G$2&gt;$O$3,1,0)</f>
        <v>0</v>
      </c>
      <c r="I12" s="37">
        <f>IF('pre-compute all'!H12&gt;$O$3,1,0)</f>
        <v>0</v>
      </c>
      <c r="J12" s="37">
        <f>IF('pre-compute all'!I12&gt;$O$3,1,0)</f>
        <v>1</v>
      </c>
      <c r="K12" s="37">
        <f>IF('pre-compute all'!J12&gt;$O$3,1,0)</f>
        <v>1</v>
      </c>
      <c r="L12" s="54" t="s">
        <v>302</v>
      </c>
      <c r="M12" s="55">
        <v>2</v>
      </c>
      <c r="O12">
        <v>0.5</v>
      </c>
      <c r="P12">
        <v>0.5</v>
      </c>
      <c r="Q12">
        <v>0.5</v>
      </c>
      <c r="R12">
        <v>0.5</v>
      </c>
    </row>
    <row r="13" spans="1:21" ht="15.75">
      <c r="A13" s="1" t="s">
        <v>218</v>
      </c>
      <c r="B13" s="10" t="s">
        <v>210</v>
      </c>
      <c r="C13" s="8" t="s">
        <v>321</v>
      </c>
      <c r="D13" s="1">
        <v>1</v>
      </c>
      <c r="E13" s="1">
        <v>1</v>
      </c>
      <c r="G13">
        <f>IF('pre-compute all'!E38&gt;$O$3,1,0)</f>
        <v>1</v>
      </c>
      <c r="H13" s="37">
        <f>IF('pre-compute all'!$G$2&gt;$O$3,1,0)</f>
        <v>0</v>
      </c>
      <c r="I13" s="37">
        <f>IF('pre-compute all'!H38&gt;$O$3,1,0)</f>
        <v>0</v>
      </c>
      <c r="J13" s="37">
        <f>IF('pre-compute all'!I38&gt;$O$3,1,0)</f>
        <v>1</v>
      </c>
      <c r="K13" s="37">
        <f>IF('pre-compute all'!J38&gt;$O$3,1,0)</f>
        <v>1</v>
      </c>
      <c r="L13" s="49"/>
      <c r="M13" s="50" t="s">
        <v>185</v>
      </c>
      <c r="O13" s="38">
        <v>35</v>
      </c>
      <c r="P13" s="38">
        <v>41</v>
      </c>
      <c r="Q13" s="38">
        <v>58</v>
      </c>
      <c r="R13" s="38">
        <v>24</v>
      </c>
    </row>
    <row r="14" spans="1:21" ht="15.75">
      <c r="A14" s="1" t="s">
        <v>187</v>
      </c>
      <c r="B14" s="10" t="s">
        <v>210</v>
      </c>
      <c r="C14" s="8" t="s">
        <v>321</v>
      </c>
      <c r="D14" s="1">
        <v>1</v>
      </c>
      <c r="E14" s="1">
        <v>1</v>
      </c>
      <c r="G14">
        <f>IF('pre-compute all'!E39&gt;$O$3,1,0)</f>
        <v>1</v>
      </c>
      <c r="H14" s="37">
        <f>IF('pre-compute all'!$G$2&gt;$O$3,1,0)</f>
        <v>0</v>
      </c>
      <c r="I14" s="37">
        <f>IF('pre-compute all'!H39&gt;$O$3,1,0)</f>
        <v>0</v>
      </c>
      <c r="J14" s="37">
        <f>IF('pre-compute all'!I39&gt;$O$3,1,0)</f>
        <v>1</v>
      </c>
      <c r="K14" s="37">
        <f>IF('pre-compute all'!J39&gt;$O$3,1,0)</f>
        <v>1</v>
      </c>
      <c r="L14" s="49"/>
      <c r="M14" s="51">
        <f>COUNTIFS($E$2:$E$337,"=0",$D$2:$D$337,$M$12)</f>
        <v>41</v>
      </c>
      <c r="O14" s="39">
        <v>100</v>
      </c>
      <c r="P14" s="39">
        <v>100</v>
      </c>
      <c r="Q14" s="39">
        <v>100</v>
      </c>
      <c r="R14" s="39">
        <v>100</v>
      </c>
    </row>
    <row r="15" spans="1:21" ht="15.75">
      <c r="A15" s="1" t="s">
        <v>216</v>
      </c>
      <c r="B15" s="10" t="s">
        <v>210</v>
      </c>
      <c r="C15" s="8" t="s">
        <v>321</v>
      </c>
      <c r="D15" s="1">
        <v>1</v>
      </c>
      <c r="E15" s="1">
        <v>0</v>
      </c>
      <c r="G15">
        <f>IF('pre-compute all'!E13&gt;$O$3,1,0)</f>
        <v>0</v>
      </c>
      <c r="H15" s="37">
        <f>IF('pre-compute all'!$G$2&gt;$O$3,1,0)</f>
        <v>0</v>
      </c>
      <c r="I15" s="37">
        <f>IF('pre-compute all'!H13&gt;$O$3,1,0)</f>
        <v>0</v>
      </c>
      <c r="J15" s="37">
        <f>IF('pre-compute all'!I13&gt;$O$3,1,0)</f>
        <v>1</v>
      </c>
      <c r="K15" s="37">
        <f>IF('pre-compute all'!J13&gt;$O$3,1,0)</f>
        <v>1</v>
      </c>
      <c r="L15" s="49"/>
      <c r="M15" s="50" t="s">
        <v>186</v>
      </c>
      <c r="O15" s="36" t="s">
        <v>367</v>
      </c>
      <c r="P15" s="36" t="s">
        <v>367</v>
      </c>
      <c r="Q15" s="36" t="s">
        <v>367</v>
      </c>
      <c r="R15" s="36" t="s">
        <v>367</v>
      </c>
    </row>
    <row r="16" spans="1:21" ht="16.5" thickBot="1">
      <c r="A16" s="1" t="s">
        <v>211</v>
      </c>
      <c r="B16" s="10" t="s">
        <v>210</v>
      </c>
      <c r="C16" s="8" t="s">
        <v>321</v>
      </c>
      <c r="D16" s="1">
        <v>1</v>
      </c>
      <c r="E16" s="1">
        <v>0</v>
      </c>
      <c r="G16">
        <f>IF('pre-compute all'!E14&gt;$O$3,1,0)</f>
        <v>0</v>
      </c>
      <c r="H16" s="37">
        <f>IF('pre-compute all'!$G$2&gt;$O$3,1,0)</f>
        <v>0</v>
      </c>
      <c r="I16" s="37">
        <f>IF('pre-compute all'!H14&gt;$O$3,1,0)</f>
        <v>0</v>
      </c>
      <c r="J16" s="37">
        <f>IF('pre-compute all'!I14&gt;$O$3,1,0)</f>
        <v>1</v>
      </c>
      <c r="K16" s="37">
        <f>IF('pre-compute all'!J14&gt;$O$3,1,0)</f>
        <v>1</v>
      </c>
      <c r="L16" s="52">
        <f>M14+M16</f>
        <v>57</v>
      </c>
      <c r="M16" s="53">
        <f>COUNTIFS($E$2:$E$337,"=1",$D$2:$D$337,$M$12)</f>
        <v>16</v>
      </c>
      <c r="O16">
        <v>0.5</v>
      </c>
      <c r="P16">
        <v>0.5</v>
      </c>
      <c r="Q16">
        <v>0.5</v>
      </c>
      <c r="R16">
        <v>0.5</v>
      </c>
    </row>
    <row r="17" spans="1:18" ht="15.75">
      <c r="A17" s="1" t="s">
        <v>187</v>
      </c>
      <c r="B17" s="10" t="s">
        <v>194</v>
      </c>
      <c r="C17" s="8" t="s">
        <v>315</v>
      </c>
      <c r="D17" s="1">
        <v>1</v>
      </c>
      <c r="E17" s="1">
        <v>0</v>
      </c>
      <c r="G17">
        <f>IF('pre-compute all'!E15&gt;$O$3,1,0)</f>
        <v>0</v>
      </c>
      <c r="H17" s="37">
        <f>IF('pre-compute all'!$G$2&gt;$O$3,1,0)</f>
        <v>0</v>
      </c>
      <c r="I17" s="37">
        <f>IF('pre-compute all'!H15&gt;$O$3,1,0)</f>
        <v>0</v>
      </c>
      <c r="J17" s="37">
        <f>IF('pre-compute all'!I15&gt;$O$3,1,0)</f>
        <v>1</v>
      </c>
      <c r="K17" s="37">
        <f>IF('pre-compute all'!J15&gt;$O$3,1,0)</f>
        <v>1</v>
      </c>
      <c r="L17" s="54" t="s">
        <v>302</v>
      </c>
      <c r="M17" s="55">
        <v>3</v>
      </c>
      <c r="O17" s="38">
        <v>11</v>
      </c>
      <c r="P17" s="38">
        <v>7</v>
      </c>
      <c r="Q17" s="38">
        <v>7</v>
      </c>
      <c r="R17" s="38">
        <v>10</v>
      </c>
    </row>
    <row r="18" spans="1:18" ht="15.75">
      <c r="A18" s="1" t="s">
        <v>187</v>
      </c>
      <c r="B18" s="10" t="s">
        <v>192</v>
      </c>
      <c r="C18" s="8" t="s">
        <v>337</v>
      </c>
      <c r="D18" s="1">
        <v>1</v>
      </c>
      <c r="E18" s="1">
        <v>0</v>
      </c>
      <c r="G18">
        <f>IF('pre-compute all'!E16&gt;$O$3,1,0)</f>
        <v>0</v>
      </c>
      <c r="H18" s="37">
        <f>IF('pre-compute all'!$G$2&gt;$O$3,1,0)</f>
        <v>0</v>
      </c>
      <c r="I18" s="37">
        <f>IF('pre-compute all'!H16&gt;$O$3,1,0)</f>
        <v>0</v>
      </c>
      <c r="J18" s="37">
        <f>IF('pre-compute all'!I16&gt;$O$3,1,0)</f>
        <v>1</v>
      </c>
      <c r="K18" s="37">
        <f>IF('pre-compute all'!J16&gt;$O$3,1,0)</f>
        <v>1</v>
      </c>
      <c r="L18" s="49"/>
      <c r="M18" s="50" t="s">
        <v>185</v>
      </c>
      <c r="O18" s="39">
        <v>35.483870967741936</v>
      </c>
      <c r="P18" s="39">
        <v>43.75</v>
      </c>
      <c r="Q18" s="39">
        <v>20.588235294117645</v>
      </c>
      <c r="R18" s="39">
        <v>10.526315789473683</v>
      </c>
    </row>
    <row r="19" spans="1:18" ht="15.75">
      <c r="A19" s="1" t="s">
        <v>216</v>
      </c>
      <c r="B19" s="10" t="s">
        <v>192</v>
      </c>
      <c r="C19" s="8" t="s">
        <v>338</v>
      </c>
      <c r="D19" s="1">
        <v>1</v>
      </c>
      <c r="E19" s="1">
        <v>0</v>
      </c>
      <c r="G19">
        <f>IF('pre-compute all'!E17&gt;$O$3,1,0)</f>
        <v>0</v>
      </c>
      <c r="H19" s="37">
        <f>IF('pre-compute all'!$G$2&gt;$O$3,1,0)</f>
        <v>0</v>
      </c>
      <c r="I19" s="37">
        <f>IF('pre-compute all'!H17&gt;$O$3,1,0)</f>
        <v>0</v>
      </c>
      <c r="J19" s="37">
        <f>IF('pre-compute all'!I17&gt;$O$3,1,0)</f>
        <v>1</v>
      </c>
      <c r="K19" s="37">
        <f>IF('pre-compute all'!J17&gt;$O$3,1,0)</f>
        <v>1</v>
      </c>
      <c r="L19" s="49"/>
      <c r="M19" s="51">
        <f>COUNTIFS($E$2:$E$337,"=0",$D$2:$D$337,$M$17)</f>
        <v>58</v>
      </c>
      <c r="O19" s="38"/>
    </row>
    <row r="20" spans="1:18" ht="15.75">
      <c r="A20" s="1" t="s">
        <v>187</v>
      </c>
      <c r="B20" s="10" t="s">
        <v>205</v>
      </c>
      <c r="C20" s="8" t="s">
        <v>315</v>
      </c>
      <c r="D20" s="1">
        <v>1</v>
      </c>
      <c r="E20" s="1">
        <v>1</v>
      </c>
      <c r="G20">
        <f>IF('pre-compute all'!E40&gt;$O$3,1,0)</f>
        <v>1</v>
      </c>
      <c r="H20" s="37">
        <f>IF('pre-compute all'!$G$2&gt;$O$3,1,0)</f>
        <v>0</v>
      </c>
      <c r="I20" s="37">
        <f>IF('pre-compute all'!H40&gt;$O$3,1,0)</f>
        <v>0</v>
      </c>
      <c r="J20" s="37">
        <f>IF('pre-compute all'!I40&gt;$O$3,1,0)</f>
        <v>1</v>
      </c>
      <c r="K20" s="37">
        <f>IF('pre-compute all'!J40&gt;$O$3,1,0)</f>
        <v>1</v>
      </c>
      <c r="L20" s="49"/>
      <c r="M20" s="50" t="s">
        <v>186</v>
      </c>
      <c r="O20" s="36" t="s">
        <v>366</v>
      </c>
      <c r="P20" s="36" t="s">
        <v>366</v>
      </c>
      <c r="Q20" s="36" t="s">
        <v>366</v>
      </c>
      <c r="R20" s="36" t="s">
        <v>366</v>
      </c>
    </row>
    <row r="21" spans="1:18" ht="16.5" thickBot="1">
      <c r="A21" s="1" t="s">
        <v>211</v>
      </c>
      <c r="B21" s="10" t="s">
        <v>205</v>
      </c>
      <c r="C21" s="8" t="s">
        <v>315</v>
      </c>
      <c r="D21" s="1">
        <v>1</v>
      </c>
      <c r="E21" s="1">
        <v>0</v>
      </c>
      <c r="G21">
        <f>IF('pre-compute all'!E18&gt;$O$3,1,0)</f>
        <v>0</v>
      </c>
      <c r="H21" s="37">
        <f>IF('pre-compute all'!$G$2&gt;$O$3,1,0)</f>
        <v>0</v>
      </c>
      <c r="I21" s="37">
        <f>IF('pre-compute all'!H18&gt;$O$3,1,0)</f>
        <v>0</v>
      </c>
      <c r="J21" s="37">
        <f>IF('pre-compute all'!I18&gt;$O$3,1,0)</f>
        <v>1</v>
      </c>
      <c r="K21" s="37">
        <f>IF('pre-compute all'!J18&gt;$O$3,1,0)</f>
        <v>1</v>
      </c>
      <c r="L21" s="52">
        <f>M19+M21</f>
        <v>92</v>
      </c>
      <c r="M21" s="53">
        <f>COUNTIFS($E$2:$E$337,"=1",$D$2:$D$337,$M$17)</f>
        <v>34</v>
      </c>
      <c r="O21">
        <v>0.1</v>
      </c>
      <c r="P21">
        <v>0.1</v>
      </c>
      <c r="Q21">
        <v>0.1</v>
      </c>
      <c r="R21">
        <v>0.1</v>
      </c>
    </row>
    <row r="22" spans="1:18" ht="15.75">
      <c r="A22" s="1" t="s">
        <v>218</v>
      </c>
      <c r="B22" s="10" t="s">
        <v>190</v>
      </c>
      <c r="C22" s="8" t="s">
        <v>322</v>
      </c>
      <c r="D22" s="1">
        <v>1</v>
      </c>
      <c r="E22" s="1">
        <v>1</v>
      </c>
      <c r="G22">
        <f>IF('pre-compute all'!E41&gt;$O$3,1,0)</f>
        <v>1</v>
      </c>
      <c r="H22" s="37">
        <f>IF('pre-compute all'!$G$2&gt;$O$3,1,0)</f>
        <v>0</v>
      </c>
      <c r="I22" s="37">
        <f>IF('pre-compute all'!H41&gt;$O$3,1,0)</f>
        <v>0</v>
      </c>
      <c r="J22" s="37">
        <f>IF('pre-compute all'!I41&gt;$O$3,1,0)</f>
        <v>1</v>
      </c>
      <c r="K22" s="37">
        <f>IF('pre-compute all'!J41&gt;$O$3,1,0)</f>
        <v>1</v>
      </c>
      <c r="L22" s="54" t="s">
        <v>302</v>
      </c>
      <c r="M22" s="55">
        <v>4</v>
      </c>
      <c r="O22" s="38">
        <v>35</v>
      </c>
      <c r="P22" s="38">
        <v>40</v>
      </c>
      <c r="Q22" s="38">
        <v>57</v>
      </c>
      <c r="R22" s="38">
        <v>22</v>
      </c>
    </row>
    <row r="23" spans="1:18" ht="15.75">
      <c r="A23" s="1" t="s">
        <v>187</v>
      </c>
      <c r="B23" s="10" t="s">
        <v>190</v>
      </c>
      <c r="C23" s="8" t="s">
        <v>322</v>
      </c>
      <c r="D23" s="1">
        <v>1</v>
      </c>
      <c r="E23" s="1">
        <v>0</v>
      </c>
      <c r="G23">
        <f>IF('pre-compute all'!E19&gt;$O$3,1,0)</f>
        <v>0</v>
      </c>
      <c r="H23" s="37">
        <f>IF('pre-compute all'!$G$2&gt;$O$3,1,0)</f>
        <v>0</v>
      </c>
      <c r="I23" s="37">
        <f>IF('pre-compute all'!H19&gt;$O$3,1,0)</f>
        <v>0</v>
      </c>
      <c r="J23" s="37">
        <f>IF('pre-compute all'!I19&gt;$O$3,1,0)</f>
        <v>1</v>
      </c>
      <c r="K23" s="37">
        <f>IF('pre-compute all'!J19&gt;$O$3,1,0)</f>
        <v>1</v>
      </c>
      <c r="L23" s="49"/>
      <c r="M23" s="50" t="s">
        <v>185</v>
      </c>
      <c r="O23" s="39">
        <v>100</v>
      </c>
      <c r="P23" s="39">
        <v>97.560975609756099</v>
      </c>
      <c r="Q23" s="39">
        <v>98.275862068965509</v>
      </c>
      <c r="R23" s="39">
        <v>91.666666666666657</v>
      </c>
    </row>
    <row r="24" spans="1:18" ht="15.75">
      <c r="A24" s="1" t="s">
        <v>187</v>
      </c>
      <c r="B24" s="10" t="s">
        <v>103</v>
      </c>
      <c r="C24" s="8" t="s">
        <v>339</v>
      </c>
      <c r="D24" s="1">
        <v>1</v>
      </c>
      <c r="E24" s="1">
        <v>0</v>
      </c>
      <c r="G24">
        <f>IF('pre-compute all'!E20&gt;$O$3,1,0)</f>
        <v>0</v>
      </c>
      <c r="H24" s="37">
        <f>IF('pre-compute all'!$G$2&gt;$O$3,1,0)</f>
        <v>0</v>
      </c>
      <c r="I24" s="37">
        <f>IF('pre-compute all'!H20&gt;$O$3,1,0)</f>
        <v>0</v>
      </c>
      <c r="J24" s="37">
        <f>IF('pre-compute all'!I20&gt;$O$3,1,0)</f>
        <v>1</v>
      </c>
      <c r="K24" s="37">
        <f>IF('pre-compute all'!J20&gt;$O$3,1,0)</f>
        <v>1</v>
      </c>
      <c r="L24" s="49"/>
      <c r="M24" s="51">
        <f>COUNTIFS($E$2:$E$337,"=0",$D$2:$D$337,$M$22)</f>
        <v>24</v>
      </c>
      <c r="O24" s="36" t="s">
        <v>367</v>
      </c>
      <c r="P24" s="36" t="s">
        <v>367</v>
      </c>
      <c r="Q24" s="36" t="s">
        <v>367</v>
      </c>
      <c r="R24" s="36" t="s">
        <v>367</v>
      </c>
    </row>
    <row r="25" spans="1:18" ht="15.75">
      <c r="A25" s="1" t="s">
        <v>216</v>
      </c>
      <c r="B25" s="10" t="s">
        <v>212</v>
      </c>
      <c r="C25" s="8" t="s">
        <v>339</v>
      </c>
      <c r="D25" s="1">
        <v>1</v>
      </c>
      <c r="E25" s="1">
        <v>0</v>
      </c>
      <c r="G25">
        <f>IF('pre-compute all'!E21&gt;$O$3,1,0)</f>
        <v>0</v>
      </c>
      <c r="H25" s="37">
        <f>IF('pre-compute all'!$G$2&gt;$O$3,1,0)</f>
        <v>0</v>
      </c>
      <c r="I25" s="37">
        <f>IF('pre-compute all'!H21&gt;$O$3,1,0)</f>
        <v>0</v>
      </c>
      <c r="J25" s="37">
        <f>IF('pre-compute all'!I21&gt;$O$3,1,0)</f>
        <v>1</v>
      </c>
      <c r="K25" s="37">
        <f>IF('pre-compute all'!J21&gt;$O$3,1,0)</f>
        <v>1</v>
      </c>
      <c r="L25" s="49"/>
      <c r="M25" s="50" t="s">
        <v>186</v>
      </c>
      <c r="O25">
        <v>0.1</v>
      </c>
      <c r="P25">
        <v>0.1</v>
      </c>
      <c r="Q25">
        <v>0.1</v>
      </c>
      <c r="R25">
        <v>0.1</v>
      </c>
    </row>
    <row r="26" spans="1:18" ht="16.5" thickBot="1">
      <c r="A26" s="1" t="s">
        <v>211</v>
      </c>
      <c r="B26" s="10" t="s">
        <v>212</v>
      </c>
      <c r="C26" s="8" t="s">
        <v>339</v>
      </c>
      <c r="D26" s="1">
        <v>1</v>
      </c>
      <c r="E26" s="1">
        <v>0</v>
      </c>
      <c r="G26">
        <f>IF('pre-compute all'!E22&gt;$O$3,1,0)</f>
        <v>0</v>
      </c>
      <c r="H26" s="37">
        <f>IF('pre-compute all'!$G$2&gt;$O$3,1,0)</f>
        <v>0</v>
      </c>
      <c r="I26" s="37">
        <f>IF('pre-compute all'!H22&gt;$O$3,1,0)</f>
        <v>0</v>
      </c>
      <c r="J26" s="37">
        <f>IF('pre-compute all'!I22&gt;$O$3,1,0)</f>
        <v>1</v>
      </c>
      <c r="K26" s="37">
        <f>IF('pre-compute all'!J22&gt;$O$3,1,0)</f>
        <v>1</v>
      </c>
      <c r="L26" s="52">
        <f>M24+M26</f>
        <v>119</v>
      </c>
      <c r="M26" s="53">
        <f>COUNTIFS($E$2:$E$337,"=1",$D$2:$D$337,$M$22)</f>
        <v>95</v>
      </c>
      <c r="O26" s="38">
        <v>22</v>
      </c>
      <c r="P26" s="38">
        <v>9</v>
      </c>
      <c r="Q26" s="38">
        <v>22</v>
      </c>
      <c r="R26" s="38">
        <v>21</v>
      </c>
    </row>
    <row r="27" spans="1:18" ht="15.75">
      <c r="A27" s="1" t="s">
        <v>217</v>
      </c>
      <c r="B27" s="10" t="s">
        <v>188</v>
      </c>
      <c r="C27" s="8" t="s">
        <v>339</v>
      </c>
      <c r="D27" s="1">
        <v>1</v>
      </c>
      <c r="E27" s="1">
        <v>0</v>
      </c>
      <c r="G27">
        <f>IF('pre-compute all'!E23&gt;$O$3,1,0)</f>
        <v>0</v>
      </c>
      <c r="H27" s="37">
        <f>IF('pre-compute all'!$G$2&gt;$O$3,1,0)</f>
        <v>0</v>
      </c>
      <c r="I27" s="37">
        <f>IF('pre-compute all'!H23&gt;$O$3,1,0)</f>
        <v>0</v>
      </c>
      <c r="J27" s="37">
        <f>IF('pre-compute all'!I23&gt;$O$3,1,0)</f>
        <v>1</v>
      </c>
      <c r="K27" s="37">
        <f>IF('pre-compute all'!J23&gt;$O$3,1,0)</f>
        <v>1</v>
      </c>
      <c r="O27" s="39">
        <v>70.967741935483872</v>
      </c>
      <c r="P27" s="39">
        <v>56.25</v>
      </c>
      <c r="Q27" s="39">
        <v>64.705882352941174</v>
      </c>
      <c r="R27" s="39">
        <v>22.105263157894736</v>
      </c>
    </row>
    <row r="28" spans="1:18" ht="15.75">
      <c r="A28" s="1" t="s">
        <v>187</v>
      </c>
      <c r="B28" s="10" t="s">
        <v>188</v>
      </c>
      <c r="C28" s="8" t="s">
        <v>339</v>
      </c>
      <c r="D28" s="1">
        <v>1</v>
      </c>
      <c r="E28" s="1">
        <v>0</v>
      </c>
      <c r="G28">
        <f>IF('pre-compute all'!E24&gt;$O$3,1,0)</f>
        <v>0</v>
      </c>
      <c r="H28" s="37">
        <f>IF('pre-compute all'!$G$2&gt;$O$3,1,0)</f>
        <v>0</v>
      </c>
      <c r="I28" s="37">
        <f>IF('pre-compute all'!H24&gt;$O$3,1,0)</f>
        <v>0</v>
      </c>
      <c r="J28" s="37">
        <f>IF('pre-compute all'!I24&gt;$O$3,1,0)</f>
        <v>1</v>
      </c>
      <c r="K28" s="37">
        <f>IF('pre-compute all'!J24&gt;$O$3,1,0)</f>
        <v>1</v>
      </c>
    </row>
    <row r="29" spans="1:18" ht="15.75">
      <c r="A29" s="1" t="s">
        <v>187</v>
      </c>
      <c r="B29" s="10" t="s">
        <v>203</v>
      </c>
      <c r="C29" s="8" t="s">
        <v>315</v>
      </c>
      <c r="D29" s="1">
        <v>1</v>
      </c>
      <c r="E29" s="1">
        <v>1</v>
      </c>
      <c r="G29">
        <f>IF('pre-compute all'!E42&gt;$O$3,1,0)</f>
        <v>1</v>
      </c>
      <c r="H29" s="37">
        <f>IF('pre-compute all'!$G$2&gt;$O$3,1,0)</f>
        <v>0</v>
      </c>
      <c r="I29" s="37">
        <f>IF('pre-compute all'!H42&gt;$O$3,1,0)</f>
        <v>0</v>
      </c>
      <c r="J29" s="37">
        <f>IF('pre-compute all'!I42&gt;$O$3,1,0)</f>
        <v>1</v>
      </c>
      <c r="K29" s="37">
        <f>IF('pre-compute all'!J42&gt;$O$3,1,0)</f>
        <v>1</v>
      </c>
      <c r="O29" s="36" t="s">
        <v>366</v>
      </c>
      <c r="P29" s="36" t="s">
        <v>366</v>
      </c>
      <c r="Q29" s="36" t="s">
        <v>366</v>
      </c>
      <c r="R29" s="36" t="s">
        <v>366</v>
      </c>
    </row>
    <row r="30" spans="1:18" ht="15.75">
      <c r="A30" s="1" t="s">
        <v>211</v>
      </c>
      <c r="B30" s="10" t="s">
        <v>203</v>
      </c>
      <c r="C30" s="8" t="s">
        <v>315</v>
      </c>
      <c r="D30" s="1">
        <v>1</v>
      </c>
      <c r="E30" s="1">
        <v>0</v>
      </c>
      <c r="G30">
        <f>IF('pre-compute all'!E25&gt;$O$3,1,0)</f>
        <v>0</v>
      </c>
      <c r="H30" s="37">
        <f>IF('pre-compute all'!$G$2&gt;$O$3,1,0)</f>
        <v>0</v>
      </c>
      <c r="I30" s="37">
        <f>IF('pre-compute all'!H25&gt;$O$3,1,0)</f>
        <v>0</v>
      </c>
      <c r="J30" s="37">
        <f>IF('pre-compute all'!I25&gt;$O$3,1,0)</f>
        <v>1</v>
      </c>
      <c r="K30" s="37">
        <f>IF('pre-compute all'!J25&gt;$O$3,1,0)</f>
        <v>1</v>
      </c>
      <c r="O30">
        <v>0.01</v>
      </c>
      <c r="P30">
        <v>0.01</v>
      </c>
      <c r="Q30">
        <v>0.01</v>
      </c>
      <c r="R30">
        <v>0.01</v>
      </c>
    </row>
    <row r="31" spans="1:18" ht="15.75">
      <c r="A31" s="1" t="s">
        <v>187</v>
      </c>
      <c r="B31" s="10" t="s">
        <v>204</v>
      </c>
      <c r="C31" s="8" t="s">
        <v>315</v>
      </c>
      <c r="D31" s="1">
        <v>1</v>
      </c>
      <c r="E31" s="1">
        <v>1</v>
      </c>
      <c r="G31">
        <f>IF('pre-compute all'!E43&gt;$O$3,1,0)</f>
        <v>1</v>
      </c>
      <c r="H31" s="37">
        <f>IF('pre-compute all'!$G$2&gt;$O$3,1,0)</f>
        <v>0</v>
      </c>
      <c r="I31" s="37">
        <f>IF('pre-compute all'!H43&gt;$O$3,1,0)</f>
        <v>0</v>
      </c>
      <c r="J31" s="37">
        <f>IF('pre-compute all'!I43&gt;$O$3,1,0)</f>
        <v>1</v>
      </c>
      <c r="K31" s="37">
        <f>IF('pre-compute all'!J43&gt;$O$3,1,0)</f>
        <v>1</v>
      </c>
      <c r="O31" s="38">
        <v>34</v>
      </c>
      <c r="P31" s="38">
        <v>36</v>
      </c>
      <c r="Q31" s="38">
        <v>51</v>
      </c>
      <c r="R31" s="38">
        <v>19</v>
      </c>
    </row>
    <row r="32" spans="1:18" ht="15.75">
      <c r="A32" s="1" t="s">
        <v>211</v>
      </c>
      <c r="B32" s="10" t="s">
        <v>204</v>
      </c>
      <c r="C32" s="8" t="s">
        <v>315</v>
      </c>
      <c r="D32" s="1">
        <v>1</v>
      </c>
      <c r="E32" s="1">
        <v>0</v>
      </c>
      <c r="G32">
        <f>IF('pre-compute all'!E26&gt;$O$3,1,0)</f>
        <v>0</v>
      </c>
      <c r="H32" s="37">
        <f>IF('pre-compute all'!$G$2&gt;$O$3,1,0)</f>
        <v>0</v>
      </c>
      <c r="I32" s="37">
        <f>IF('pre-compute all'!H26&gt;$O$3,1,0)</f>
        <v>0</v>
      </c>
      <c r="J32" s="37">
        <f>IF('pre-compute all'!I26&gt;$O$3,1,0)</f>
        <v>1</v>
      </c>
      <c r="K32" s="37">
        <f>IF('pre-compute all'!J26&gt;$O$3,1,0)</f>
        <v>1</v>
      </c>
      <c r="O32" s="39">
        <v>97.142857142857139</v>
      </c>
      <c r="P32" s="39">
        <v>87.804878048780495</v>
      </c>
      <c r="Q32" s="39">
        <v>87.931034482758619</v>
      </c>
      <c r="R32" s="39">
        <v>79.166666666666657</v>
      </c>
    </row>
    <row r="33" spans="1:18" ht="15.75">
      <c r="A33" s="1" t="s">
        <v>187</v>
      </c>
      <c r="B33" s="10" t="s">
        <v>191</v>
      </c>
      <c r="C33" s="8" t="s">
        <v>315</v>
      </c>
      <c r="D33" s="1">
        <v>1</v>
      </c>
      <c r="E33" s="1">
        <v>0</v>
      </c>
      <c r="G33">
        <f>IF('pre-compute all'!E27&gt;$O$3,1,0)</f>
        <v>0</v>
      </c>
      <c r="H33" s="37">
        <f>IF('pre-compute all'!$G$2&gt;$O$3,1,0)</f>
        <v>0</v>
      </c>
      <c r="I33" s="37">
        <f>IF('pre-compute all'!H27&gt;$O$3,1,0)</f>
        <v>0</v>
      </c>
      <c r="J33" s="37">
        <f>IF('pre-compute all'!I27&gt;$O$3,1,0)</f>
        <v>1</v>
      </c>
      <c r="K33" s="37">
        <f>IF('pre-compute all'!J27&gt;$O$3,1,0)</f>
        <v>1</v>
      </c>
      <c r="O33" s="36" t="s">
        <v>367</v>
      </c>
      <c r="P33" s="36" t="s">
        <v>367</v>
      </c>
      <c r="Q33" s="36" t="s">
        <v>367</v>
      </c>
      <c r="R33" s="36" t="s">
        <v>367</v>
      </c>
    </row>
    <row r="34" spans="1:18" ht="15.75">
      <c r="A34" s="1" t="s">
        <v>216</v>
      </c>
      <c r="B34" s="10" t="s">
        <v>191</v>
      </c>
      <c r="C34" s="8" t="s">
        <v>315</v>
      </c>
      <c r="D34" s="1">
        <v>1</v>
      </c>
      <c r="E34" s="1">
        <v>0</v>
      </c>
      <c r="G34">
        <f>IF('pre-compute all'!E28&gt;$O$3,1,0)</f>
        <v>0</v>
      </c>
      <c r="H34" s="37">
        <f>IF('pre-compute all'!$G$2&gt;$O$3,1,0)</f>
        <v>0</v>
      </c>
      <c r="I34" s="37">
        <f>IF('pre-compute all'!H28&gt;$O$3,1,0)</f>
        <v>0</v>
      </c>
      <c r="J34" s="37">
        <f>IF('pre-compute all'!I28&gt;$O$3,1,0)</f>
        <v>1</v>
      </c>
      <c r="K34" s="37">
        <f>IF('pre-compute all'!J28&gt;$O$3,1,0)</f>
        <v>1</v>
      </c>
      <c r="O34">
        <v>0.01</v>
      </c>
      <c r="P34">
        <v>0.01</v>
      </c>
      <c r="Q34">
        <v>0.01</v>
      </c>
      <c r="R34">
        <v>0.01</v>
      </c>
    </row>
    <row r="35" spans="1:18" ht="15.75">
      <c r="A35" s="1" t="s">
        <v>187</v>
      </c>
      <c r="B35" s="10" t="s">
        <v>193</v>
      </c>
      <c r="C35" s="8" t="s">
        <v>315</v>
      </c>
      <c r="D35" s="1">
        <v>1</v>
      </c>
      <c r="E35" s="1">
        <v>0</v>
      </c>
      <c r="G35">
        <f>IF('pre-compute all'!E29&gt;$O$3,1,0)</f>
        <v>0</v>
      </c>
      <c r="H35" s="37">
        <f>IF('pre-compute all'!$G$2&gt;$O$3,1,0)</f>
        <v>0</v>
      </c>
      <c r="I35" s="37">
        <f>IF('pre-compute all'!H29&gt;$O$3,1,0)</f>
        <v>0</v>
      </c>
      <c r="J35" s="37">
        <f>IF('pre-compute all'!I29&gt;$O$3,1,0)</f>
        <v>1</v>
      </c>
      <c r="K35" s="37">
        <f>IF('pre-compute all'!J29&gt;$O$3,1,0)</f>
        <v>1</v>
      </c>
      <c r="O35" s="38">
        <v>28</v>
      </c>
      <c r="P35" s="38">
        <v>13</v>
      </c>
      <c r="Q35" s="38">
        <v>32</v>
      </c>
      <c r="R35" s="38">
        <v>46</v>
      </c>
    </row>
    <row r="36" spans="1:18" ht="15.75">
      <c r="A36" s="1" t="s">
        <v>216</v>
      </c>
      <c r="B36" s="10" t="s">
        <v>193</v>
      </c>
      <c r="C36" s="8" t="s">
        <v>315</v>
      </c>
      <c r="D36" s="1">
        <v>1</v>
      </c>
      <c r="E36" s="1">
        <v>0</v>
      </c>
      <c r="G36">
        <f>IF('pre-compute all'!E30&gt;$O$3,1,0)</f>
        <v>0</v>
      </c>
      <c r="H36" s="37">
        <f>IF('pre-compute all'!$G$2&gt;$O$3,1,0)</f>
        <v>0</v>
      </c>
      <c r="I36" s="37">
        <f>IF('pre-compute all'!H30&gt;$O$3,1,0)</f>
        <v>0</v>
      </c>
      <c r="J36" s="37">
        <f>IF('pre-compute all'!I30&gt;$O$3,1,0)</f>
        <v>1</v>
      </c>
      <c r="K36" s="37">
        <f>IF('pre-compute all'!J30&gt;$O$3,1,0)</f>
        <v>1</v>
      </c>
      <c r="O36" s="39">
        <v>90.322580645161281</v>
      </c>
      <c r="P36" s="39">
        <v>81.25</v>
      </c>
      <c r="Q36" s="39">
        <v>94.117647058823522</v>
      </c>
      <c r="R36" s="39">
        <v>48.421052631578945</v>
      </c>
    </row>
    <row r="37" spans="1:18" ht="15.75">
      <c r="A37" s="1" t="s">
        <v>218</v>
      </c>
      <c r="B37" s="10" t="s">
        <v>201</v>
      </c>
      <c r="C37" s="8" t="s">
        <v>319</v>
      </c>
      <c r="D37" s="1">
        <v>1</v>
      </c>
      <c r="E37" s="1">
        <v>1</v>
      </c>
      <c r="G37">
        <f>IF('pre-compute all'!E44&gt;$O$3,1,0)</f>
        <v>1</v>
      </c>
      <c r="H37" s="37">
        <f>IF('pre-compute all'!$G$2&gt;$O$3,1,0)</f>
        <v>0</v>
      </c>
      <c r="I37" s="37">
        <f>IF('pre-compute all'!H44&gt;$O$3,1,0)</f>
        <v>0</v>
      </c>
      <c r="J37" s="37">
        <f>IF('pre-compute all'!I44&gt;$O$3,1,0)</f>
        <v>1</v>
      </c>
      <c r="K37" s="37">
        <f>IF('pre-compute all'!J44&gt;$O$3,1,0)</f>
        <v>1</v>
      </c>
    </row>
    <row r="38" spans="1:18" ht="15.75">
      <c r="A38" s="59" t="s">
        <v>187</v>
      </c>
      <c r="B38" s="60" t="s">
        <v>201</v>
      </c>
      <c r="C38" s="61" t="s">
        <v>318</v>
      </c>
      <c r="D38" s="1">
        <v>1</v>
      </c>
      <c r="E38" s="1">
        <v>0</v>
      </c>
      <c r="G38">
        <f>IF('pre-compute all'!E31&gt;$O$3,1,0)</f>
        <v>1</v>
      </c>
      <c r="H38" s="37">
        <f>IF('pre-compute all'!$G$2&gt;$O$3,1,0)</f>
        <v>0</v>
      </c>
      <c r="I38" s="37">
        <f>IF('pre-compute all'!H31&gt;$O$3,1,0)</f>
        <v>0</v>
      </c>
      <c r="J38" s="37">
        <f>IF('pre-compute all'!I31&gt;$O$3,1,0)</f>
        <v>1</v>
      </c>
      <c r="K38" s="37">
        <f>IF('pre-compute all'!J31&gt;$O$3,1,0)</f>
        <v>1</v>
      </c>
      <c r="O38" s="36" t="s">
        <v>366</v>
      </c>
      <c r="P38" s="36" t="s">
        <v>366</v>
      </c>
      <c r="Q38" s="36" t="s">
        <v>366</v>
      </c>
      <c r="R38" s="36" t="s">
        <v>366</v>
      </c>
    </row>
    <row r="39" spans="1:18" ht="15.75">
      <c r="A39" s="1" t="s">
        <v>218</v>
      </c>
      <c r="B39" s="10" t="s">
        <v>206</v>
      </c>
      <c r="C39" s="8" t="s">
        <v>319</v>
      </c>
      <c r="D39" s="1">
        <v>1</v>
      </c>
      <c r="E39" s="1">
        <v>1</v>
      </c>
      <c r="G39">
        <f>IF('pre-compute all'!E45&gt;$O$3,1,0)</f>
        <v>1</v>
      </c>
      <c r="H39" s="37">
        <f>IF('pre-compute all'!$G$2&gt;$O$3,1,0)</f>
        <v>0</v>
      </c>
      <c r="I39" s="37">
        <f>IF('pre-compute all'!H45&gt;$O$3,1,0)</f>
        <v>0</v>
      </c>
      <c r="J39" s="37">
        <f>IF('pre-compute all'!I45&gt;$O$3,1,0)</f>
        <v>1</v>
      </c>
      <c r="K39" s="37">
        <f>IF('pre-compute all'!J45&gt;$O$3,1,0)</f>
        <v>1</v>
      </c>
      <c r="O39">
        <v>1E-3</v>
      </c>
      <c r="P39">
        <v>1E-3</v>
      </c>
      <c r="Q39">
        <v>1E-3</v>
      </c>
      <c r="R39">
        <v>1E-3</v>
      </c>
    </row>
    <row r="40" spans="1:18" ht="15.75">
      <c r="A40" s="1" t="s">
        <v>187</v>
      </c>
      <c r="B40" s="10" t="s">
        <v>206</v>
      </c>
      <c r="C40" s="8" t="s">
        <v>319</v>
      </c>
      <c r="D40" s="1">
        <v>1</v>
      </c>
      <c r="E40" s="1">
        <v>1</v>
      </c>
      <c r="G40">
        <f>IF('pre-compute all'!E46&gt;$O$3,1,0)</f>
        <v>1</v>
      </c>
      <c r="H40" s="37">
        <f>IF('pre-compute all'!$G$2&gt;$O$3,1,0)</f>
        <v>0</v>
      </c>
      <c r="I40" s="37">
        <f>IF('pre-compute all'!H46&gt;$O$3,1,0)</f>
        <v>0</v>
      </c>
      <c r="J40" s="37">
        <f>IF('pre-compute all'!I46&gt;$O$3,1,0)</f>
        <v>1</v>
      </c>
      <c r="K40" s="37">
        <f>IF('pre-compute all'!J46&gt;$O$3,1,0)</f>
        <v>1</v>
      </c>
      <c r="O40" s="38">
        <v>25</v>
      </c>
      <c r="P40" s="38">
        <v>28</v>
      </c>
      <c r="Q40" s="38">
        <v>46</v>
      </c>
      <c r="R40" s="38">
        <v>17</v>
      </c>
    </row>
    <row r="41" spans="1:18" ht="15.75">
      <c r="A41" s="1" t="s">
        <v>211</v>
      </c>
      <c r="B41" s="10" t="s">
        <v>206</v>
      </c>
      <c r="C41" s="8" t="s">
        <v>319</v>
      </c>
      <c r="D41" s="1">
        <v>1</v>
      </c>
      <c r="E41" s="1">
        <v>0</v>
      </c>
      <c r="G41">
        <f>IF('pre-compute all'!E32&gt;$O$3,1,0)</f>
        <v>0</v>
      </c>
      <c r="H41" s="37">
        <f>IF('pre-compute all'!$G$2&gt;$O$3,1,0)</f>
        <v>0</v>
      </c>
      <c r="I41" s="37">
        <f>IF('pre-compute all'!H32&gt;$O$3,1,0)</f>
        <v>0</v>
      </c>
      <c r="J41" s="37">
        <f>IF('pre-compute all'!I32&gt;$O$3,1,0)</f>
        <v>0</v>
      </c>
      <c r="K41" s="37">
        <f>IF('pre-compute all'!J32&gt;$O$3,1,0)</f>
        <v>1</v>
      </c>
      <c r="O41" s="39">
        <v>71.428571428571431</v>
      </c>
      <c r="P41" s="39">
        <v>68.292682926829272</v>
      </c>
      <c r="Q41" s="39">
        <v>79.310344827586206</v>
      </c>
      <c r="R41" s="39">
        <v>70.833333333333343</v>
      </c>
    </row>
    <row r="42" spans="1:18" ht="15.75">
      <c r="A42" s="1" t="s">
        <v>218</v>
      </c>
      <c r="B42" s="10" t="s">
        <v>208</v>
      </c>
      <c r="C42" s="8" t="s">
        <v>317</v>
      </c>
      <c r="D42" s="1">
        <v>1</v>
      </c>
      <c r="E42" s="1">
        <v>1</v>
      </c>
      <c r="G42">
        <f>IF('pre-compute all'!E47&gt;$O$3,1,0)</f>
        <v>1</v>
      </c>
      <c r="H42" s="37">
        <f>IF('pre-compute all'!$G$2&gt;$O$3,1,0)</f>
        <v>0</v>
      </c>
      <c r="I42" s="37">
        <f>IF('pre-compute all'!H47&gt;$O$3,1,0)</f>
        <v>0</v>
      </c>
      <c r="J42" s="37">
        <f>IF('pre-compute all'!I47&gt;$O$3,1,0)</f>
        <v>1</v>
      </c>
      <c r="K42" s="37">
        <f>IF('pre-compute all'!J47&gt;$O$3,1,0)</f>
        <v>1</v>
      </c>
      <c r="O42" s="36" t="s">
        <v>367</v>
      </c>
      <c r="P42" s="36" t="s">
        <v>367</v>
      </c>
      <c r="Q42" s="36" t="s">
        <v>367</v>
      </c>
      <c r="R42" s="36" t="s">
        <v>367</v>
      </c>
    </row>
    <row r="43" spans="1:18" ht="15.75">
      <c r="A43" s="1" t="s">
        <v>217</v>
      </c>
      <c r="B43" s="10" t="s">
        <v>208</v>
      </c>
      <c r="C43" s="8" t="s">
        <v>317</v>
      </c>
      <c r="D43" s="1">
        <v>1</v>
      </c>
      <c r="E43" s="1">
        <v>1</v>
      </c>
      <c r="G43">
        <f>IF('pre-compute all'!E48&gt;$O$3,1,0)</f>
        <v>1</v>
      </c>
      <c r="H43" s="37">
        <f>IF('pre-compute all'!$G$2&gt;$O$3,1,0)</f>
        <v>0</v>
      </c>
      <c r="I43" s="37">
        <f>IF('pre-compute all'!H48&gt;$O$3,1,0)</f>
        <v>0</v>
      </c>
      <c r="J43" s="37">
        <f>IF('pre-compute all'!I48&gt;$O$3,1,0)</f>
        <v>1</v>
      </c>
      <c r="K43" s="37">
        <f>IF('pre-compute all'!J48&gt;$O$3,1,0)</f>
        <v>1</v>
      </c>
      <c r="O43">
        <v>1E-3</v>
      </c>
      <c r="P43">
        <v>1E-3</v>
      </c>
      <c r="Q43">
        <v>1E-3</v>
      </c>
      <c r="R43">
        <v>1E-3</v>
      </c>
    </row>
    <row r="44" spans="1:18" ht="15.75">
      <c r="A44" s="1" t="s">
        <v>219</v>
      </c>
      <c r="B44" s="10" t="s">
        <v>208</v>
      </c>
      <c r="C44" s="8" t="s">
        <v>317</v>
      </c>
      <c r="D44" s="1">
        <v>1</v>
      </c>
      <c r="E44" s="1">
        <v>1</v>
      </c>
      <c r="G44">
        <f>IF('pre-compute all'!E49&gt;$O$3,1,0)</f>
        <v>1</v>
      </c>
      <c r="H44" s="37">
        <f>IF('pre-compute all'!$G$2&gt;$O$3,1,0)</f>
        <v>0</v>
      </c>
      <c r="I44" s="37">
        <f>IF('pre-compute all'!H49&gt;$O$3,1,0)</f>
        <v>0</v>
      </c>
      <c r="J44" s="37">
        <f>IF('pre-compute all'!I49&gt;$O$3,1,0)</f>
        <v>1</v>
      </c>
      <c r="K44" s="37">
        <f>IF('pre-compute all'!J49&gt;$O$3,1,0)</f>
        <v>1</v>
      </c>
      <c r="O44" s="38">
        <v>30</v>
      </c>
      <c r="P44" s="38">
        <v>15</v>
      </c>
      <c r="Q44" s="38">
        <v>34</v>
      </c>
      <c r="R44" s="38">
        <v>71</v>
      </c>
    </row>
    <row r="45" spans="1:18" ht="15.75">
      <c r="A45" s="1" t="s">
        <v>187</v>
      </c>
      <c r="B45" s="10" t="s">
        <v>208</v>
      </c>
      <c r="C45" s="8" t="s">
        <v>317</v>
      </c>
      <c r="D45" s="1">
        <v>1</v>
      </c>
      <c r="E45" s="1">
        <v>1</v>
      </c>
      <c r="G45">
        <f>IF('pre-compute all'!E50&gt;$O$3,1,0)</f>
        <v>1</v>
      </c>
      <c r="H45" s="37">
        <f>IF('pre-compute all'!$G$2&gt;$O$3,1,0)</f>
        <v>0</v>
      </c>
      <c r="I45" s="37">
        <f>IF('pre-compute all'!H50&gt;$O$3,1,0)</f>
        <v>0</v>
      </c>
      <c r="J45" s="37">
        <f>IF('pre-compute all'!I50&gt;$O$3,1,0)</f>
        <v>1</v>
      </c>
      <c r="K45" s="37">
        <f>IF('pre-compute all'!J50&gt;$O$3,1,0)</f>
        <v>1</v>
      </c>
      <c r="O45" s="39">
        <v>96.774193548387103</v>
      </c>
      <c r="P45" s="39">
        <v>93.75</v>
      </c>
      <c r="Q45" s="39">
        <v>100</v>
      </c>
      <c r="R45" s="39">
        <v>74.73684210526315</v>
      </c>
    </row>
    <row r="46" spans="1:18" ht="15.75">
      <c r="A46" s="1" t="s">
        <v>211</v>
      </c>
      <c r="B46" s="10" t="s">
        <v>208</v>
      </c>
      <c r="C46" s="8" t="s">
        <v>317</v>
      </c>
      <c r="D46" s="1">
        <v>1</v>
      </c>
      <c r="E46" s="1">
        <v>1</v>
      </c>
      <c r="G46">
        <f>IF('pre-compute all'!E51&gt;$O$3,1,0)</f>
        <v>1</v>
      </c>
      <c r="H46" s="37">
        <f>IF('pre-compute all'!$G$2&gt;$O$3,1,0)</f>
        <v>0</v>
      </c>
      <c r="I46" s="37">
        <f>IF('pre-compute all'!H51&gt;$O$3,1,0)</f>
        <v>0</v>
      </c>
      <c r="J46" s="37">
        <f>IF('pre-compute all'!I51&gt;$O$3,1,0)</f>
        <v>1</v>
      </c>
      <c r="K46" s="37">
        <f>IF('pre-compute all'!J51&gt;$O$3,1,0)</f>
        <v>1</v>
      </c>
    </row>
    <row r="47" spans="1:18" ht="15.75">
      <c r="A47" s="62" t="s">
        <v>218</v>
      </c>
      <c r="B47" s="64" t="s">
        <v>196</v>
      </c>
      <c r="C47" s="63" t="s">
        <v>317</v>
      </c>
      <c r="D47" s="1">
        <v>1</v>
      </c>
      <c r="E47" s="1">
        <v>0.5</v>
      </c>
      <c r="G47">
        <f>IF('pre-compute all'!E37&gt;$O$3,1,0)</f>
        <v>0</v>
      </c>
      <c r="H47" s="37">
        <f>IF('pre-compute all'!$G$2&gt;$O$3,1,0)</f>
        <v>0</v>
      </c>
      <c r="I47" s="37">
        <f>IF('pre-compute all'!H37&gt;$O$3,1,0)</f>
        <v>0</v>
      </c>
      <c r="J47" s="37">
        <f>IF('pre-compute all'!I37&gt;$O$3,1,0)</f>
        <v>1</v>
      </c>
      <c r="K47" s="37">
        <f>IF('pre-compute all'!J37&gt;$O$3,1,0)</f>
        <v>1</v>
      </c>
      <c r="O47" s="36" t="s">
        <v>366</v>
      </c>
      <c r="P47" s="36" t="s">
        <v>366</v>
      </c>
      <c r="Q47" s="36" t="s">
        <v>366</v>
      </c>
      <c r="R47" s="36" t="s">
        <v>366</v>
      </c>
    </row>
    <row r="48" spans="1:18" ht="15.75">
      <c r="A48" s="62" t="s">
        <v>217</v>
      </c>
      <c r="B48" s="64" t="s">
        <v>196</v>
      </c>
      <c r="C48" s="63" t="s">
        <v>316</v>
      </c>
      <c r="D48" s="1">
        <v>1</v>
      </c>
      <c r="E48" s="1">
        <v>1</v>
      </c>
      <c r="G48">
        <f>IF('pre-compute all'!E52&gt;$O$3,1,0)</f>
        <v>0</v>
      </c>
      <c r="H48" s="37">
        <f>IF('pre-compute all'!$G$2&gt;$O$3,1,0)</f>
        <v>0</v>
      </c>
      <c r="I48" s="37">
        <f>IF('pre-compute all'!H52&gt;$O$3,1,0)</f>
        <v>0</v>
      </c>
      <c r="J48" s="37">
        <f>IF('pre-compute all'!I52&gt;$O$3,1,0)</f>
        <v>1</v>
      </c>
      <c r="K48" s="37">
        <f>IF('pre-compute all'!J52&gt;$O$3,1,0)</f>
        <v>1</v>
      </c>
      <c r="O48">
        <v>1E-4</v>
      </c>
      <c r="P48">
        <v>1E-4</v>
      </c>
      <c r="Q48">
        <v>1E-4</v>
      </c>
      <c r="R48">
        <v>1E-4</v>
      </c>
    </row>
    <row r="49" spans="1:18" ht="15.75">
      <c r="A49" s="62" t="s">
        <v>187</v>
      </c>
      <c r="B49" s="64" t="s">
        <v>196</v>
      </c>
      <c r="C49" s="63" t="s">
        <v>316</v>
      </c>
      <c r="D49" s="1">
        <v>1</v>
      </c>
      <c r="E49" s="1">
        <v>1</v>
      </c>
      <c r="G49">
        <f>IF('pre-compute all'!E53&gt;$O$3,1,0)</f>
        <v>0</v>
      </c>
      <c r="H49" s="37">
        <f>IF('pre-compute all'!$G$2&gt;$O$3,1,0)</f>
        <v>0</v>
      </c>
      <c r="I49" s="37">
        <f>IF('pre-compute all'!H53&gt;$O$3,1,0)</f>
        <v>0</v>
      </c>
      <c r="J49" s="37">
        <f>IF('pre-compute all'!I53&gt;$O$3,1,0)</f>
        <v>1</v>
      </c>
      <c r="K49" s="37">
        <f>IF('pre-compute all'!J53&gt;$O$3,1,0)</f>
        <v>1</v>
      </c>
      <c r="O49" s="38">
        <v>18</v>
      </c>
      <c r="P49" s="38">
        <v>23</v>
      </c>
      <c r="Q49" s="38">
        <v>36</v>
      </c>
      <c r="R49" s="38">
        <v>11</v>
      </c>
    </row>
    <row r="50" spans="1:18" ht="15.75">
      <c r="A50" s="1" t="s">
        <v>211</v>
      </c>
      <c r="B50" s="10" t="s">
        <v>196</v>
      </c>
      <c r="C50" s="8" t="s">
        <v>317</v>
      </c>
      <c r="D50" s="1">
        <v>1</v>
      </c>
      <c r="E50" s="1">
        <v>1</v>
      </c>
      <c r="G50">
        <f>IF('pre-compute all'!E54&gt;$O$3,1,0)</f>
        <v>1</v>
      </c>
      <c r="H50" s="37">
        <f>IF('pre-compute all'!$G$2&gt;$O$3,1,0)</f>
        <v>0</v>
      </c>
      <c r="I50" s="37">
        <f>IF('pre-compute all'!H54&gt;$O$3,1,0)</f>
        <v>0</v>
      </c>
      <c r="J50" s="37">
        <f>IF('pre-compute all'!I54&gt;$O$3,1,0)</f>
        <v>1</v>
      </c>
      <c r="K50" s="37">
        <f>IF('pre-compute all'!J54&gt;$O$3,1,0)</f>
        <v>1</v>
      </c>
      <c r="O50" s="39">
        <v>51.428571428571423</v>
      </c>
      <c r="P50" s="39">
        <v>56.09756097560976</v>
      </c>
      <c r="Q50" s="39">
        <v>62.068965517241381</v>
      </c>
      <c r="R50" s="39">
        <v>45.833333333333329</v>
      </c>
    </row>
    <row r="51" spans="1:18" ht="15.75">
      <c r="A51" s="1" t="s">
        <v>218</v>
      </c>
      <c r="B51" s="10" t="s">
        <v>209</v>
      </c>
      <c r="C51" s="8" t="s">
        <v>317</v>
      </c>
      <c r="D51" s="1">
        <v>1</v>
      </c>
      <c r="E51" s="1">
        <v>1</v>
      </c>
      <c r="G51">
        <f>IF('pre-compute all'!E55&gt;$O$3,1,0)</f>
        <v>1</v>
      </c>
      <c r="H51" s="37">
        <f>IF('pre-compute all'!$G$2&gt;$O$3,1,0)</f>
        <v>0</v>
      </c>
      <c r="I51" s="37">
        <f>IF('pre-compute all'!H55&gt;$O$3,1,0)</f>
        <v>0</v>
      </c>
      <c r="J51" s="37">
        <f>IF('pre-compute all'!I55&gt;$O$3,1,0)</f>
        <v>1</v>
      </c>
      <c r="K51" s="37">
        <f>IF('pre-compute all'!J55&gt;$O$3,1,0)</f>
        <v>1</v>
      </c>
      <c r="O51" s="36" t="s">
        <v>367</v>
      </c>
      <c r="P51" s="36" t="s">
        <v>367</v>
      </c>
      <c r="Q51" s="36" t="s">
        <v>367</v>
      </c>
      <c r="R51" s="36" t="s">
        <v>367</v>
      </c>
    </row>
    <row r="52" spans="1:18" ht="15.75">
      <c r="A52" s="1" t="s">
        <v>217</v>
      </c>
      <c r="B52" s="10" t="s">
        <v>209</v>
      </c>
      <c r="C52" s="8" t="s">
        <v>317</v>
      </c>
      <c r="D52" s="1">
        <v>1</v>
      </c>
      <c r="E52" s="1">
        <v>1</v>
      </c>
      <c r="G52">
        <f>IF('pre-compute all'!E56&gt;$O$3,1,0)</f>
        <v>1</v>
      </c>
      <c r="H52" s="37">
        <f>IF('pre-compute all'!$G$2&gt;$O$3,1,0)</f>
        <v>0</v>
      </c>
      <c r="I52" s="37">
        <f>IF('pre-compute all'!H56&gt;$O$3,1,0)</f>
        <v>0</v>
      </c>
      <c r="J52" s="37">
        <f>IF('pre-compute all'!I56&gt;$O$3,1,0)</f>
        <v>1</v>
      </c>
      <c r="K52" s="37">
        <f>IF('pre-compute all'!J56&gt;$O$3,1,0)</f>
        <v>1</v>
      </c>
      <c r="O52">
        <v>1E-4</v>
      </c>
      <c r="P52">
        <v>1E-4</v>
      </c>
      <c r="Q52">
        <v>1E-4</v>
      </c>
      <c r="R52">
        <v>1E-4</v>
      </c>
    </row>
    <row r="53" spans="1:18" ht="15.75">
      <c r="A53" s="1" t="s">
        <v>219</v>
      </c>
      <c r="B53" s="10" t="s">
        <v>209</v>
      </c>
      <c r="C53" s="8" t="s">
        <v>317</v>
      </c>
      <c r="D53" s="1">
        <v>1</v>
      </c>
      <c r="E53" s="1">
        <v>1</v>
      </c>
      <c r="G53">
        <f>IF('pre-compute all'!E57&gt;$O$3,1,0)</f>
        <v>1</v>
      </c>
      <c r="H53" s="37">
        <f>IF('pre-compute all'!$G$2&gt;$O$3,1,0)</f>
        <v>0</v>
      </c>
      <c r="I53" s="37">
        <f>IF('pre-compute all'!H57&gt;$O$3,1,0)</f>
        <v>0</v>
      </c>
      <c r="J53" s="37">
        <f>IF('pre-compute all'!I57&gt;$O$3,1,0)</f>
        <v>1</v>
      </c>
      <c r="K53" s="37">
        <f>IF('pre-compute all'!J57&gt;$O$3,1,0)</f>
        <v>1</v>
      </c>
      <c r="O53" s="38">
        <v>31</v>
      </c>
      <c r="P53" s="38">
        <v>16</v>
      </c>
      <c r="Q53" s="38">
        <v>34</v>
      </c>
      <c r="R53" s="38">
        <v>92</v>
      </c>
    </row>
    <row r="54" spans="1:18" ht="15.75">
      <c r="A54" s="1" t="s">
        <v>187</v>
      </c>
      <c r="B54" s="10" t="s">
        <v>209</v>
      </c>
      <c r="C54" s="8" t="s">
        <v>317</v>
      </c>
      <c r="D54" s="1">
        <v>1</v>
      </c>
      <c r="E54" s="1">
        <v>1</v>
      </c>
      <c r="G54">
        <f>IF('pre-compute all'!E58&gt;$O$3,1,0)</f>
        <v>1</v>
      </c>
      <c r="H54" s="37">
        <f>IF('pre-compute all'!$G$2&gt;$O$3,1,0)</f>
        <v>0</v>
      </c>
      <c r="I54" s="37">
        <f>IF('pre-compute all'!H58&gt;$O$3,1,0)</f>
        <v>0</v>
      </c>
      <c r="J54" s="37">
        <f>IF('pre-compute all'!I58&gt;$O$3,1,0)</f>
        <v>1</v>
      </c>
      <c r="K54" s="37">
        <f>IF('pre-compute all'!J58&gt;$O$3,1,0)</f>
        <v>1</v>
      </c>
      <c r="O54" s="39">
        <v>100</v>
      </c>
      <c r="P54" s="39">
        <v>100</v>
      </c>
      <c r="Q54" s="39">
        <v>100</v>
      </c>
      <c r="R54" s="39">
        <v>96.84210526315789</v>
      </c>
    </row>
    <row r="55" spans="1:18" ht="15.75">
      <c r="A55" s="1" t="s">
        <v>211</v>
      </c>
      <c r="B55" s="10" t="s">
        <v>209</v>
      </c>
      <c r="C55" s="8" t="s">
        <v>317</v>
      </c>
      <c r="D55" s="1">
        <v>1</v>
      </c>
      <c r="E55" s="1">
        <v>1</v>
      </c>
      <c r="G55">
        <f>IF('pre-compute all'!E59&gt;$O$3,1,0)</f>
        <v>1</v>
      </c>
      <c r="H55" s="37">
        <f>IF('pre-compute all'!$G$2&gt;$O$3,1,0)</f>
        <v>0</v>
      </c>
      <c r="I55" s="37">
        <f>IF('pre-compute all'!H59&gt;$O$3,1,0)</f>
        <v>0</v>
      </c>
      <c r="J55" s="37">
        <f>IF('pre-compute all'!I59&gt;$O$3,1,0)</f>
        <v>1</v>
      </c>
      <c r="K55" s="37">
        <f>IF('pre-compute all'!J59&gt;$O$3,1,0)</f>
        <v>1</v>
      </c>
    </row>
    <row r="56" spans="1:18" ht="15.75">
      <c r="A56" s="1" t="s">
        <v>218</v>
      </c>
      <c r="B56" s="10" t="s">
        <v>207</v>
      </c>
      <c r="C56" s="8" t="s">
        <v>317</v>
      </c>
      <c r="D56" s="1">
        <v>1</v>
      </c>
      <c r="E56" s="1">
        <v>1</v>
      </c>
      <c r="G56">
        <f>IF('pre-compute all'!E60&gt;$O$3,1,0)</f>
        <v>1</v>
      </c>
      <c r="H56" s="37">
        <f>IF('pre-compute all'!$G$2&gt;$O$3,1,0)</f>
        <v>0</v>
      </c>
      <c r="I56" s="37">
        <f>IF('pre-compute all'!H60&gt;$O$3,1,0)</f>
        <v>0</v>
      </c>
      <c r="J56" s="37">
        <f>IF('pre-compute all'!I60&gt;$O$3,1,0)</f>
        <v>1</v>
      </c>
      <c r="K56" s="37">
        <f>IF('pre-compute all'!J60&gt;$O$3,1,0)</f>
        <v>1</v>
      </c>
    </row>
    <row r="57" spans="1:18" ht="15.75">
      <c r="A57" s="1" t="s">
        <v>217</v>
      </c>
      <c r="B57" s="10" t="s">
        <v>207</v>
      </c>
      <c r="C57" s="8" t="s">
        <v>317</v>
      </c>
      <c r="D57" s="1">
        <v>1</v>
      </c>
      <c r="E57" s="1">
        <v>1</v>
      </c>
      <c r="G57">
        <f>IF('pre-compute all'!E61&gt;$O$3,1,0)</f>
        <v>1</v>
      </c>
      <c r="H57" s="37">
        <f>IF('pre-compute all'!$G$2&gt;$O$3,1,0)</f>
        <v>0</v>
      </c>
      <c r="I57" s="37">
        <f>IF('pre-compute all'!H61&gt;$O$3,1,0)</f>
        <v>0</v>
      </c>
      <c r="J57" s="37">
        <f>IF('pre-compute all'!I61&gt;$O$3,1,0)</f>
        <v>1</v>
      </c>
      <c r="K57" s="37">
        <f>IF('pre-compute all'!J61&gt;$O$3,1,0)</f>
        <v>1</v>
      </c>
    </row>
    <row r="58" spans="1:18" ht="15.75">
      <c r="A58" s="1" t="s">
        <v>219</v>
      </c>
      <c r="B58" s="10" t="s">
        <v>207</v>
      </c>
      <c r="C58" s="8" t="s">
        <v>317</v>
      </c>
      <c r="D58" s="1">
        <v>1</v>
      </c>
      <c r="E58" s="1">
        <v>1</v>
      </c>
      <c r="G58">
        <f>IF('pre-compute all'!E62&gt;$O$3,1,0)</f>
        <v>1</v>
      </c>
      <c r="H58" s="37">
        <f>IF('pre-compute all'!$G$2&gt;$O$3,1,0)</f>
        <v>0</v>
      </c>
      <c r="I58" s="37">
        <f>IF('pre-compute all'!H62&gt;$O$3,1,0)</f>
        <v>0</v>
      </c>
      <c r="J58" s="37">
        <f>IF('pre-compute all'!I62&gt;$O$3,1,0)</f>
        <v>1</v>
      </c>
      <c r="K58" s="37">
        <f>IF('pre-compute all'!J62&gt;$O$3,1,0)</f>
        <v>1</v>
      </c>
    </row>
    <row r="59" spans="1:18" ht="15.75">
      <c r="A59" s="1" t="s">
        <v>187</v>
      </c>
      <c r="B59" s="10" t="s">
        <v>207</v>
      </c>
      <c r="C59" s="8" t="s">
        <v>317</v>
      </c>
      <c r="D59" s="1">
        <v>1</v>
      </c>
      <c r="E59" s="1">
        <v>1</v>
      </c>
      <c r="G59">
        <f>IF('pre-compute all'!E63&gt;$O$3,1,0)</f>
        <v>1</v>
      </c>
      <c r="H59" s="37">
        <f>IF('pre-compute all'!$G$2&gt;$O$3,1,0)</f>
        <v>0</v>
      </c>
      <c r="I59" s="37">
        <f>IF('pre-compute all'!H63&gt;$O$3,1,0)</f>
        <v>0</v>
      </c>
      <c r="J59" s="37">
        <f>IF('pre-compute all'!I63&gt;$O$3,1,0)</f>
        <v>1</v>
      </c>
      <c r="K59" s="37">
        <f>IF('pre-compute all'!J63&gt;$O$3,1,0)</f>
        <v>1</v>
      </c>
    </row>
    <row r="60" spans="1:18" ht="15.75">
      <c r="A60" s="1" t="s">
        <v>211</v>
      </c>
      <c r="B60" s="10" t="s">
        <v>207</v>
      </c>
      <c r="C60" s="8" t="s">
        <v>317</v>
      </c>
      <c r="D60" s="1">
        <v>1</v>
      </c>
      <c r="E60" s="1">
        <v>1</v>
      </c>
      <c r="G60">
        <f>IF('pre-compute all'!E64&gt;$O$3,1,0)</f>
        <v>1</v>
      </c>
      <c r="H60" s="37">
        <f>IF('pre-compute all'!$G$2&gt;$O$3,1,0)</f>
        <v>0</v>
      </c>
      <c r="I60" s="37">
        <f>IF('pre-compute all'!H64&gt;$O$3,1,0)</f>
        <v>0</v>
      </c>
      <c r="J60" s="37">
        <f>IF('pre-compute all'!I64&gt;$O$3,1,0)</f>
        <v>1</v>
      </c>
      <c r="K60" s="37">
        <f>IF('pre-compute all'!J64&gt;$O$3,1,0)</f>
        <v>1</v>
      </c>
    </row>
    <row r="61" spans="1:18" ht="15.75">
      <c r="A61" s="1" t="s">
        <v>187</v>
      </c>
      <c r="B61" s="10" t="s">
        <v>195</v>
      </c>
      <c r="C61" s="8" t="s">
        <v>317</v>
      </c>
      <c r="D61" s="1">
        <v>1</v>
      </c>
      <c r="E61" s="1">
        <v>0</v>
      </c>
      <c r="G61">
        <f>IF('pre-compute all'!E33&gt;$O$3,1,0)</f>
        <v>0</v>
      </c>
      <c r="H61" s="37">
        <f>IF('pre-compute all'!$G$2&gt;$O$3,1,0)</f>
        <v>0</v>
      </c>
      <c r="I61" s="37">
        <f>IF('pre-compute all'!H33&gt;$O$3,1,0)</f>
        <v>0</v>
      </c>
      <c r="J61" s="37">
        <f>IF('pre-compute all'!I33&gt;$O$3,1,0)</f>
        <v>1</v>
      </c>
      <c r="K61" s="37">
        <f>IF('pre-compute all'!J33&gt;$O$3,1,0)</f>
        <v>1</v>
      </c>
    </row>
    <row r="62" spans="1:18" ht="15.75">
      <c r="A62" s="1" t="s">
        <v>216</v>
      </c>
      <c r="B62" s="10" t="s">
        <v>195</v>
      </c>
      <c r="C62" s="8" t="s">
        <v>323</v>
      </c>
      <c r="D62" s="1">
        <v>1</v>
      </c>
      <c r="E62" s="1">
        <v>1</v>
      </c>
      <c r="G62">
        <f>IF('pre-compute all'!E65&gt;$O$3,1,0)</f>
        <v>1</v>
      </c>
      <c r="H62" s="37">
        <f>IF('pre-compute all'!$G$2&gt;$O$3,1,0)</f>
        <v>0</v>
      </c>
      <c r="I62" s="37">
        <f>IF('pre-compute all'!H65&gt;$O$3,1,0)</f>
        <v>0</v>
      </c>
      <c r="J62" s="37">
        <f>IF('pre-compute all'!I65&gt;$O$3,1,0)</f>
        <v>1</v>
      </c>
      <c r="K62" s="37">
        <f>IF('pre-compute all'!J65&gt;$O$3,1,0)</f>
        <v>1</v>
      </c>
    </row>
    <row r="63" spans="1:18" ht="15.75">
      <c r="A63" s="1" t="s">
        <v>216</v>
      </c>
      <c r="B63" s="10" t="s">
        <v>213</v>
      </c>
      <c r="C63" s="8" t="s">
        <v>323</v>
      </c>
      <c r="D63" s="1">
        <v>1</v>
      </c>
      <c r="E63" s="1">
        <v>1</v>
      </c>
      <c r="G63">
        <f>IF('pre-compute all'!E66&gt;$O$3,1,0)</f>
        <v>1</v>
      </c>
      <c r="H63" s="37">
        <f>IF('pre-compute all'!$G$2&gt;$O$3,1,0)</f>
        <v>0</v>
      </c>
      <c r="I63" s="37">
        <f>IF('pre-compute all'!H66&gt;$O$3,1,0)</f>
        <v>0</v>
      </c>
      <c r="J63" s="37">
        <f>IF('pre-compute all'!I66&gt;$O$3,1,0)</f>
        <v>1</v>
      </c>
      <c r="K63" s="37">
        <f>IF('pre-compute all'!J66&gt;$O$3,1,0)</f>
        <v>1</v>
      </c>
    </row>
    <row r="64" spans="1:18" ht="15.75">
      <c r="A64" s="1" t="s">
        <v>211</v>
      </c>
      <c r="B64" s="10" t="s">
        <v>213</v>
      </c>
      <c r="C64" s="8" t="s">
        <v>323</v>
      </c>
      <c r="D64" s="1">
        <v>1</v>
      </c>
      <c r="E64" s="1">
        <v>0</v>
      </c>
      <c r="G64">
        <f>IF('pre-compute all'!E34&gt;$O$3,1,0)</f>
        <v>0</v>
      </c>
      <c r="H64" s="37">
        <f>IF('pre-compute all'!$G$2&gt;$O$3,1,0)</f>
        <v>0</v>
      </c>
      <c r="I64" s="37">
        <f>IF('pre-compute all'!H34&gt;$O$3,1,0)</f>
        <v>0</v>
      </c>
      <c r="J64" s="37">
        <f>IF('pre-compute all'!I34&gt;$O$3,1,0)</f>
        <v>1</v>
      </c>
      <c r="K64" s="37">
        <f>IF('pre-compute all'!J34&gt;$O$3,1,0)</f>
        <v>1</v>
      </c>
    </row>
    <row r="65" spans="1:11" ht="15.75">
      <c r="A65" s="1" t="s">
        <v>216</v>
      </c>
      <c r="B65" s="10" t="s">
        <v>215</v>
      </c>
      <c r="C65" s="8" t="s">
        <v>323</v>
      </c>
      <c r="D65" s="1">
        <v>1</v>
      </c>
      <c r="E65" s="1">
        <v>1</v>
      </c>
      <c r="G65">
        <f>IF('pre-compute all'!E67&gt;$O$3,1,0)</f>
        <v>1</v>
      </c>
      <c r="H65" s="37">
        <f>IF('pre-compute all'!$G$2&gt;$O$3,1,0)</f>
        <v>0</v>
      </c>
      <c r="I65" s="37">
        <f>IF('pre-compute all'!H67&gt;$O$3,1,0)</f>
        <v>0</v>
      </c>
      <c r="J65" s="37">
        <f>IF('pre-compute all'!I67&gt;$O$3,1,0)</f>
        <v>1</v>
      </c>
      <c r="K65" s="37">
        <f>IF('pre-compute all'!J67&gt;$O$3,1,0)</f>
        <v>1</v>
      </c>
    </row>
    <row r="66" spans="1:11" ht="15.75">
      <c r="A66" s="1" t="s">
        <v>211</v>
      </c>
      <c r="B66" s="10" t="s">
        <v>215</v>
      </c>
      <c r="C66" s="8" t="s">
        <v>317</v>
      </c>
      <c r="D66" s="1">
        <v>1</v>
      </c>
      <c r="E66" s="42">
        <v>0</v>
      </c>
      <c r="G66">
        <f>IF('pre-compute all'!E35&gt;$O$3,1,0)</f>
        <v>0</v>
      </c>
      <c r="H66" s="37">
        <f>IF('pre-compute all'!$G$2&gt;$O$3,1,0)</f>
        <v>0</v>
      </c>
      <c r="I66" s="37">
        <f>IF('pre-compute all'!H35&gt;$O$3,1,0)</f>
        <v>0</v>
      </c>
      <c r="J66" s="37">
        <f>IF('pre-compute all'!I35&gt;$O$3,1,0)</f>
        <v>1</v>
      </c>
      <c r="K66" s="37">
        <f>IF('pre-compute all'!J35&gt;$O$3,1,0)</f>
        <v>1</v>
      </c>
    </row>
    <row r="67" spans="1:11" ht="15.75">
      <c r="A67" s="1" t="s">
        <v>216</v>
      </c>
      <c r="B67" s="10" t="s">
        <v>214</v>
      </c>
      <c r="C67" s="8" t="s">
        <v>323</v>
      </c>
      <c r="D67" s="1">
        <v>1</v>
      </c>
      <c r="E67" s="1">
        <v>1</v>
      </c>
      <c r="G67">
        <f>IF('pre-compute all'!E68&gt;$O$3,1,0)</f>
        <v>1</v>
      </c>
      <c r="H67" s="37">
        <f>IF('pre-compute all'!$G$2&gt;$O$3,1,0)</f>
        <v>0</v>
      </c>
      <c r="I67" s="37">
        <f>IF('pre-compute all'!H68&gt;$O$3,1,0)</f>
        <v>0</v>
      </c>
      <c r="J67" s="37">
        <f>IF('pre-compute all'!I68&gt;$O$3,1,0)</f>
        <v>1</v>
      </c>
      <c r="K67" s="37">
        <f>IF('pre-compute all'!J68&gt;$O$3,1,0)</f>
        <v>1</v>
      </c>
    </row>
    <row r="68" spans="1:11" ht="15.75">
      <c r="A68" s="1" t="s">
        <v>211</v>
      </c>
      <c r="B68" s="10" t="s">
        <v>214</v>
      </c>
      <c r="C68" s="8" t="s">
        <v>323</v>
      </c>
      <c r="D68" s="1">
        <v>1</v>
      </c>
      <c r="E68" s="1">
        <v>0</v>
      </c>
      <c r="G68">
        <f>IF('pre-compute all'!E36&gt;$O$3,1,0)</f>
        <v>0</v>
      </c>
      <c r="H68" s="37">
        <f>IF('pre-compute all'!$G$2&gt;$O$3,1,0)</f>
        <v>0</v>
      </c>
      <c r="I68" s="37">
        <f>IF('pre-compute all'!H36&gt;$O$3,1,0)</f>
        <v>0</v>
      </c>
      <c r="J68" s="37">
        <f>IF('pre-compute all'!I36&gt;$O$3,1,0)</f>
        <v>1</v>
      </c>
      <c r="K68" s="37">
        <f>IF('pre-compute all'!J36&gt;$O$3,1,0)</f>
        <v>1</v>
      </c>
    </row>
    <row r="69" spans="1:11" ht="15.75">
      <c r="A69" s="1" t="s">
        <v>187</v>
      </c>
      <c r="B69" s="10" t="s">
        <v>227</v>
      </c>
      <c r="C69" s="2" t="s">
        <v>326</v>
      </c>
      <c r="D69" s="1">
        <v>2</v>
      </c>
      <c r="E69" s="1">
        <v>0</v>
      </c>
      <c r="G69">
        <f>IF('pre-compute all'!E69&gt;$P$3,1,0)</f>
        <v>0</v>
      </c>
      <c r="H69" s="37">
        <f>IF('pre-compute all'!$G$2&gt;$P$3,1,0)</f>
        <v>0</v>
      </c>
      <c r="I69" s="37">
        <f>IF('pre-compute all'!H69&gt;$P$3,1,0)</f>
        <v>0</v>
      </c>
      <c r="J69" s="37">
        <f>IF('pre-compute all'!I69&gt;$P$3,1,0)</f>
        <v>1</v>
      </c>
      <c r="K69" s="37">
        <f>IF('pre-compute all'!J69&gt;$P$3,1,0)</f>
        <v>1</v>
      </c>
    </row>
    <row r="70" spans="1:11" ht="15.75">
      <c r="A70" s="1" t="s">
        <v>216</v>
      </c>
      <c r="B70" s="10" t="s">
        <v>227</v>
      </c>
      <c r="C70" s="2" t="s">
        <v>326</v>
      </c>
      <c r="D70" s="1">
        <v>2</v>
      </c>
      <c r="E70" s="1">
        <v>0</v>
      </c>
      <c r="G70">
        <f>IF('pre-compute all'!E70&gt;$P$3,1,0)</f>
        <v>0</v>
      </c>
      <c r="H70" s="37">
        <f>IF('pre-compute all'!$G$2&gt;$P$3,1,0)</f>
        <v>0</v>
      </c>
      <c r="I70" s="37">
        <f>IF('pre-compute all'!H70&gt;$P$3,1,0)</f>
        <v>0</v>
      </c>
      <c r="J70" s="37">
        <f>IF('pre-compute all'!I70&gt;$P$3,1,0)</f>
        <v>1</v>
      </c>
      <c r="K70" s="37">
        <f>IF('pre-compute all'!J70&gt;$P$3,1,0)</f>
        <v>1</v>
      </c>
    </row>
    <row r="71" spans="1:11" ht="15.75">
      <c r="A71" s="1" t="s">
        <v>211</v>
      </c>
      <c r="B71" s="10" t="s">
        <v>227</v>
      </c>
      <c r="C71" s="2" t="s">
        <v>326</v>
      </c>
      <c r="D71" s="1">
        <v>2</v>
      </c>
      <c r="E71" s="1">
        <v>0</v>
      </c>
      <c r="G71">
        <f>IF('pre-compute all'!E71&gt;$P$3,1,0)</f>
        <v>0</v>
      </c>
      <c r="H71" s="37">
        <f>IF('pre-compute all'!$G$2&gt;$P$3,1,0)</f>
        <v>0</v>
      </c>
      <c r="I71" s="37">
        <f>IF('pre-compute all'!H71&gt;$P$3,1,0)</f>
        <v>0</v>
      </c>
      <c r="J71" s="37">
        <f>IF('pre-compute all'!I71&gt;$P$3,1,0)</f>
        <v>1</v>
      </c>
      <c r="K71" s="37">
        <f>IF('pre-compute all'!J71&gt;$P$3,1,0)</f>
        <v>1</v>
      </c>
    </row>
    <row r="72" spans="1:11" ht="15.75">
      <c r="A72" s="1" t="s">
        <v>187</v>
      </c>
      <c r="B72" s="10" t="s">
        <v>228</v>
      </c>
      <c r="C72" s="2" t="s">
        <v>327</v>
      </c>
      <c r="D72" s="1">
        <v>2</v>
      </c>
      <c r="E72" s="1">
        <v>1</v>
      </c>
      <c r="G72">
        <f>IF('pre-compute all'!E111&gt;$P$3,1,0)</f>
        <v>1</v>
      </c>
      <c r="H72" s="37">
        <f>IF('pre-compute all'!$G$2&gt;$P$3,1,0)</f>
        <v>0</v>
      </c>
      <c r="I72" s="37">
        <f>IF('pre-compute all'!H111&gt;$P$3,1,0)</f>
        <v>0</v>
      </c>
      <c r="J72" s="37">
        <f>IF('pre-compute all'!I111&gt;$P$3,1,0)</f>
        <v>1</v>
      </c>
      <c r="K72" s="37">
        <f>IF('pre-compute all'!J111&gt;$P$3,1,0)</f>
        <v>1</v>
      </c>
    </row>
    <row r="73" spans="1:11" ht="15.75">
      <c r="A73" s="1" t="s">
        <v>216</v>
      </c>
      <c r="B73" s="10" t="s">
        <v>228</v>
      </c>
      <c r="C73" s="2" t="s">
        <v>327</v>
      </c>
      <c r="D73" s="1">
        <v>2</v>
      </c>
      <c r="E73" s="1">
        <v>0</v>
      </c>
      <c r="G73">
        <f>IF('pre-compute all'!E72&gt;$P$3,1,0)</f>
        <v>0</v>
      </c>
      <c r="H73" s="37">
        <f>IF('pre-compute all'!$G$2&gt;$P$3,1,0)</f>
        <v>0</v>
      </c>
      <c r="I73" s="37">
        <f>IF('pre-compute all'!H72&gt;$P$3,1,0)</f>
        <v>0</v>
      </c>
      <c r="J73" s="37">
        <f>IF('pre-compute all'!I72&gt;$P$3,1,0)</f>
        <v>1</v>
      </c>
      <c r="K73" s="37">
        <f>IF('pre-compute all'!J72&gt;$P$3,1,0)</f>
        <v>1</v>
      </c>
    </row>
    <row r="74" spans="1:11" ht="15.75">
      <c r="A74" s="1" t="s">
        <v>211</v>
      </c>
      <c r="B74" s="10" t="s">
        <v>228</v>
      </c>
      <c r="C74" s="2" t="s">
        <v>327</v>
      </c>
      <c r="D74" s="1">
        <v>2</v>
      </c>
      <c r="E74" s="1">
        <v>0</v>
      </c>
      <c r="G74">
        <f>IF('pre-compute all'!E73&gt;$P$3,1,0)</f>
        <v>0</v>
      </c>
      <c r="H74" s="37">
        <f>IF('pre-compute all'!$G$2&gt;$P$3,1,0)</f>
        <v>0</v>
      </c>
      <c r="I74" s="37">
        <f>IF('pre-compute all'!H73&gt;$P$3,1,0)</f>
        <v>0</v>
      </c>
      <c r="J74" s="37">
        <f>IF('pre-compute all'!I73&gt;$P$3,1,0)</f>
        <v>1</v>
      </c>
      <c r="K74" s="37">
        <f>IF('pre-compute all'!J73&gt;$P$3,1,0)</f>
        <v>1</v>
      </c>
    </row>
    <row r="75" spans="1:11" ht="15.75">
      <c r="A75" s="1" t="s">
        <v>217</v>
      </c>
      <c r="B75" s="10" t="s">
        <v>233</v>
      </c>
      <c r="C75" s="2" t="s">
        <v>328</v>
      </c>
      <c r="D75" s="1">
        <v>2</v>
      </c>
      <c r="E75" s="1">
        <v>0</v>
      </c>
      <c r="G75">
        <f>IF('pre-compute all'!E74&gt;$P$3,1,0)</f>
        <v>0</v>
      </c>
      <c r="H75" s="37">
        <f>IF('pre-compute all'!$G$2&gt;$P$3,1,0)</f>
        <v>0</v>
      </c>
      <c r="I75" s="37">
        <f>IF('pre-compute all'!H74&gt;$P$3,1,0)</f>
        <v>0</v>
      </c>
      <c r="J75" s="37">
        <f>IF('pre-compute all'!I74&gt;$P$3,1,0)</f>
        <v>1</v>
      </c>
      <c r="K75" s="37">
        <f>IF('pre-compute all'!J74&gt;$P$3,1,0)</f>
        <v>1</v>
      </c>
    </row>
    <row r="76" spans="1:11" ht="15.75">
      <c r="A76" s="1" t="s">
        <v>219</v>
      </c>
      <c r="B76" s="10" t="s">
        <v>233</v>
      </c>
      <c r="C76" s="2" t="s">
        <v>328</v>
      </c>
      <c r="D76" s="1">
        <v>2</v>
      </c>
      <c r="E76" s="1">
        <v>1</v>
      </c>
      <c r="G76">
        <f>IF('pre-compute all'!E112&gt;$P$3,1,0)</f>
        <v>1</v>
      </c>
      <c r="H76" s="37">
        <f>IF('pre-compute all'!$G$2&gt;$P$3,1,0)</f>
        <v>0</v>
      </c>
      <c r="I76" s="37">
        <f>IF('pre-compute all'!H112&gt;$P$3,1,0)</f>
        <v>0</v>
      </c>
      <c r="J76" s="37">
        <f>IF('pre-compute all'!I112&gt;$P$3,1,0)</f>
        <v>1</v>
      </c>
      <c r="K76" s="37">
        <f>IF('pre-compute all'!J112&gt;$P$3,1,0)</f>
        <v>1</v>
      </c>
    </row>
    <row r="77" spans="1:11" ht="15.75">
      <c r="A77" s="1" t="s">
        <v>216</v>
      </c>
      <c r="B77" s="10" t="s">
        <v>233</v>
      </c>
      <c r="C77" s="2" t="s">
        <v>328</v>
      </c>
      <c r="D77" s="1">
        <v>2</v>
      </c>
      <c r="E77" s="1">
        <v>0</v>
      </c>
      <c r="G77">
        <f>IF('pre-compute all'!E75&gt;$P$3,1,0)</f>
        <v>0</v>
      </c>
      <c r="H77" s="37">
        <f>IF('pre-compute all'!$G$2&gt;$P$3,1,0)</f>
        <v>0</v>
      </c>
      <c r="I77" s="37">
        <f>IF('pre-compute all'!H75&gt;$P$3,1,0)</f>
        <v>0</v>
      </c>
      <c r="J77" s="37">
        <f>IF('pre-compute all'!I75&gt;$P$3,1,0)</f>
        <v>1</v>
      </c>
      <c r="K77" s="37">
        <f>IF('pre-compute all'!J75&gt;$P$3,1,0)</f>
        <v>1</v>
      </c>
    </row>
    <row r="78" spans="1:11" ht="15.75">
      <c r="A78" s="59" t="s">
        <v>217</v>
      </c>
      <c r="B78" s="60" t="s">
        <v>230</v>
      </c>
      <c r="C78" s="61" t="s">
        <v>329</v>
      </c>
      <c r="D78" s="1">
        <v>2</v>
      </c>
      <c r="E78" s="1">
        <v>0</v>
      </c>
      <c r="G78">
        <f>IF('pre-compute all'!E76&gt;$P$3,1,0)</f>
        <v>1</v>
      </c>
      <c r="H78" s="37">
        <f>IF('pre-compute all'!$G$2&gt;$P$3,1,0)</f>
        <v>0</v>
      </c>
      <c r="I78" s="37">
        <f>IF('pre-compute all'!H76&gt;$P$3,1,0)</f>
        <v>0</v>
      </c>
      <c r="J78" s="37">
        <f>IF('pre-compute all'!I76&gt;$P$3,1,0)</f>
        <v>1</v>
      </c>
      <c r="K78" s="37">
        <f>IF('pre-compute all'!J76&gt;$P$3,1,0)</f>
        <v>1</v>
      </c>
    </row>
    <row r="79" spans="1:11" ht="15.75">
      <c r="A79" s="1" t="s">
        <v>219</v>
      </c>
      <c r="B79" s="10" t="s">
        <v>230</v>
      </c>
      <c r="C79" s="8" t="s">
        <v>329</v>
      </c>
      <c r="D79" s="1">
        <v>2</v>
      </c>
      <c r="E79" s="1">
        <v>0</v>
      </c>
      <c r="G79">
        <f>IF('pre-compute all'!E77&gt;$P$3,1,0)</f>
        <v>0</v>
      </c>
      <c r="H79" s="37">
        <f>IF('pre-compute all'!$G$2&gt;$P$3,1,0)</f>
        <v>0</v>
      </c>
      <c r="I79" s="37">
        <f>IF('pre-compute all'!H77&gt;$P$3,1,0)</f>
        <v>0</v>
      </c>
      <c r="J79" s="37">
        <f>IF('pre-compute all'!I77&gt;$P$3,1,0)</f>
        <v>1</v>
      </c>
      <c r="K79" s="37">
        <f>IF('pre-compute all'!J77&gt;$P$3,1,0)</f>
        <v>1</v>
      </c>
    </row>
    <row r="80" spans="1:11" ht="15.75">
      <c r="A80" s="1" t="s">
        <v>187</v>
      </c>
      <c r="B80" s="10" t="s">
        <v>230</v>
      </c>
      <c r="C80" s="8" t="s">
        <v>329</v>
      </c>
      <c r="D80" s="1">
        <v>2</v>
      </c>
      <c r="E80" s="1">
        <v>1</v>
      </c>
      <c r="G80">
        <f>IF('pre-compute all'!E113&gt;$P$3,1,0)</f>
        <v>1</v>
      </c>
      <c r="H80" s="37">
        <f>IF('pre-compute all'!$G$2&gt;$P$3,1,0)</f>
        <v>0</v>
      </c>
      <c r="I80" s="37">
        <f>IF('pre-compute all'!H113&gt;$P$3,1,0)</f>
        <v>0</v>
      </c>
      <c r="J80" s="37">
        <f>IF('pre-compute all'!I113&gt;$P$3,1,0)</f>
        <v>1</v>
      </c>
      <c r="K80" s="37">
        <f>IF('pre-compute all'!J113&gt;$P$3,1,0)</f>
        <v>1</v>
      </c>
    </row>
    <row r="81" spans="1:11" ht="15.75">
      <c r="A81" s="1" t="s">
        <v>216</v>
      </c>
      <c r="B81" s="10" t="s">
        <v>230</v>
      </c>
      <c r="C81" s="8" t="s">
        <v>329</v>
      </c>
      <c r="D81" s="1">
        <v>2</v>
      </c>
      <c r="E81" s="1">
        <v>0</v>
      </c>
      <c r="G81">
        <f>IF('pre-compute all'!E78&gt;$P$3,1,0)</f>
        <v>0</v>
      </c>
      <c r="H81" s="37">
        <f>IF('pre-compute all'!$G$2&gt;$P$3,1,0)</f>
        <v>0</v>
      </c>
      <c r="I81" s="37">
        <f>IF('pre-compute all'!H78&gt;$P$3,1,0)</f>
        <v>0</v>
      </c>
      <c r="J81" s="37">
        <f>IF('pre-compute all'!I78&gt;$P$3,1,0)</f>
        <v>1</v>
      </c>
      <c r="K81" s="37">
        <f>IF('pre-compute all'!J78&gt;$P$3,1,0)</f>
        <v>1</v>
      </c>
    </row>
    <row r="82" spans="1:11" ht="15.75">
      <c r="A82" s="59" t="s">
        <v>217</v>
      </c>
      <c r="B82" s="60" t="s">
        <v>223</v>
      </c>
      <c r="C82" s="61" t="s">
        <v>315</v>
      </c>
      <c r="D82" s="1">
        <v>2</v>
      </c>
      <c r="E82" s="1">
        <v>0</v>
      </c>
      <c r="G82">
        <f>IF('pre-compute all'!E79&gt;$P$3,1,0)</f>
        <v>1</v>
      </c>
      <c r="H82" s="37">
        <f>IF('pre-compute all'!$G$2&gt;$P$3,1,0)</f>
        <v>0</v>
      </c>
      <c r="I82" s="37">
        <f>IF('pre-compute all'!H79&gt;$P$3,1,0)</f>
        <v>0</v>
      </c>
      <c r="J82" s="37">
        <f>IF('pre-compute all'!I79&gt;$P$3,1,0)</f>
        <v>1</v>
      </c>
      <c r="K82" s="37">
        <f>IF('pre-compute all'!J79&gt;$P$3,1,0)</f>
        <v>1</v>
      </c>
    </row>
    <row r="83" spans="1:11" ht="15.75">
      <c r="A83" s="1" t="s">
        <v>187</v>
      </c>
      <c r="B83" s="10" t="s">
        <v>223</v>
      </c>
      <c r="C83" s="8" t="s">
        <v>315</v>
      </c>
      <c r="D83" s="1">
        <v>2</v>
      </c>
      <c r="E83" s="1">
        <v>0</v>
      </c>
      <c r="G83">
        <f>IF('pre-compute all'!E80&gt;$P$3,1,0)</f>
        <v>0</v>
      </c>
      <c r="H83" s="37">
        <f>IF('pre-compute all'!$G$2&gt;$P$3,1,0)</f>
        <v>0</v>
      </c>
      <c r="I83" s="37">
        <f>IF('pre-compute all'!H80&gt;$P$3,1,0)</f>
        <v>0</v>
      </c>
      <c r="J83" s="37">
        <f>IF('pre-compute all'!I80&gt;$P$3,1,0)</f>
        <v>1</v>
      </c>
      <c r="K83" s="37">
        <f>IF('pre-compute all'!J80&gt;$P$3,1,0)</f>
        <v>1</v>
      </c>
    </row>
    <row r="84" spans="1:11" ht="15.75">
      <c r="A84" s="1" t="s">
        <v>216</v>
      </c>
      <c r="B84" s="10" t="s">
        <v>223</v>
      </c>
      <c r="C84" s="8" t="s">
        <v>315</v>
      </c>
      <c r="D84" s="1">
        <v>2</v>
      </c>
      <c r="E84" s="1">
        <v>0</v>
      </c>
      <c r="G84">
        <f>IF('pre-compute all'!E81&gt;$P$3,1,0)</f>
        <v>0</v>
      </c>
      <c r="H84" s="37">
        <f>IF('pre-compute all'!$G$2&gt;$P$3,1,0)</f>
        <v>0</v>
      </c>
      <c r="I84" s="37">
        <f>IF('pre-compute all'!H81&gt;$P$3,1,0)</f>
        <v>0</v>
      </c>
      <c r="J84" s="37">
        <f>IF('pre-compute all'!I81&gt;$P$3,1,0)</f>
        <v>1</v>
      </c>
      <c r="K84" s="37">
        <f>IF('pre-compute all'!J81&gt;$P$3,1,0)</f>
        <v>1</v>
      </c>
    </row>
    <row r="85" spans="1:11" ht="15.75">
      <c r="A85" s="1" t="s">
        <v>211</v>
      </c>
      <c r="B85" s="10" t="s">
        <v>223</v>
      </c>
      <c r="C85" s="8" t="s">
        <v>315</v>
      </c>
      <c r="D85" s="1">
        <v>2</v>
      </c>
      <c r="E85" s="1">
        <v>1</v>
      </c>
      <c r="G85">
        <f>IF('pre-compute all'!E114&gt;$P$3,1,0)</f>
        <v>1</v>
      </c>
      <c r="H85" s="37">
        <f>IF('pre-compute all'!$G$2&gt;$P$3,1,0)</f>
        <v>0</v>
      </c>
      <c r="I85" s="37">
        <f>IF('pre-compute all'!H114&gt;$P$3,1,0)</f>
        <v>0</v>
      </c>
      <c r="J85" s="37">
        <f>IF('pre-compute all'!I114&gt;$P$3,1,0)</f>
        <v>1</v>
      </c>
      <c r="K85" s="37">
        <f>IF('pre-compute all'!J114&gt;$P$3,1,0)</f>
        <v>1</v>
      </c>
    </row>
    <row r="86" spans="1:11" ht="15.75">
      <c r="A86" s="59" t="s">
        <v>217</v>
      </c>
      <c r="B86" s="60" t="s">
        <v>235</v>
      </c>
      <c r="C86" s="61" t="s">
        <v>315</v>
      </c>
      <c r="D86" s="1">
        <v>2</v>
      </c>
      <c r="E86" s="1">
        <v>0</v>
      </c>
      <c r="G86">
        <f>IF('pre-compute all'!E82&gt;$P$3,1,0)</f>
        <v>1</v>
      </c>
      <c r="H86" s="37">
        <f>IF('pre-compute all'!$G$2&gt;$P$3,1,0)</f>
        <v>0</v>
      </c>
      <c r="I86" s="37">
        <f>IF('pre-compute all'!H82&gt;$P$3,1,0)</f>
        <v>0</v>
      </c>
      <c r="J86" s="37">
        <f>IF('pre-compute all'!I82&gt;$P$3,1,0)</f>
        <v>1</v>
      </c>
      <c r="K86" s="37">
        <f>IF('pre-compute all'!J82&gt;$P$3,1,0)</f>
        <v>1</v>
      </c>
    </row>
    <row r="87" spans="1:11" ht="15.75">
      <c r="A87" s="62" t="s">
        <v>219</v>
      </c>
      <c r="B87" s="64" t="s">
        <v>235</v>
      </c>
      <c r="C87" s="63" t="s">
        <v>315</v>
      </c>
      <c r="D87" s="1">
        <v>2</v>
      </c>
      <c r="E87" s="1">
        <v>1</v>
      </c>
      <c r="G87">
        <f>IF('pre-compute all'!E115&gt;$P$3,1,0)</f>
        <v>0</v>
      </c>
      <c r="H87" s="37">
        <f>IF('pre-compute all'!$G$2&gt;$P$3,1,0)</f>
        <v>0</v>
      </c>
      <c r="I87" s="37">
        <f>IF('pre-compute all'!H115&gt;$P$3,1,0)</f>
        <v>0</v>
      </c>
      <c r="J87" s="37">
        <f>IF('pre-compute all'!I115&gt;$P$3,1,0)</f>
        <v>1</v>
      </c>
      <c r="K87" s="37">
        <f>IF('pre-compute all'!J115&gt;$P$3,1,0)</f>
        <v>1</v>
      </c>
    </row>
    <row r="88" spans="1:11" ht="15.75">
      <c r="A88" s="1" t="s">
        <v>211</v>
      </c>
      <c r="B88" s="10" t="s">
        <v>235</v>
      </c>
      <c r="C88" s="8" t="s">
        <v>315</v>
      </c>
      <c r="D88" s="1">
        <v>2</v>
      </c>
      <c r="E88" s="1">
        <v>0</v>
      </c>
      <c r="G88">
        <f>IF('pre-compute all'!E83&gt;$P$3,1,0)</f>
        <v>0</v>
      </c>
      <c r="H88" s="37">
        <f>IF('pre-compute all'!$G$2&gt;$P$3,1,0)</f>
        <v>0</v>
      </c>
      <c r="I88" s="37">
        <f>IF('pre-compute all'!H83&gt;$P$3,1,0)</f>
        <v>0</v>
      </c>
      <c r="J88" s="37">
        <f>IF('pre-compute all'!I83&gt;$P$3,1,0)</f>
        <v>1</v>
      </c>
      <c r="K88" s="37">
        <f>IF('pre-compute all'!J83&gt;$P$3,1,0)</f>
        <v>1</v>
      </c>
    </row>
    <row r="89" spans="1:11" ht="15.75">
      <c r="A89" s="1" t="s">
        <v>217</v>
      </c>
      <c r="B89" s="10" t="s">
        <v>221</v>
      </c>
      <c r="C89" s="8" t="s">
        <v>319</v>
      </c>
      <c r="D89" s="1">
        <v>2</v>
      </c>
      <c r="E89" s="1">
        <v>0</v>
      </c>
      <c r="G89">
        <f>IF('pre-compute all'!E84&gt;$P$3,1,0)</f>
        <v>0</v>
      </c>
      <c r="H89" s="37">
        <f>IF('pre-compute all'!$G$2&gt;$P$3,1,0)</f>
        <v>0</v>
      </c>
      <c r="I89" s="37">
        <f>IF('pre-compute all'!H84&gt;$P$3,1,0)</f>
        <v>0</v>
      </c>
      <c r="J89" s="37">
        <f>IF('pre-compute all'!I84&gt;$P$3,1,0)</f>
        <v>1</v>
      </c>
      <c r="K89" s="37">
        <f>IF('pre-compute all'!J84&gt;$P$3,1,0)</f>
        <v>1</v>
      </c>
    </row>
    <row r="90" spans="1:11" ht="15.75">
      <c r="A90" s="1" t="s">
        <v>187</v>
      </c>
      <c r="B90" s="10" t="s">
        <v>221</v>
      </c>
      <c r="C90" s="8" t="s">
        <v>319</v>
      </c>
      <c r="D90" s="1">
        <v>2</v>
      </c>
      <c r="E90" s="1">
        <v>0</v>
      </c>
      <c r="G90">
        <f>IF('pre-compute all'!E85&gt;$P$3,1,0)</f>
        <v>0</v>
      </c>
      <c r="H90" s="37">
        <f>IF('pre-compute all'!$G$2&gt;$P$3,1,0)</f>
        <v>0</v>
      </c>
      <c r="I90" s="37">
        <f>IF('pre-compute all'!H85&gt;$P$3,1,0)</f>
        <v>0</v>
      </c>
      <c r="J90" s="37">
        <f>IF('pre-compute all'!I85&gt;$P$3,1,0)</f>
        <v>1</v>
      </c>
      <c r="K90" s="37">
        <f>IF('pre-compute all'!J85&gt;$P$3,1,0)</f>
        <v>1</v>
      </c>
    </row>
    <row r="91" spans="1:11" ht="15.75">
      <c r="A91" s="1" t="s">
        <v>216</v>
      </c>
      <c r="B91" s="10" t="s">
        <v>221</v>
      </c>
      <c r="C91" s="8" t="s">
        <v>319</v>
      </c>
      <c r="D91" s="1">
        <v>2</v>
      </c>
      <c r="E91" s="1">
        <v>0</v>
      </c>
      <c r="G91">
        <f>IF('pre-compute all'!E86&gt;$P$3,1,0)</f>
        <v>0</v>
      </c>
      <c r="H91" s="37">
        <f>IF('pre-compute all'!$G$2&gt;$P$3,1,0)</f>
        <v>0</v>
      </c>
      <c r="I91" s="37">
        <f>IF('pre-compute all'!H86&gt;$P$3,1,0)</f>
        <v>0</v>
      </c>
      <c r="J91" s="37">
        <f>IF('pre-compute all'!I86&gt;$P$3,1,0)</f>
        <v>1</v>
      </c>
      <c r="K91" s="37">
        <f>IF('pre-compute all'!J86&gt;$P$3,1,0)</f>
        <v>1</v>
      </c>
    </row>
    <row r="92" spans="1:11" ht="15.75">
      <c r="A92" s="1" t="s">
        <v>211</v>
      </c>
      <c r="B92" s="10" t="s">
        <v>221</v>
      </c>
      <c r="C92" s="8" t="s">
        <v>319</v>
      </c>
      <c r="D92" s="1">
        <v>2</v>
      </c>
      <c r="E92" s="1">
        <v>0</v>
      </c>
      <c r="G92">
        <f>IF('pre-compute all'!E87&gt;$P$3,1,0)</f>
        <v>0</v>
      </c>
      <c r="H92" s="37">
        <f>IF('pre-compute all'!$G$2&gt;$P$3,1,0)</f>
        <v>0</v>
      </c>
      <c r="I92" s="37">
        <f>IF('pre-compute all'!H87&gt;$P$3,1,0)</f>
        <v>0</v>
      </c>
      <c r="J92" s="37">
        <f>IF('pre-compute all'!I87&gt;$P$3,1,0)</f>
        <v>1</v>
      </c>
      <c r="K92" s="37">
        <f>IF('pre-compute all'!J87&gt;$P$3,1,0)</f>
        <v>1</v>
      </c>
    </row>
    <row r="93" spans="1:11" ht="15.75">
      <c r="A93" s="1" t="s">
        <v>187</v>
      </c>
      <c r="B93" s="10" t="s">
        <v>222</v>
      </c>
      <c r="C93" s="2" t="s">
        <v>331</v>
      </c>
      <c r="D93" s="1">
        <v>2</v>
      </c>
      <c r="E93" s="1">
        <v>0</v>
      </c>
      <c r="G93">
        <f>IF('pre-compute all'!E88&gt;$P$3,1,0)</f>
        <v>0</v>
      </c>
      <c r="H93" s="37">
        <f>IF('pre-compute all'!$G$2&gt;$P$3,1,0)</f>
        <v>0</v>
      </c>
      <c r="I93" s="37">
        <f>IF('pre-compute all'!H88&gt;$P$3,1,0)</f>
        <v>0</v>
      </c>
      <c r="J93" s="37">
        <f>IF('pre-compute all'!I88&gt;$P$3,1,0)</f>
        <v>1</v>
      </c>
      <c r="K93" s="37">
        <f>IF('pre-compute all'!J88&gt;$P$3,1,0)</f>
        <v>1</v>
      </c>
    </row>
    <row r="94" spans="1:11" ht="15.75">
      <c r="A94" s="1" t="s">
        <v>216</v>
      </c>
      <c r="B94" s="10" t="s">
        <v>222</v>
      </c>
      <c r="C94" s="2" t="s">
        <v>331</v>
      </c>
      <c r="D94" s="1">
        <v>2</v>
      </c>
      <c r="E94" s="1">
        <v>0</v>
      </c>
      <c r="G94">
        <f>IF('pre-compute all'!E89&gt;$P$3,1,0)</f>
        <v>0</v>
      </c>
      <c r="H94" s="37">
        <f>IF('pre-compute all'!$G$2&gt;$P$3,1,0)</f>
        <v>0</v>
      </c>
      <c r="I94" s="37">
        <f>IF('pre-compute all'!H89&gt;$P$3,1,0)</f>
        <v>0</v>
      </c>
      <c r="J94" s="37">
        <f>IF('pre-compute all'!I89&gt;$P$3,1,0)</f>
        <v>1</v>
      </c>
      <c r="K94" s="37">
        <f>IF('pre-compute all'!J89&gt;$P$3,1,0)</f>
        <v>1</v>
      </c>
    </row>
    <row r="95" spans="1:11" ht="15.75">
      <c r="A95" s="1" t="s">
        <v>216</v>
      </c>
      <c r="B95" s="10" t="s">
        <v>126</v>
      </c>
      <c r="C95" s="8" t="s">
        <v>319</v>
      </c>
      <c r="D95" s="1">
        <v>2</v>
      </c>
      <c r="E95" s="1">
        <v>0</v>
      </c>
      <c r="G95">
        <f>IF('pre-compute all'!E90&gt;$P$3,1,0)</f>
        <v>0</v>
      </c>
      <c r="H95" s="37">
        <f>IF('pre-compute all'!$G$2&gt;$P$3,1,0)</f>
        <v>0</v>
      </c>
      <c r="I95" s="37">
        <f>IF('pre-compute all'!H90&gt;$P$3,1,0)</f>
        <v>0</v>
      </c>
      <c r="J95" s="37">
        <f>IF('pre-compute all'!I90&gt;$P$3,1,0)</f>
        <v>1</v>
      </c>
      <c r="K95" s="37">
        <f>IF('pre-compute all'!J90&gt;$P$3,1,0)</f>
        <v>1</v>
      </c>
    </row>
    <row r="96" spans="1:11" ht="15.75">
      <c r="A96" s="62" t="s">
        <v>218</v>
      </c>
      <c r="B96" s="64" t="s">
        <v>229</v>
      </c>
      <c r="C96" s="63" t="s">
        <v>325</v>
      </c>
      <c r="D96" s="1">
        <v>2</v>
      </c>
      <c r="E96" s="1">
        <v>1</v>
      </c>
      <c r="G96">
        <f>IF('pre-compute all'!E116&gt;$P$3,1,0)</f>
        <v>0</v>
      </c>
      <c r="H96" s="37">
        <f>IF('pre-compute all'!$G$2&gt;$P$3,1,0)</f>
        <v>0</v>
      </c>
      <c r="I96" s="37">
        <f>IF('pre-compute all'!H116&gt;$P$3,1,0)</f>
        <v>0</v>
      </c>
      <c r="J96" s="37">
        <f>IF('pre-compute all'!I116&gt;$P$3,1,0)</f>
        <v>1</v>
      </c>
      <c r="K96" s="37">
        <f>IF('pre-compute all'!J116&gt;$P$3,1,0)</f>
        <v>1</v>
      </c>
    </row>
    <row r="97" spans="1:11" ht="15.75">
      <c r="A97" s="59" t="s">
        <v>217</v>
      </c>
      <c r="B97" s="60" t="s">
        <v>229</v>
      </c>
      <c r="C97" s="61" t="s">
        <v>332</v>
      </c>
      <c r="D97" s="1">
        <v>2</v>
      </c>
      <c r="E97" s="1">
        <v>0</v>
      </c>
      <c r="G97">
        <f>IF('pre-compute all'!E91&gt;$P$3,1,0)</f>
        <v>1</v>
      </c>
      <c r="H97" s="37">
        <f>IF('pre-compute all'!$G$2&gt;$P$3,1,0)</f>
        <v>0</v>
      </c>
      <c r="I97" s="37">
        <f>IF('pre-compute all'!H91&gt;$P$3,1,0)</f>
        <v>0</v>
      </c>
      <c r="J97" s="37">
        <f>IF('pre-compute all'!I91&gt;$P$3,1,0)</f>
        <v>1</v>
      </c>
      <c r="K97" s="37">
        <f>IF('pre-compute all'!J91&gt;$P$3,1,0)</f>
        <v>1</v>
      </c>
    </row>
    <row r="98" spans="1:11" ht="15.75">
      <c r="A98" s="1" t="s">
        <v>187</v>
      </c>
      <c r="B98" s="10" t="s">
        <v>229</v>
      </c>
      <c r="C98" s="8" t="s">
        <v>324</v>
      </c>
      <c r="D98" s="1">
        <v>2</v>
      </c>
      <c r="E98" s="1">
        <v>1</v>
      </c>
      <c r="G98">
        <f>IF('pre-compute all'!E117&gt;$P$3,1,0)</f>
        <v>1</v>
      </c>
      <c r="H98" s="37">
        <f>IF('pre-compute all'!$G$2&gt;$P$3,1,0)</f>
        <v>0</v>
      </c>
      <c r="I98" s="37">
        <f>IF('pre-compute all'!H117&gt;$P$3,1,0)</f>
        <v>0</v>
      </c>
      <c r="J98" s="37">
        <f>IF('pre-compute all'!I117&gt;$P$3,1,0)</f>
        <v>1</v>
      </c>
      <c r="K98" s="37">
        <f>IF('pre-compute all'!J117&gt;$P$3,1,0)</f>
        <v>1</v>
      </c>
    </row>
    <row r="99" spans="1:11" ht="15.75">
      <c r="A99" s="1" t="s">
        <v>211</v>
      </c>
      <c r="B99" s="10" t="s">
        <v>229</v>
      </c>
      <c r="C99" s="8" t="s">
        <v>324</v>
      </c>
      <c r="D99" s="1">
        <v>2</v>
      </c>
      <c r="E99" s="1">
        <v>1</v>
      </c>
      <c r="G99">
        <f>IF('pre-compute all'!E118&gt;$P$3,1,0)</f>
        <v>1</v>
      </c>
      <c r="H99" s="37">
        <f>IF('pre-compute all'!$G$2&gt;$P$3,1,0)</f>
        <v>0</v>
      </c>
      <c r="I99" s="37">
        <f>IF('pre-compute all'!H118&gt;$P$3,1,0)</f>
        <v>0</v>
      </c>
      <c r="J99" s="37">
        <f>IF('pre-compute all'!I118&gt;$P$3,1,0)</f>
        <v>1</v>
      </c>
      <c r="K99" s="37">
        <f>IF('pre-compute all'!J118&gt;$P$3,1,0)</f>
        <v>1</v>
      </c>
    </row>
    <row r="100" spans="1:11" ht="15.75">
      <c r="A100" s="59" t="s">
        <v>217</v>
      </c>
      <c r="B100" s="60" t="s">
        <v>224</v>
      </c>
      <c r="C100" s="61" t="s">
        <v>313</v>
      </c>
      <c r="D100" s="1">
        <v>2</v>
      </c>
      <c r="E100" s="1">
        <v>0</v>
      </c>
      <c r="G100">
        <f>IF('pre-compute all'!E92&gt;$P$3,1,0)</f>
        <v>1</v>
      </c>
      <c r="H100" s="37">
        <f>IF('pre-compute all'!$G$2&gt;$P$3,1,0)</f>
        <v>0</v>
      </c>
      <c r="I100" s="37">
        <f>IF('pre-compute all'!H92&gt;$P$3,1,0)</f>
        <v>0</v>
      </c>
      <c r="J100" s="37">
        <f>IF('pre-compute all'!I92&gt;$P$3,1,0)</f>
        <v>1</v>
      </c>
      <c r="K100" s="37">
        <f>IF('pre-compute all'!J92&gt;$P$3,1,0)</f>
        <v>1</v>
      </c>
    </row>
    <row r="101" spans="1:11" ht="15.75">
      <c r="A101" s="1" t="s">
        <v>219</v>
      </c>
      <c r="B101" s="10" t="s">
        <v>224</v>
      </c>
      <c r="C101" s="8" t="s">
        <v>313</v>
      </c>
      <c r="D101" s="1">
        <v>2</v>
      </c>
      <c r="E101" s="1">
        <v>1</v>
      </c>
      <c r="G101">
        <f>IF('pre-compute all'!E119&gt;$P$3,1,0)</f>
        <v>1</v>
      </c>
      <c r="H101" s="37">
        <f>IF('pre-compute all'!$G$2&gt;$P$3,1,0)</f>
        <v>0</v>
      </c>
      <c r="I101" s="37">
        <f>IF('pre-compute all'!H119&gt;$P$3,1,0)</f>
        <v>0</v>
      </c>
      <c r="J101" s="37">
        <f>IF('pre-compute all'!I119&gt;$P$3,1,0)</f>
        <v>1</v>
      </c>
      <c r="K101" s="37">
        <f>IF('pre-compute all'!J119&gt;$P$3,1,0)</f>
        <v>1</v>
      </c>
    </row>
    <row r="102" spans="1:11" ht="15.75">
      <c r="A102" s="1" t="s">
        <v>187</v>
      </c>
      <c r="B102" s="10" t="s">
        <v>224</v>
      </c>
      <c r="C102" s="8" t="s">
        <v>313</v>
      </c>
      <c r="D102" s="1">
        <v>2</v>
      </c>
      <c r="E102" s="1">
        <v>0</v>
      </c>
      <c r="G102">
        <f>IF('pre-compute all'!E93&gt;$P$3,1,0)</f>
        <v>0</v>
      </c>
      <c r="H102" s="37">
        <f>IF('pre-compute all'!$G$2&gt;$P$3,1,0)</f>
        <v>0</v>
      </c>
      <c r="I102" s="37">
        <f>IF('pre-compute all'!H93&gt;$P$3,1,0)</f>
        <v>0</v>
      </c>
      <c r="J102" s="37">
        <f>IF('pre-compute all'!I93&gt;$P$3,1,0)</f>
        <v>1</v>
      </c>
      <c r="K102" s="37">
        <f>IF('pre-compute all'!J93&gt;$P$3,1,0)</f>
        <v>1</v>
      </c>
    </row>
    <row r="103" spans="1:11" ht="15.75">
      <c r="A103" s="1" t="s">
        <v>218</v>
      </c>
      <c r="B103" s="10" t="s">
        <v>220</v>
      </c>
      <c r="C103" s="8" t="s">
        <v>321</v>
      </c>
      <c r="D103" s="1">
        <v>2</v>
      </c>
      <c r="E103" s="1">
        <v>1</v>
      </c>
      <c r="G103">
        <f>IF('pre-compute all'!E120&gt;$P$3,1,0)</f>
        <v>1</v>
      </c>
      <c r="H103" s="37">
        <f>IF('pre-compute all'!$G$2&gt;$P$3,1,0)</f>
        <v>0</v>
      </c>
      <c r="I103" s="37">
        <f>IF('pre-compute all'!H120&gt;$P$3,1,0)</f>
        <v>0</v>
      </c>
      <c r="J103" s="37">
        <f>IF('pre-compute all'!I120&gt;$P$3,1,0)</f>
        <v>1</v>
      </c>
      <c r="K103" s="37">
        <f>IF('pre-compute all'!J120&gt;$P$3,1,0)</f>
        <v>1</v>
      </c>
    </row>
    <row r="104" spans="1:11" ht="15.75">
      <c r="A104" s="1" t="s">
        <v>187</v>
      </c>
      <c r="B104" s="10" t="s">
        <v>220</v>
      </c>
      <c r="C104" s="8" t="s">
        <v>321</v>
      </c>
      <c r="D104" s="1">
        <v>2</v>
      </c>
      <c r="E104" s="1">
        <v>0</v>
      </c>
      <c r="G104">
        <f>IF('pre-compute all'!E94&gt;$P$3,1,0)</f>
        <v>0</v>
      </c>
      <c r="H104" s="37">
        <f>IF('pre-compute all'!$G$2&gt;$P$3,1,0)</f>
        <v>0</v>
      </c>
      <c r="I104" s="37">
        <f>IF('pre-compute all'!H94&gt;$P$3,1,0)</f>
        <v>0</v>
      </c>
      <c r="J104" s="37">
        <f>IF('pre-compute all'!I94&gt;$P$3,1,0)</f>
        <v>1</v>
      </c>
      <c r="K104" s="37">
        <f>IF('pre-compute all'!J94&gt;$P$3,1,0)</f>
        <v>1</v>
      </c>
    </row>
    <row r="105" spans="1:11" ht="15.75">
      <c r="A105" s="1" t="s">
        <v>216</v>
      </c>
      <c r="B105" s="10" t="s">
        <v>220</v>
      </c>
      <c r="C105" s="8" t="s">
        <v>321</v>
      </c>
      <c r="D105" s="1">
        <v>2</v>
      </c>
      <c r="E105" s="1">
        <v>0</v>
      </c>
      <c r="G105">
        <f>IF('pre-compute all'!E95&gt;$P$3,1,0)</f>
        <v>0</v>
      </c>
      <c r="H105" s="37">
        <f>IF('pre-compute all'!$G$2&gt;$P$3,1,0)</f>
        <v>0</v>
      </c>
      <c r="I105" s="37">
        <f>IF('pre-compute all'!H95&gt;$P$3,1,0)</f>
        <v>0</v>
      </c>
      <c r="J105" s="37">
        <f>IF('pre-compute all'!I95&gt;$P$3,1,0)</f>
        <v>1</v>
      </c>
      <c r="K105" s="37">
        <f>IF('pre-compute all'!J95&gt;$P$3,1,0)</f>
        <v>1</v>
      </c>
    </row>
    <row r="106" spans="1:11" ht="15.75">
      <c r="A106" s="59" t="s">
        <v>211</v>
      </c>
      <c r="B106" s="60" t="s">
        <v>220</v>
      </c>
      <c r="C106" s="61" t="s">
        <v>320</v>
      </c>
      <c r="D106" s="1">
        <v>2</v>
      </c>
      <c r="E106" s="1">
        <v>0.5</v>
      </c>
      <c r="G106">
        <f>IF('pre-compute all'!E110&gt;$P$3,1,0)</f>
        <v>1</v>
      </c>
      <c r="H106" s="37">
        <f>IF('pre-compute all'!$G$2&gt;$P$3,1,0)</f>
        <v>0</v>
      </c>
      <c r="I106" s="37">
        <f>IF('pre-compute all'!H110&gt;$P$3,1,0)</f>
        <v>0</v>
      </c>
      <c r="J106" s="37">
        <f>IF('pre-compute all'!I110&gt;$P$3,1,0)</f>
        <v>1</v>
      </c>
      <c r="K106" s="37">
        <f>IF('pre-compute all'!J110&gt;$P$3,1,0)</f>
        <v>1</v>
      </c>
    </row>
    <row r="107" spans="1:11" ht="15.75">
      <c r="A107" s="1" t="s">
        <v>218</v>
      </c>
      <c r="B107" s="10" t="s">
        <v>231</v>
      </c>
      <c r="C107" s="8" t="s">
        <v>321</v>
      </c>
      <c r="D107" s="1">
        <v>2</v>
      </c>
      <c r="E107" s="1">
        <v>1</v>
      </c>
      <c r="G107">
        <f>IF('pre-compute all'!E121&gt;$P$3,1,0)</f>
        <v>1</v>
      </c>
      <c r="H107" s="37">
        <f>IF('pre-compute all'!$G$2&gt;$P$3,1,0)</f>
        <v>0</v>
      </c>
      <c r="I107" s="37">
        <f>IF('pre-compute all'!H121&gt;$P$3,1,0)</f>
        <v>0</v>
      </c>
      <c r="J107" s="37">
        <f>IF('pre-compute all'!I121&gt;$P$3,1,0)</f>
        <v>1</v>
      </c>
      <c r="K107" s="37">
        <f>IF('pre-compute all'!J121&gt;$P$3,1,0)</f>
        <v>1</v>
      </c>
    </row>
    <row r="108" spans="1:11" ht="15.75">
      <c r="A108" s="1" t="s">
        <v>217</v>
      </c>
      <c r="B108" s="10" t="s">
        <v>231</v>
      </c>
      <c r="C108" s="8" t="s">
        <v>321</v>
      </c>
      <c r="D108" s="1">
        <v>2</v>
      </c>
      <c r="E108" s="1">
        <v>1</v>
      </c>
      <c r="G108">
        <f>IF('pre-compute all'!E122&gt;$P$3,1,0)</f>
        <v>1</v>
      </c>
      <c r="H108" s="37">
        <f>IF('pre-compute all'!$G$2&gt;$P$3,1,0)</f>
        <v>0</v>
      </c>
      <c r="I108" s="37">
        <f>IF('pre-compute all'!H122&gt;$P$3,1,0)</f>
        <v>0</v>
      </c>
      <c r="J108" s="37">
        <f>IF('pre-compute all'!I122&gt;$P$3,1,0)</f>
        <v>1</v>
      </c>
      <c r="K108" s="37">
        <f>IF('pre-compute all'!J122&gt;$P$3,1,0)</f>
        <v>1</v>
      </c>
    </row>
    <row r="109" spans="1:11" ht="15.75">
      <c r="A109" s="62" t="s">
        <v>187</v>
      </c>
      <c r="B109" s="64" t="s">
        <v>231</v>
      </c>
      <c r="C109" s="63" t="s">
        <v>321</v>
      </c>
      <c r="D109" s="1">
        <v>2</v>
      </c>
      <c r="E109" s="1">
        <v>1</v>
      </c>
      <c r="G109">
        <f>IF('pre-compute all'!E123&gt;$P$3,1,0)</f>
        <v>0</v>
      </c>
      <c r="H109" s="37">
        <f>IF('pre-compute all'!$G$2&gt;$P$3,1,0)</f>
        <v>0</v>
      </c>
      <c r="I109" s="37">
        <f>IF('pre-compute all'!H123&gt;$P$3,1,0)</f>
        <v>0</v>
      </c>
      <c r="J109" s="37">
        <f>IF('pre-compute all'!I123&gt;$P$3,1,0)</f>
        <v>1</v>
      </c>
      <c r="K109" s="37">
        <f>IF('pre-compute all'!J123&gt;$P$3,1,0)</f>
        <v>1</v>
      </c>
    </row>
    <row r="110" spans="1:11" ht="15.75">
      <c r="A110" s="1" t="s">
        <v>216</v>
      </c>
      <c r="B110" s="10" t="s">
        <v>231</v>
      </c>
      <c r="C110" s="8" t="s">
        <v>321</v>
      </c>
      <c r="D110" s="1">
        <v>2</v>
      </c>
      <c r="E110" s="1">
        <v>0</v>
      </c>
      <c r="G110">
        <f>IF('pre-compute all'!E96&gt;$P$3,1,0)</f>
        <v>0</v>
      </c>
      <c r="H110" s="37">
        <f>IF('pre-compute all'!$G$2&gt;$P$3,1,0)</f>
        <v>0</v>
      </c>
      <c r="I110" s="37">
        <f>IF('pre-compute all'!H96&gt;$P$3,1,0)</f>
        <v>0</v>
      </c>
      <c r="J110" s="37">
        <f>IF('pre-compute all'!I96&gt;$P$3,1,0)</f>
        <v>1</v>
      </c>
      <c r="K110" s="37">
        <f>IF('pre-compute all'!J96&gt;$P$3,1,0)</f>
        <v>1</v>
      </c>
    </row>
    <row r="111" spans="1:11" ht="15.75">
      <c r="A111" s="59" t="s">
        <v>187</v>
      </c>
      <c r="B111" s="60" t="s">
        <v>225</v>
      </c>
      <c r="C111" s="61" t="s">
        <v>316</v>
      </c>
      <c r="D111" s="1">
        <v>2</v>
      </c>
      <c r="E111" s="1">
        <v>0</v>
      </c>
      <c r="G111">
        <f>IF('pre-compute all'!E97&gt;$P$3,1,0)</f>
        <v>1</v>
      </c>
      <c r="H111" s="37">
        <f>IF('pre-compute all'!$G$2&gt;$P$3,1,0)</f>
        <v>0</v>
      </c>
      <c r="I111" s="37">
        <f>IF('pre-compute all'!H97&gt;$P$3,1,0)</f>
        <v>0</v>
      </c>
      <c r="J111" s="37">
        <f>IF('pre-compute all'!I97&gt;$P$3,1,0)</f>
        <v>1</v>
      </c>
      <c r="K111" s="37">
        <f>IF('pre-compute all'!J97&gt;$P$3,1,0)</f>
        <v>1</v>
      </c>
    </row>
    <row r="112" spans="1:11" ht="15.75">
      <c r="A112" s="1" t="s">
        <v>216</v>
      </c>
      <c r="B112" s="10" t="s">
        <v>225</v>
      </c>
      <c r="C112" s="10" t="s">
        <v>316</v>
      </c>
      <c r="D112" s="1">
        <v>2</v>
      </c>
      <c r="E112" s="1">
        <v>0</v>
      </c>
      <c r="G112">
        <f>IF('pre-compute all'!E98&gt;$P$3,1,0)</f>
        <v>0</v>
      </c>
      <c r="H112" s="37">
        <f>IF('pre-compute all'!$G$2&gt;$P$3,1,0)</f>
        <v>0</v>
      </c>
      <c r="I112" s="37">
        <f>IF('pre-compute all'!H98&gt;$P$3,1,0)</f>
        <v>0</v>
      </c>
      <c r="J112" s="37">
        <f>IF('pre-compute all'!I98&gt;$P$3,1,0)</f>
        <v>1</v>
      </c>
      <c r="K112" s="37">
        <f>IF('pre-compute all'!J98&gt;$P$3,1,0)</f>
        <v>1</v>
      </c>
    </row>
    <row r="113" spans="1:11" ht="15.75">
      <c r="A113" s="1" t="s">
        <v>187</v>
      </c>
      <c r="B113" s="10" t="s">
        <v>226</v>
      </c>
      <c r="C113" s="10" t="s">
        <v>316</v>
      </c>
      <c r="D113" s="1">
        <v>2</v>
      </c>
      <c r="E113" s="1">
        <v>0</v>
      </c>
      <c r="G113">
        <f>IF('pre-compute all'!E99&gt;$P$3,1,0)</f>
        <v>0</v>
      </c>
      <c r="H113" s="37">
        <f>IF('pre-compute all'!$G$2&gt;$P$3,1,0)</f>
        <v>0</v>
      </c>
      <c r="I113" s="37">
        <f>IF('pre-compute all'!H99&gt;$P$3,1,0)</f>
        <v>0</v>
      </c>
      <c r="J113" s="37">
        <f>IF('pre-compute all'!I99&gt;$P$3,1,0)</f>
        <v>1</v>
      </c>
      <c r="K113" s="37">
        <f>IF('pre-compute all'!J99&gt;$P$3,1,0)</f>
        <v>1</v>
      </c>
    </row>
    <row r="114" spans="1:11" ht="15.75">
      <c r="A114" s="1" t="s">
        <v>216</v>
      </c>
      <c r="B114" s="10" t="s">
        <v>226</v>
      </c>
      <c r="C114" s="10" t="s">
        <v>316</v>
      </c>
      <c r="D114" s="1">
        <v>2</v>
      </c>
      <c r="E114" s="1">
        <v>0</v>
      </c>
      <c r="G114">
        <f>IF('pre-compute all'!E100&gt;$P$3,1,0)</f>
        <v>0</v>
      </c>
      <c r="H114" s="37">
        <f>IF('pre-compute all'!$G$2&gt;$P$3,1,0)</f>
        <v>0</v>
      </c>
      <c r="I114" s="37">
        <f>IF('pre-compute all'!H100&gt;$P$3,1,0)</f>
        <v>0</v>
      </c>
      <c r="J114" s="37">
        <f>IF('pre-compute all'!I100&gt;$P$3,1,0)</f>
        <v>1</v>
      </c>
      <c r="K114" s="37">
        <f>IF('pre-compute all'!J100&gt;$P$3,1,0)</f>
        <v>1</v>
      </c>
    </row>
    <row r="115" spans="1:11" ht="15.75">
      <c r="A115" s="1" t="s">
        <v>211</v>
      </c>
      <c r="B115" s="10" t="s">
        <v>226</v>
      </c>
      <c r="C115" s="10" t="s">
        <v>316</v>
      </c>
      <c r="D115" s="1">
        <v>2</v>
      </c>
      <c r="E115" s="1">
        <v>0</v>
      </c>
      <c r="G115">
        <f>IF('pre-compute all'!E101&gt;$P$3,1,0)</f>
        <v>0</v>
      </c>
      <c r="H115" s="37">
        <f>IF('pre-compute all'!$G$2&gt;$P$3,1,0)</f>
        <v>0</v>
      </c>
      <c r="I115" s="37">
        <f>IF('pre-compute all'!H101&gt;$P$3,1,0)</f>
        <v>0</v>
      </c>
      <c r="J115" s="37">
        <f>IF('pre-compute all'!I101&gt;$P$3,1,0)</f>
        <v>1</v>
      </c>
      <c r="K115" s="37">
        <f>IF('pre-compute all'!J101&gt;$P$3,1,0)</f>
        <v>1</v>
      </c>
    </row>
    <row r="116" spans="1:11" ht="15.75">
      <c r="A116" s="1" t="s">
        <v>218</v>
      </c>
      <c r="B116" s="10" t="s">
        <v>232</v>
      </c>
      <c r="C116" s="10" t="s">
        <v>316</v>
      </c>
      <c r="D116" s="1">
        <v>2</v>
      </c>
      <c r="E116" s="1">
        <v>0</v>
      </c>
      <c r="G116">
        <f>IF('pre-compute all'!E102&gt;$P$3,1,0)</f>
        <v>0</v>
      </c>
      <c r="H116" s="37">
        <f>IF('pre-compute all'!$G$2&gt;$P$3,1,0)</f>
        <v>0</v>
      </c>
      <c r="I116" s="37">
        <f>IF('pre-compute all'!H102&gt;$P$3,1,0)</f>
        <v>0</v>
      </c>
      <c r="J116" s="37">
        <f>IF('pre-compute all'!I102&gt;$P$3,1,0)</f>
        <v>1</v>
      </c>
      <c r="K116" s="37">
        <f>IF('pre-compute all'!J102&gt;$P$3,1,0)</f>
        <v>1</v>
      </c>
    </row>
    <row r="117" spans="1:11" ht="15.75">
      <c r="A117" s="1" t="s">
        <v>217</v>
      </c>
      <c r="B117" s="10" t="s">
        <v>232</v>
      </c>
      <c r="C117" s="10" t="s">
        <v>316</v>
      </c>
      <c r="D117" s="1">
        <v>2</v>
      </c>
      <c r="E117" s="1">
        <v>0</v>
      </c>
      <c r="G117">
        <f>IF('pre-compute all'!E103&gt;$P$3,1,0)</f>
        <v>0</v>
      </c>
      <c r="H117" s="37">
        <f>IF('pre-compute all'!$G$2&gt;$P$3,1,0)</f>
        <v>0</v>
      </c>
      <c r="I117" s="37">
        <f>IF('pre-compute all'!H103&gt;$P$3,1,0)</f>
        <v>0</v>
      </c>
      <c r="J117" s="37">
        <f>IF('pre-compute all'!I103&gt;$P$3,1,0)</f>
        <v>1</v>
      </c>
      <c r="K117" s="37">
        <f>IF('pre-compute all'!J103&gt;$P$3,1,0)</f>
        <v>1</v>
      </c>
    </row>
    <row r="118" spans="1:11" ht="15.75">
      <c r="A118" s="1" t="s">
        <v>216</v>
      </c>
      <c r="B118" s="10" t="s">
        <v>232</v>
      </c>
      <c r="C118" s="10" t="s">
        <v>316</v>
      </c>
      <c r="D118" s="1">
        <v>2</v>
      </c>
      <c r="E118" s="1">
        <v>0</v>
      </c>
      <c r="G118">
        <f>IF('pre-compute all'!E104&gt;$P$3,1,0)</f>
        <v>0</v>
      </c>
      <c r="H118" s="37">
        <f>IF('pre-compute all'!$G$2&gt;$P$3,1,0)</f>
        <v>0</v>
      </c>
      <c r="I118" s="37">
        <f>IF('pre-compute all'!H104&gt;$P$3,1,0)</f>
        <v>0</v>
      </c>
      <c r="J118" s="37">
        <f>IF('pre-compute all'!I104&gt;$P$3,1,0)</f>
        <v>1</v>
      </c>
      <c r="K118" s="37">
        <f>IF('pre-compute all'!J104&gt;$P$3,1,0)</f>
        <v>1</v>
      </c>
    </row>
    <row r="119" spans="1:11" ht="15.75">
      <c r="A119" s="1" t="s">
        <v>216</v>
      </c>
      <c r="B119" s="10" t="s">
        <v>234</v>
      </c>
      <c r="C119" s="8" t="s">
        <v>317</v>
      </c>
      <c r="D119" s="1">
        <v>2</v>
      </c>
      <c r="E119" s="1">
        <v>1</v>
      </c>
      <c r="G119">
        <f>IF('pre-compute all'!E124&gt;$P$3,1,0)</f>
        <v>1</v>
      </c>
      <c r="H119" s="37">
        <f>IF('pre-compute all'!$G$2&gt;$P$3,1,0)</f>
        <v>0</v>
      </c>
      <c r="I119" s="37">
        <f>IF('pre-compute all'!H124&gt;$P$3,1,0)</f>
        <v>0</v>
      </c>
      <c r="J119" s="37">
        <f>IF('pre-compute all'!I124&gt;$P$3,1,0)</f>
        <v>1</v>
      </c>
      <c r="K119" s="37">
        <f>IF('pre-compute all'!J124&gt;$P$3,1,0)</f>
        <v>1</v>
      </c>
    </row>
    <row r="120" spans="1:11" ht="15.75">
      <c r="A120" s="1" t="s">
        <v>218</v>
      </c>
      <c r="B120" s="10" t="s">
        <v>164</v>
      </c>
      <c r="C120" s="8" t="s">
        <v>323</v>
      </c>
      <c r="D120" s="1">
        <v>2</v>
      </c>
      <c r="E120" s="1">
        <v>0</v>
      </c>
      <c r="G120">
        <f>IF('pre-compute all'!E105&gt;$P$3,1,0)</f>
        <v>0</v>
      </c>
      <c r="H120" s="37">
        <f>IF('pre-compute all'!$G$2&gt;$P$3,1,0)</f>
        <v>0</v>
      </c>
      <c r="I120" s="37">
        <f>IF('pre-compute all'!H105&gt;$P$3,1,0)</f>
        <v>0</v>
      </c>
      <c r="J120" s="37">
        <f>IF('pre-compute all'!I105&gt;$P$3,1,0)</f>
        <v>1</v>
      </c>
      <c r="K120" s="37">
        <f>IF('pre-compute all'!J105&gt;$P$3,1,0)</f>
        <v>1</v>
      </c>
    </row>
    <row r="121" spans="1:11" ht="15.75">
      <c r="A121" s="1" t="s">
        <v>187</v>
      </c>
      <c r="B121" s="10" t="s">
        <v>164</v>
      </c>
      <c r="C121" s="8" t="s">
        <v>323</v>
      </c>
      <c r="D121" s="1">
        <v>2</v>
      </c>
      <c r="E121" s="1">
        <v>0</v>
      </c>
      <c r="G121">
        <f>IF('pre-compute all'!E106&gt;$P$3,1,0)</f>
        <v>0</v>
      </c>
      <c r="H121" s="37">
        <f>IF('pre-compute all'!$G$2&gt;$P$3,1,0)</f>
        <v>0</v>
      </c>
      <c r="I121" s="37">
        <f>IF('pre-compute all'!H106&gt;$P$3,1,0)</f>
        <v>0</v>
      </c>
      <c r="J121" s="37">
        <f>IF('pre-compute all'!I106&gt;$P$3,1,0)</f>
        <v>1</v>
      </c>
      <c r="K121" s="37">
        <f>IF('pre-compute all'!J106&gt;$P$3,1,0)</f>
        <v>1</v>
      </c>
    </row>
    <row r="122" spans="1:11" ht="15.75">
      <c r="A122" s="1" t="s">
        <v>216</v>
      </c>
      <c r="B122" s="10" t="s">
        <v>164</v>
      </c>
      <c r="C122" s="8" t="s">
        <v>323</v>
      </c>
      <c r="D122" s="1">
        <v>2</v>
      </c>
      <c r="E122" s="1">
        <v>1</v>
      </c>
      <c r="G122">
        <f>IF('pre-compute all'!E125&gt;$P$3,1,0)</f>
        <v>1</v>
      </c>
      <c r="H122" s="37">
        <f>IF('pre-compute all'!$G$2&gt;$P$3,1,0)</f>
        <v>0</v>
      </c>
      <c r="I122" s="37">
        <f>IF('pre-compute all'!H125&gt;$P$3,1,0)</f>
        <v>0</v>
      </c>
      <c r="J122" s="37">
        <f>IF('pre-compute all'!I125&gt;$P$3,1,0)</f>
        <v>1</v>
      </c>
      <c r="K122" s="37">
        <f>IF('pre-compute all'!J125&gt;$P$3,1,0)</f>
        <v>1</v>
      </c>
    </row>
    <row r="123" spans="1:11" ht="15.75">
      <c r="A123" s="1" t="s">
        <v>211</v>
      </c>
      <c r="B123" s="10" t="s">
        <v>164</v>
      </c>
      <c r="C123" s="8" t="s">
        <v>323</v>
      </c>
      <c r="D123" s="1">
        <v>2</v>
      </c>
      <c r="E123" s="1">
        <v>0</v>
      </c>
      <c r="G123">
        <f>IF('pre-compute all'!E107&gt;$P$3,1,0)</f>
        <v>0</v>
      </c>
      <c r="H123" s="37">
        <f>IF('pre-compute all'!$G$2&gt;$P$3,1,0)</f>
        <v>0</v>
      </c>
      <c r="I123" s="37">
        <f>IF('pre-compute all'!H107&gt;$P$3,1,0)</f>
        <v>0</v>
      </c>
      <c r="J123" s="37">
        <f>IF('pre-compute all'!I107&gt;$P$3,1,0)</f>
        <v>1</v>
      </c>
      <c r="K123" s="37">
        <f>IF('pre-compute all'!J107&gt;$P$3,1,0)</f>
        <v>1</v>
      </c>
    </row>
    <row r="124" spans="1:11" ht="15.75">
      <c r="A124" s="59" t="s">
        <v>187</v>
      </c>
      <c r="B124" s="60" t="s">
        <v>48</v>
      </c>
      <c r="C124" s="61" t="s">
        <v>316</v>
      </c>
      <c r="D124" s="1">
        <v>2</v>
      </c>
      <c r="E124" s="1">
        <v>0</v>
      </c>
      <c r="G124">
        <f>IF('pre-compute all'!E108&gt;$P$3,1,0)</f>
        <v>1</v>
      </c>
      <c r="H124" s="37">
        <f>IF('pre-compute all'!$G$2&gt;$P$3,1,0)</f>
        <v>0</v>
      </c>
      <c r="I124" s="37">
        <f>IF('pre-compute all'!H108&gt;$P$3,1,0)</f>
        <v>0</v>
      </c>
      <c r="J124" s="37">
        <f>IF('pre-compute all'!I108&gt;$P$3,1,0)</f>
        <v>1</v>
      </c>
      <c r="K124" s="37">
        <f>IF('pre-compute all'!J108&gt;$P$3,1,0)</f>
        <v>1</v>
      </c>
    </row>
    <row r="125" spans="1:11" ht="15.75">
      <c r="A125" s="1" t="s">
        <v>216</v>
      </c>
      <c r="B125" s="10" t="s">
        <v>48</v>
      </c>
      <c r="C125" s="8" t="s">
        <v>317</v>
      </c>
      <c r="D125" s="1">
        <v>2</v>
      </c>
      <c r="E125" s="1">
        <v>1</v>
      </c>
      <c r="G125">
        <f>IF('pre-compute all'!E126&gt;$P$3,1,0)</f>
        <v>1</v>
      </c>
      <c r="H125" s="37">
        <f>IF('pre-compute all'!$G$2&gt;$P$3,1,0)</f>
        <v>0</v>
      </c>
      <c r="I125" s="37">
        <f>IF('pre-compute all'!H126&gt;$P$3,1,0)</f>
        <v>0</v>
      </c>
      <c r="J125" s="37">
        <f>IF('pre-compute all'!I126&gt;$P$3,1,0)</f>
        <v>1</v>
      </c>
      <c r="K125" s="37">
        <f>IF('pre-compute all'!J126&gt;$P$3,1,0)</f>
        <v>1</v>
      </c>
    </row>
    <row r="126" spans="1:11" ht="15.75">
      <c r="A126" s="1" t="s">
        <v>211</v>
      </c>
      <c r="B126" s="10" t="s">
        <v>48</v>
      </c>
      <c r="C126" s="8" t="s">
        <v>323</v>
      </c>
      <c r="D126" s="1">
        <v>2</v>
      </c>
      <c r="E126" s="1">
        <v>0</v>
      </c>
      <c r="G126">
        <f>IF('pre-compute all'!E109&gt;$P$3,1,0)</f>
        <v>0</v>
      </c>
      <c r="H126" s="37">
        <f>IF('pre-compute all'!$G$2&gt;$P$3,1,0)</f>
        <v>0</v>
      </c>
      <c r="I126" s="37">
        <f>IF('pre-compute all'!H109&gt;$P$3,1,0)</f>
        <v>0</v>
      </c>
      <c r="J126" s="37">
        <f>IF('pre-compute all'!I109&gt;$P$3,1,0)</f>
        <v>1</v>
      </c>
      <c r="K126" s="37">
        <f>IF('pre-compute all'!J109&gt;$P$3,1,0)</f>
        <v>1</v>
      </c>
    </row>
    <row r="127" spans="1:11" ht="15.75">
      <c r="A127" s="62" t="s">
        <v>217</v>
      </c>
      <c r="B127" s="64" t="s">
        <v>255</v>
      </c>
      <c r="C127" s="63" t="s">
        <v>317</v>
      </c>
      <c r="D127" s="1">
        <v>3</v>
      </c>
      <c r="E127" s="1">
        <v>1</v>
      </c>
      <c r="G127">
        <f>IF('pre-compute all'!E185&gt;$Q$3,1,0)</f>
        <v>0</v>
      </c>
      <c r="H127" s="37">
        <f>IF('pre-compute all'!$G$2&gt;$Q$3,1,0)</f>
        <v>0</v>
      </c>
      <c r="I127" s="37">
        <f>IF('pre-compute all'!H185&gt;$Q$3,1,0)</f>
        <v>0</v>
      </c>
      <c r="J127" s="37">
        <f>IF('pre-compute all'!I185&gt;$Q$3,1,0)</f>
        <v>1</v>
      </c>
      <c r="K127" s="37">
        <f>IF('pre-compute all'!J185&gt;$Q$3,1,0)</f>
        <v>1</v>
      </c>
    </row>
    <row r="128" spans="1:11" ht="15.75">
      <c r="A128" s="1" t="s">
        <v>187</v>
      </c>
      <c r="B128" s="10" t="s">
        <v>255</v>
      </c>
      <c r="C128" s="8" t="s">
        <v>317</v>
      </c>
      <c r="D128" s="1">
        <v>3</v>
      </c>
      <c r="E128" s="1">
        <v>0</v>
      </c>
      <c r="G128">
        <f>IF('pre-compute all'!E127&gt;$Q$3,1,0)</f>
        <v>0</v>
      </c>
      <c r="H128" s="37">
        <f>IF('pre-compute all'!$G$2&gt;$Q$3,1,0)</f>
        <v>0</v>
      </c>
      <c r="I128" s="37">
        <f>IF('pre-compute all'!H127&gt;$Q$3,1,0)</f>
        <v>0</v>
      </c>
      <c r="J128" s="37">
        <f>IF('pre-compute all'!I127&gt;$Q$3,1,0)</f>
        <v>1</v>
      </c>
      <c r="K128" s="37">
        <f>IF('pre-compute all'!J127&gt;$Q$3,1,0)</f>
        <v>1</v>
      </c>
    </row>
    <row r="129" spans="1:11" ht="15.75">
      <c r="A129" s="1" t="s">
        <v>216</v>
      </c>
      <c r="B129" s="10" t="s">
        <v>255</v>
      </c>
      <c r="C129" s="8" t="s">
        <v>323</v>
      </c>
      <c r="D129" s="1">
        <v>3</v>
      </c>
      <c r="E129" s="1">
        <v>0</v>
      </c>
      <c r="G129">
        <f>IF('pre-compute all'!E128&gt;$Q$3,1,0)</f>
        <v>0</v>
      </c>
      <c r="H129" s="37">
        <f>IF('pre-compute all'!$G$2&gt;$Q$3,1,0)</f>
        <v>0</v>
      </c>
      <c r="I129" s="37">
        <f>IF('pre-compute all'!H128&gt;$Q$3,1,0)</f>
        <v>0</v>
      </c>
      <c r="J129" s="37">
        <f>IF('pre-compute all'!I128&gt;$Q$3,1,0)</f>
        <v>1</v>
      </c>
      <c r="K129" s="37">
        <f>IF('pre-compute all'!J128&gt;$Q$3,1,0)</f>
        <v>1</v>
      </c>
    </row>
    <row r="130" spans="1:11" ht="15.75">
      <c r="A130" s="62" t="s">
        <v>217</v>
      </c>
      <c r="B130" s="64" t="s">
        <v>248</v>
      </c>
      <c r="C130" s="63" t="s">
        <v>323</v>
      </c>
      <c r="D130" s="1">
        <v>3</v>
      </c>
      <c r="E130" s="1">
        <v>1</v>
      </c>
      <c r="G130">
        <f>IF('pre-compute all'!E186&gt;$Q$3,1,0)</f>
        <v>0</v>
      </c>
      <c r="H130" s="37">
        <f>IF('pre-compute all'!$G$2&gt;$Q$3,1,0)</f>
        <v>0</v>
      </c>
      <c r="I130" s="37">
        <f>IF('pre-compute all'!H186&gt;$Q$3,1,0)</f>
        <v>0</v>
      </c>
      <c r="J130" s="37">
        <f>IF('pre-compute all'!I186&gt;$Q$3,1,0)</f>
        <v>1</v>
      </c>
      <c r="K130" s="37">
        <f>IF('pre-compute all'!J186&gt;$Q$3,1,0)</f>
        <v>1</v>
      </c>
    </row>
    <row r="131" spans="1:11" ht="15.75">
      <c r="A131" s="1" t="s">
        <v>187</v>
      </c>
      <c r="B131" s="10" t="s">
        <v>248</v>
      </c>
      <c r="C131" s="8" t="s">
        <v>330</v>
      </c>
      <c r="D131" s="1">
        <v>3</v>
      </c>
      <c r="E131" s="1">
        <v>0</v>
      </c>
      <c r="G131">
        <f>IF('pre-compute all'!E129&gt;$Q$3,1,0)</f>
        <v>0</v>
      </c>
      <c r="H131" s="37">
        <f>IF('pre-compute all'!$G$2&gt;$Q$3,1,0)</f>
        <v>0</v>
      </c>
      <c r="I131" s="37">
        <f>IF('pre-compute all'!H129&gt;$Q$3,1,0)</f>
        <v>0</v>
      </c>
      <c r="J131" s="37">
        <f>IF('pre-compute all'!I129&gt;$Q$3,1,0)</f>
        <v>1</v>
      </c>
      <c r="K131" s="37">
        <f>IF('pre-compute all'!J129&gt;$Q$3,1,0)</f>
        <v>1</v>
      </c>
    </row>
    <row r="132" spans="1:11" ht="15.75">
      <c r="A132" s="1" t="s">
        <v>216</v>
      </c>
      <c r="B132" s="10" t="s">
        <v>248</v>
      </c>
      <c r="C132" s="8" t="s">
        <v>323</v>
      </c>
      <c r="D132" s="1">
        <v>3</v>
      </c>
      <c r="E132" s="1">
        <v>0</v>
      </c>
      <c r="G132">
        <f>IF('pre-compute all'!E130&gt;$Q$3,1,0)</f>
        <v>0</v>
      </c>
      <c r="H132" s="37">
        <f>IF('pre-compute all'!$G$2&gt;$Q$3,1,0)</f>
        <v>0</v>
      </c>
      <c r="I132" s="37">
        <f>IF('pre-compute all'!H130&gt;$Q$3,1,0)</f>
        <v>0</v>
      </c>
      <c r="J132" s="37">
        <f>IF('pre-compute all'!I130&gt;$Q$3,1,0)</f>
        <v>1</v>
      </c>
      <c r="K132" s="37">
        <f>IF('pre-compute all'!J130&gt;$Q$3,1,0)</f>
        <v>1</v>
      </c>
    </row>
    <row r="133" spans="1:11" ht="15.75">
      <c r="A133" s="1" t="s">
        <v>211</v>
      </c>
      <c r="B133" s="10" t="s">
        <v>248</v>
      </c>
      <c r="C133" s="8" t="s">
        <v>323</v>
      </c>
      <c r="D133" s="1">
        <v>3</v>
      </c>
      <c r="E133" s="1">
        <v>0</v>
      </c>
      <c r="G133">
        <f>IF('pre-compute all'!E131&gt;$Q$3,1,0)</f>
        <v>0</v>
      </c>
      <c r="H133" s="37">
        <f>IF('pre-compute all'!$G$2&gt;$Q$3,1,0)</f>
        <v>0</v>
      </c>
      <c r="I133" s="37">
        <f>IF('pre-compute all'!H131&gt;$Q$3,1,0)</f>
        <v>0</v>
      </c>
      <c r="J133" s="37">
        <f>IF('pre-compute all'!I131&gt;$Q$3,1,0)</f>
        <v>1</v>
      </c>
      <c r="K133" s="37">
        <f>IF('pre-compute all'!J131&gt;$Q$3,1,0)</f>
        <v>1</v>
      </c>
    </row>
    <row r="134" spans="1:11" ht="15.75">
      <c r="A134" s="62" t="s">
        <v>217</v>
      </c>
      <c r="B134" s="64" t="s">
        <v>254</v>
      </c>
      <c r="C134" s="63" t="s">
        <v>317</v>
      </c>
      <c r="D134" s="1">
        <v>3</v>
      </c>
      <c r="E134" s="1">
        <v>1</v>
      </c>
      <c r="G134">
        <f>IF('pre-compute all'!E187&gt;$Q$3,1,0)</f>
        <v>0</v>
      </c>
      <c r="H134" s="37">
        <f>IF('pre-compute all'!$G$2&gt;$Q$3,1,0)</f>
        <v>0</v>
      </c>
      <c r="I134" s="37">
        <f>IF('pre-compute all'!H187&gt;$Q$3,1,0)</f>
        <v>0</v>
      </c>
      <c r="J134" s="37">
        <f>IF('pre-compute all'!I187&gt;$Q$3,1,0)</f>
        <v>1</v>
      </c>
      <c r="K134" s="37">
        <f>IF('pre-compute all'!J187&gt;$Q$3,1,0)</f>
        <v>1</v>
      </c>
    </row>
    <row r="135" spans="1:11" ht="15.75">
      <c r="A135" s="1" t="s">
        <v>187</v>
      </c>
      <c r="B135" s="10" t="s">
        <v>254</v>
      </c>
      <c r="C135" s="8" t="s">
        <v>317</v>
      </c>
      <c r="D135" s="1">
        <v>3</v>
      </c>
      <c r="E135" s="1">
        <v>0</v>
      </c>
      <c r="G135">
        <f>IF('pre-compute all'!E132&gt;$Q$3,1,0)</f>
        <v>0</v>
      </c>
      <c r="H135" s="37">
        <f>IF('pre-compute all'!$G$2&gt;$Q$3,1,0)</f>
        <v>0</v>
      </c>
      <c r="I135" s="37">
        <f>IF('pre-compute all'!H132&gt;$Q$3,1,0)</f>
        <v>0</v>
      </c>
      <c r="J135" s="37">
        <f>IF('pre-compute all'!I132&gt;$Q$3,1,0)</f>
        <v>1</v>
      </c>
      <c r="K135" s="37">
        <f>IF('pre-compute all'!J132&gt;$Q$3,1,0)</f>
        <v>1</v>
      </c>
    </row>
    <row r="136" spans="1:11" ht="15.75">
      <c r="A136" s="1" t="s">
        <v>216</v>
      </c>
      <c r="B136" s="10" t="s">
        <v>254</v>
      </c>
      <c r="C136" s="8" t="s">
        <v>317</v>
      </c>
      <c r="D136" s="1">
        <v>3</v>
      </c>
      <c r="E136" s="1">
        <v>0</v>
      </c>
      <c r="G136">
        <f>IF('pre-compute all'!E133&gt;$Q$3,1,0)</f>
        <v>0</v>
      </c>
      <c r="H136" s="37">
        <f>IF('pre-compute all'!$G$2&gt;$Q$3,1,0)</f>
        <v>0</v>
      </c>
      <c r="I136" s="37">
        <f>IF('pre-compute all'!H133&gt;$Q$3,1,0)</f>
        <v>0</v>
      </c>
      <c r="J136" s="37">
        <f>IF('pre-compute all'!I133&gt;$Q$3,1,0)</f>
        <v>1</v>
      </c>
      <c r="K136" s="37">
        <f>IF('pre-compute all'!J133&gt;$Q$3,1,0)</f>
        <v>1</v>
      </c>
    </row>
    <row r="137" spans="1:11" ht="15.75">
      <c r="A137" s="1" t="s">
        <v>211</v>
      </c>
      <c r="B137" s="10" t="s">
        <v>254</v>
      </c>
      <c r="C137" s="8" t="s">
        <v>317</v>
      </c>
      <c r="D137" s="1">
        <v>3</v>
      </c>
      <c r="E137" s="1">
        <v>0</v>
      </c>
      <c r="G137">
        <f>IF('pre-compute all'!E134&gt;$Q$3,1,0)</f>
        <v>0</v>
      </c>
      <c r="H137" s="37">
        <f>IF('pre-compute all'!$G$2&gt;$Q$3,1,0)</f>
        <v>0</v>
      </c>
      <c r="I137" s="37">
        <f>IF('pre-compute all'!H134&gt;$Q$3,1,0)</f>
        <v>0</v>
      </c>
      <c r="J137" s="37">
        <f>IF('pre-compute all'!I134&gt;$Q$3,1,0)</f>
        <v>0</v>
      </c>
      <c r="K137" s="37">
        <f>IF('pre-compute all'!J134&gt;$Q$3,1,0)</f>
        <v>1</v>
      </c>
    </row>
    <row r="138" spans="1:11" ht="15.75">
      <c r="A138" s="1" t="s">
        <v>217</v>
      </c>
      <c r="B138" s="10" t="s">
        <v>249</v>
      </c>
      <c r="C138" s="8" t="s">
        <v>317</v>
      </c>
      <c r="D138" s="1">
        <v>3</v>
      </c>
      <c r="E138" s="1">
        <v>0</v>
      </c>
      <c r="G138">
        <f>IF('pre-compute all'!E135&gt;$Q$3,1,0)</f>
        <v>0</v>
      </c>
      <c r="H138" s="37">
        <f>IF('pre-compute all'!$G$2&gt;$Q$3,1,0)</f>
        <v>0</v>
      </c>
      <c r="I138" s="37">
        <f>IF('pre-compute all'!H135&gt;$Q$3,1,0)</f>
        <v>0</v>
      </c>
      <c r="J138" s="37">
        <f>IF('pre-compute all'!I135&gt;$Q$3,1,0)</f>
        <v>1</v>
      </c>
      <c r="K138" s="37">
        <f>IF('pre-compute all'!J135&gt;$Q$3,1,0)</f>
        <v>1</v>
      </c>
    </row>
    <row r="139" spans="1:11" ht="15.75">
      <c r="A139" s="1" t="s">
        <v>219</v>
      </c>
      <c r="B139" s="10" t="s">
        <v>249</v>
      </c>
      <c r="C139" s="8" t="s">
        <v>317</v>
      </c>
      <c r="D139" s="1">
        <v>3</v>
      </c>
      <c r="E139" s="1">
        <v>1</v>
      </c>
      <c r="G139">
        <f>IF('pre-compute all'!E188&gt;$Q$3,1,0)</f>
        <v>1</v>
      </c>
      <c r="H139" s="37">
        <f>IF('pre-compute all'!$G$2&gt;$Q$3,1,0)</f>
        <v>0</v>
      </c>
      <c r="I139" s="37">
        <f>IF('pre-compute all'!H188&gt;$Q$3,1,0)</f>
        <v>0</v>
      </c>
      <c r="J139" s="37">
        <f>IF('pre-compute all'!I188&gt;$Q$3,1,0)</f>
        <v>1</v>
      </c>
      <c r="K139" s="37">
        <f>IF('pre-compute all'!J188&gt;$Q$3,1,0)</f>
        <v>1</v>
      </c>
    </row>
    <row r="140" spans="1:11" ht="15.75">
      <c r="A140" s="1" t="s">
        <v>187</v>
      </c>
      <c r="B140" s="10" t="s">
        <v>249</v>
      </c>
      <c r="C140" s="8" t="s">
        <v>317</v>
      </c>
      <c r="D140" s="1">
        <v>3</v>
      </c>
      <c r="E140" s="1">
        <v>0</v>
      </c>
      <c r="G140">
        <f>IF('pre-compute all'!E136&gt;$Q$3,1,0)</f>
        <v>0</v>
      </c>
      <c r="H140" s="37">
        <f>IF('pre-compute all'!$G$2&gt;$Q$3,1,0)</f>
        <v>0</v>
      </c>
      <c r="I140" s="37">
        <f>IF('pre-compute all'!H136&gt;$Q$3,1,0)</f>
        <v>0</v>
      </c>
      <c r="J140" s="37">
        <f>IF('pre-compute all'!I136&gt;$Q$3,1,0)</f>
        <v>1</v>
      </c>
      <c r="K140" s="37">
        <f>IF('pre-compute all'!J136&gt;$Q$3,1,0)</f>
        <v>1</v>
      </c>
    </row>
    <row r="141" spans="1:11" ht="15.75">
      <c r="A141" s="1" t="s">
        <v>216</v>
      </c>
      <c r="B141" s="10" t="s">
        <v>249</v>
      </c>
      <c r="C141" s="8" t="s">
        <v>317</v>
      </c>
      <c r="D141" s="1">
        <v>3</v>
      </c>
      <c r="E141" s="1">
        <v>0</v>
      </c>
      <c r="G141">
        <f>IF('pre-compute all'!E137&gt;$Q$3,1,0)</f>
        <v>0</v>
      </c>
      <c r="H141" s="37">
        <f>IF('pre-compute all'!$G$2&gt;$Q$3,1,0)</f>
        <v>0</v>
      </c>
      <c r="I141" s="37">
        <f>IF('pre-compute all'!H137&gt;$Q$3,1,0)</f>
        <v>0</v>
      </c>
      <c r="J141" s="37">
        <f>IF('pre-compute all'!I137&gt;$Q$3,1,0)</f>
        <v>1</v>
      </c>
      <c r="K141" s="37">
        <f>IF('pre-compute all'!J137&gt;$Q$3,1,0)</f>
        <v>1</v>
      </c>
    </row>
    <row r="142" spans="1:11" ht="15.75">
      <c r="A142" s="1" t="s">
        <v>217</v>
      </c>
      <c r="B142" s="10" t="s">
        <v>252</v>
      </c>
      <c r="C142" s="8" t="s">
        <v>317</v>
      </c>
      <c r="D142" s="1">
        <v>3</v>
      </c>
      <c r="E142" s="1">
        <v>0</v>
      </c>
      <c r="G142">
        <f>IF('pre-compute all'!E138&gt;$Q$3,1,0)</f>
        <v>0</v>
      </c>
      <c r="H142" s="37">
        <f>IF('pre-compute all'!$G$2&gt;$Q$3,1,0)</f>
        <v>0</v>
      </c>
      <c r="I142" s="37">
        <f>IF('pre-compute all'!H138&gt;$Q$3,1,0)</f>
        <v>0</v>
      </c>
      <c r="J142" s="37">
        <f>IF('pre-compute all'!I138&gt;$Q$3,1,0)</f>
        <v>0</v>
      </c>
      <c r="K142" s="37">
        <f>IF('pre-compute all'!J138&gt;$Q$3,1,0)</f>
        <v>1</v>
      </c>
    </row>
    <row r="143" spans="1:11" ht="15.75">
      <c r="A143" s="1" t="s">
        <v>187</v>
      </c>
      <c r="B143" s="10" t="s">
        <v>252</v>
      </c>
      <c r="C143" s="8" t="s">
        <v>317</v>
      </c>
      <c r="D143" s="1">
        <v>3</v>
      </c>
      <c r="E143" s="1">
        <v>1</v>
      </c>
      <c r="G143">
        <f>IF('pre-compute all'!E189&gt;$Q$3,1,0)</f>
        <v>1</v>
      </c>
      <c r="H143" s="37">
        <f>IF('pre-compute all'!$G$2&gt;$Q$3,1,0)</f>
        <v>0</v>
      </c>
      <c r="I143" s="37">
        <f>IF('pre-compute all'!H189&gt;$Q$3,1,0)</f>
        <v>0</v>
      </c>
      <c r="J143" s="37">
        <f>IF('pre-compute all'!I189&gt;$Q$3,1,0)</f>
        <v>1</v>
      </c>
      <c r="K143" s="37">
        <f>IF('pre-compute all'!J189&gt;$Q$3,1,0)</f>
        <v>1</v>
      </c>
    </row>
    <row r="144" spans="1:11" ht="15.75">
      <c r="A144" s="1" t="s">
        <v>216</v>
      </c>
      <c r="B144" s="10" t="s">
        <v>252</v>
      </c>
      <c r="C144" s="8" t="s">
        <v>317</v>
      </c>
      <c r="D144" s="1">
        <v>3</v>
      </c>
      <c r="E144" s="1">
        <v>0</v>
      </c>
      <c r="G144">
        <f>IF('pre-compute all'!E139&gt;$Q$3,1,0)</f>
        <v>0</v>
      </c>
      <c r="H144" s="37">
        <f>IF('pre-compute all'!$G$2&gt;$Q$3,1,0)</f>
        <v>0</v>
      </c>
      <c r="I144" s="37">
        <f>IF('pre-compute all'!H139&gt;$Q$3,1,0)</f>
        <v>0</v>
      </c>
      <c r="J144" s="37">
        <f>IF('pre-compute all'!I139&gt;$Q$3,1,0)</f>
        <v>1</v>
      </c>
      <c r="K144" s="37">
        <f>IF('pre-compute all'!J139&gt;$Q$3,1,0)</f>
        <v>1</v>
      </c>
    </row>
    <row r="145" spans="1:11" ht="15.75">
      <c r="A145" s="1" t="s">
        <v>211</v>
      </c>
      <c r="B145" s="10" t="s">
        <v>252</v>
      </c>
      <c r="C145" s="8" t="s">
        <v>323</v>
      </c>
      <c r="D145" s="1">
        <v>3</v>
      </c>
      <c r="E145" s="1">
        <v>0</v>
      </c>
      <c r="G145">
        <f>IF('pre-compute all'!E140&gt;$Q$3,1,0)</f>
        <v>0</v>
      </c>
      <c r="H145" s="37">
        <f>IF('pre-compute all'!$G$2&gt;$Q$3,1,0)</f>
        <v>0</v>
      </c>
      <c r="I145" s="37">
        <f>IF('pre-compute all'!H140&gt;$Q$3,1,0)</f>
        <v>0</v>
      </c>
      <c r="J145" s="37">
        <f>IF('pre-compute all'!I140&gt;$Q$3,1,0)</f>
        <v>1</v>
      </c>
      <c r="K145" s="37">
        <f>IF('pre-compute all'!J140&gt;$Q$3,1,0)</f>
        <v>1</v>
      </c>
    </row>
    <row r="146" spans="1:11" ht="15.75">
      <c r="A146" s="1" t="s">
        <v>187</v>
      </c>
      <c r="B146" s="10" t="s">
        <v>238</v>
      </c>
      <c r="C146" s="6" t="s">
        <v>333</v>
      </c>
      <c r="D146" s="1">
        <v>3</v>
      </c>
      <c r="E146" s="1">
        <v>0</v>
      </c>
      <c r="G146">
        <f>IF('pre-compute all'!E141&gt;$Q$3,1,0)</f>
        <v>0</v>
      </c>
      <c r="H146" s="37">
        <f>IF('pre-compute all'!$G$2&gt;$Q$3,1,0)</f>
        <v>0</v>
      </c>
      <c r="I146" s="37">
        <f>IF('pre-compute all'!H141&gt;$Q$3,1,0)</f>
        <v>0</v>
      </c>
      <c r="J146" s="37">
        <f>IF('pre-compute all'!I141&gt;$Q$3,1,0)</f>
        <v>1</v>
      </c>
      <c r="K146" s="37">
        <f>IF('pre-compute all'!J141&gt;$Q$3,1,0)</f>
        <v>1</v>
      </c>
    </row>
    <row r="147" spans="1:11" ht="15.75">
      <c r="A147" s="1" t="s">
        <v>216</v>
      </c>
      <c r="B147" s="10" t="s">
        <v>238</v>
      </c>
      <c r="C147" s="6" t="s">
        <v>333</v>
      </c>
      <c r="D147" s="1">
        <v>3</v>
      </c>
      <c r="E147" s="1">
        <v>0</v>
      </c>
      <c r="G147">
        <f>IF('pre-compute all'!E142&gt;$Q$3,1,0)</f>
        <v>0</v>
      </c>
      <c r="H147" s="37">
        <f>IF('pre-compute all'!$G$2&gt;$Q$3,1,0)</f>
        <v>0</v>
      </c>
      <c r="I147" s="37">
        <f>IF('pre-compute all'!H142&gt;$Q$3,1,0)</f>
        <v>0</v>
      </c>
      <c r="J147" s="37">
        <f>IF('pre-compute all'!I142&gt;$Q$3,1,0)</f>
        <v>1</v>
      </c>
      <c r="K147" s="37">
        <f>IF('pre-compute all'!J142&gt;$Q$3,1,0)</f>
        <v>1</v>
      </c>
    </row>
    <row r="148" spans="1:11" ht="15.75">
      <c r="A148" s="1" t="s">
        <v>211</v>
      </c>
      <c r="B148" s="10" t="s">
        <v>238</v>
      </c>
      <c r="C148" s="6" t="s">
        <v>333</v>
      </c>
      <c r="D148" s="1">
        <v>3</v>
      </c>
      <c r="E148" s="1">
        <v>0</v>
      </c>
      <c r="G148">
        <f>IF('pre-compute all'!E143&gt;$Q$3,1,0)</f>
        <v>0</v>
      </c>
      <c r="H148" s="37">
        <f>IF('pre-compute all'!$G$2&gt;$Q$3,1,0)</f>
        <v>0</v>
      </c>
      <c r="I148" s="37">
        <f>IF('pre-compute all'!H143&gt;$Q$3,1,0)</f>
        <v>0</v>
      </c>
      <c r="J148" s="37">
        <f>IF('pre-compute all'!I143&gt;$Q$3,1,0)</f>
        <v>0</v>
      </c>
      <c r="K148" s="37">
        <f>IF('pre-compute all'!J143&gt;$Q$3,1,0)</f>
        <v>1</v>
      </c>
    </row>
    <row r="149" spans="1:11" ht="15.75">
      <c r="A149" s="1" t="s">
        <v>187</v>
      </c>
      <c r="B149" s="10" t="s">
        <v>237</v>
      </c>
      <c r="C149" s="6" t="s">
        <v>333</v>
      </c>
      <c r="D149" s="1">
        <v>3</v>
      </c>
      <c r="E149" s="1">
        <v>0</v>
      </c>
      <c r="G149">
        <f>IF('pre-compute all'!E144&gt;$Q$3,1,0)</f>
        <v>0</v>
      </c>
      <c r="H149" s="37">
        <f>IF('pre-compute all'!$G$2&gt;$Q$3,1,0)</f>
        <v>0</v>
      </c>
      <c r="I149" s="37">
        <f>IF('pre-compute all'!H144&gt;$Q$3,1,0)</f>
        <v>0</v>
      </c>
      <c r="J149" s="37">
        <f>IF('pre-compute all'!I144&gt;$Q$3,1,0)</f>
        <v>1</v>
      </c>
      <c r="K149" s="37">
        <f>IF('pre-compute all'!J144&gt;$Q$3,1,0)</f>
        <v>1</v>
      </c>
    </row>
    <row r="150" spans="1:11" ht="15.75">
      <c r="A150" s="1" t="s">
        <v>216</v>
      </c>
      <c r="B150" s="10" t="s">
        <v>237</v>
      </c>
      <c r="C150" s="6" t="s">
        <v>333</v>
      </c>
      <c r="D150" s="1">
        <v>3</v>
      </c>
      <c r="E150" s="1">
        <v>0</v>
      </c>
      <c r="G150">
        <f>IF('pre-compute all'!E145&gt;$Q$3,1,0)</f>
        <v>0</v>
      </c>
      <c r="H150" s="37">
        <f>IF('pre-compute all'!$G$2&gt;$Q$3,1,0)</f>
        <v>0</v>
      </c>
      <c r="I150" s="37">
        <f>IF('pre-compute all'!H145&gt;$Q$3,1,0)</f>
        <v>0</v>
      </c>
      <c r="J150" s="37">
        <f>IF('pre-compute all'!I145&gt;$Q$3,1,0)</f>
        <v>1</v>
      </c>
      <c r="K150" s="37">
        <f>IF('pre-compute all'!J145&gt;$Q$3,1,0)</f>
        <v>1</v>
      </c>
    </row>
    <row r="151" spans="1:11" ht="15.75">
      <c r="A151" s="1" t="s">
        <v>187</v>
      </c>
      <c r="B151" s="10" t="s">
        <v>247</v>
      </c>
      <c r="C151" s="6" t="s">
        <v>333</v>
      </c>
      <c r="D151" s="1">
        <v>3</v>
      </c>
      <c r="E151" s="1">
        <v>0</v>
      </c>
      <c r="G151">
        <f>IF('pre-compute all'!E146&gt;$Q$3,1,0)</f>
        <v>0</v>
      </c>
      <c r="H151" s="37">
        <f>IF('pre-compute all'!$G$2&gt;$Q$3,1,0)</f>
        <v>0</v>
      </c>
      <c r="I151" s="37">
        <f>IF('pre-compute all'!H146&gt;$Q$3,1,0)</f>
        <v>0</v>
      </c>
      <c r="J151" s="37">
        <f>IF('pre-compute all'!I146&gt;$Q$3,1,0)</f>
        <v>1</v>
      </c>
      <c r="K151" s="37">
        <f>IF('pre-compute all'!J146&gt;$Q$3,1,0)</f>
        <v>1</v>
      </c>
    </row>
    <row r="152" spans="1:11" ht="15.75">
      <c r="A152" s="1" t="s">
        <v>216</v>
      </c>
      <c r="B152" s="10" t="s">
        <v>247</v>
      </c>
      <c r="C152" s="6" t="s">
        <v>333</v>
      </c>
      <c r="D152" s="1">
        <v>3</v>
      </c>
      <c r="E152" s="1">
        <v>0</v>
      </c>
      <c r="G152">
        <f>IF('pre-compute all'!E147&gt;$Q$3,1,0)</f>
        <v>0</v>
      </c>
      <c r="H152" s="37">
        <f>IF('pre-compute all'!$G$2&gt;$Q$3,1,0)</f>
        <v>0</v>
      </c>
      <c r="I152" s="37">
        <f>IF('pre-compute all'!H147&gt;$Q$3,1,0)</f>
        <v>0</v>
      </c>
      <c r="J152" s="37">
        <f>IF('pre-compute all'!I147&gt;$Q$3,1,0)</f>
        <v>1</v>
      </c>
      <c r="K152" s="37">
        <f>IF('pre-compute all'!J147&gt;$Q$3,1,0)</f>
        <v>1</v>
      </c>
    </row>
    <row r="153" spans="1:11" ht="15.75">
      <c r="A153" s="1" t="s">
        <v>211</v>
      </c>
      <c r="B153" s="10" t="s">
        <v>247</v>
      </c>
      <c r="C153" s="6" t="s">
        <v>333</v>
      </c>
      <c r="D153" s="1">
        <v>3</v>
      </c>
      <c r="E153" s="1">
        <v>0</v>
      </c>
      <c r="G153">
        <f>IF('pre-compute all'!E148&gt;$Q$3,1,0)</f>
        <v>0</v>
      </c>
      <c r="H153" s="37">
        <f>IF('pre-compute all'!$G$2&gt;$Q$3,1,0)</f>
        <v>0</v>
      </c>
      <c r="I153" s="37">
        <f>IF('pre-compute all'!H148&gt;$Q$3,1,0)</f>
        <v>0</v>
      </c>
      <c r="J153" s="37">
        <f>IF('pre-compute all'!I148&gt;$Q$3,1,0)</f>
        <v>1</v>
      </c>
      <c r="K153" s="37">
        <f>IF('pre-compute all'!J148&gt;$Q$3,1,0)</f>
        <v>1</v>
      </c>
    </row>
    <row r="154" spans="1:11" ht="15.75">
      <c r="A154" s="1" t="s">
        <v>218</v>
      </c>
      <c r="B154" s="10" t="s">
        <v>240</v>
      </c>
      <c r="C154" s="8" t="s">
        <v>319</v>
      </c>
      <c r="D154" s="1">
        <v>3</v>
      </c>
      <c r="E154" s="1">
        <v>0</v>
      </c>
      <c r="G154">
        <f>IF('pre-compute all'!E149&gt;$Q$3,1,0)</f>
        <v>0</v>
      </c>
      <c r="H154" s="37">
        <f>IF('pre-compute all'!$G$2&gt;$Q$3,1,0)</f>
        <v>0</v>
      </c>
      <c r="I154" s="37">
        <f>IF('pre-compute all'!H149&gt;$Q$3,1,0)</f>
        <v>0</v>
      </c>
      <c r="J154" s="37">
        <f>IF('pre-compute all'!I149&gt;$Q$3,1,0)</f>
        <v>1</v>
      </c>
      <c r="K154" s="37">
        <f>IF('pre-compute all'!J149&gt;$Q$3,1,0)</f>
        <v>1</v>
      </c>
    </row>
    <row r="155" spans="1:11" ht="15.75">
      <c r="A155" s="59" t="s">
        <v>187</v>
      </c>
      <c r="B155" s="60" t="s">
        <v>240</v>
      </c>
      <c r="C155" s="61" t="s">
        <v>318</v>
      </c>
      <c r="D155" s="1">
        <v>3</v>
      </c>
      <c r="E155" s="1">
        <v>0</v>
      </c>
      <c r="G155">
        <f>IF('pre-compute all'!E150&gt;$Q$3,1,0)</f>
        <v>1</v>
      </c>
      <c r="H155" s="37">
        <f>IF('pre-compute all'!$G$2&gt;$Q$3,1,0)</f>
        <v>0</v>
      </c>
      <c r="I155" s="37">
        <f>IF('pre-compute all'!H150&gt;$Q$3,1,0)</f>
        <v>0</v>
      </c>
      <c r="J155" s="37">
        <f>IF('pre-compute all'!I150&gt;$Q$3,1,0)</f>
        <v>1</v>
      </c>
      <c r="K155" s="37">
        <f>IF('pre-compute all'!J150&gt;$Q$3,1,0)</f>
        <v>1</v>
      </c>
    </row>
    <row r="156" spans="1:11" ht="15.75">
      <c r="A156" s="1" t="s">
        <v>216</v>
      </c>
      <c r="B156" s="10" t="s">
        <v>240</v>
      </c>
      <c r="C156" s="8" t="s">
        <v>318</v>
      </c>
      <c r="D156" s="1">
        <v>3</v>
      </c>
      <c r="E156" s="1">
        <v>0</v>
      </c>
      <c r="G156">
        <f>IF('pre-compute all'!E151&gt;$Q$3,1,0)</f>
        <v>0</v>
      </c>
      <c r="H156" s="37">
        <f>IF('pre-compute all'!$G$2&gt;$Q$3,1,0)</f>
        <v>0</v>
      </c>
      <c r="I156" s="37">
        <f>IF('pre-compute all'!H151&gt;$Q$3,1,0)</f>
        <v>0</v>
      </c>
      <c r="J156" s="37">
        <f>IF('pre-compute all'!I151&gt;$Q$3,1,0)</f>
        <v>1</v>
      </c>
      <c r="K156" s="37">
        <f>IF('pre-compute all'!J151&gt;$Q$3,1,0)</f>
        <v>1</v>
      </c>
    </row>
    <row r="157" spans="1:11" ht="15.75">
      <c r="A157" s="1" t="s">
        <v>211</v>
      </c>
      <c r="B157" s="10" t="s">
        <v>240</v>
      </c>
      <c r="C157" s="8" t="s">
        <v>318</v>
      </c>
      <c r="D157" s="1">
        <v>3</v>
      </c>
      <c r="E157" s="1">
        <v>0</v>
      </c>
      <c r="G157">
        <f>IF('pre-compute all'!E152&gt;$Q$3,1,0)</f>
        <v>0</v>
      </c>
      <c r="H157" s="37">
        <f>IF('pre-compute all'!$G$2&gt;$Q$3,1,0)</f>
        <v>0</v>
      </c>
      <c r="I157" s="37">
        <f>IF('pre-compute all'!H152&gt;$Q$3,1,0)</f>
        <v>0</v>
      </c>
      <c r="J157" s="37">
        <f>IF('pre-compute all'!I152&gt;$Q$3,1,0)</f>
        <v>1</v>
      </c>
      <c r="K157" s="37">
        <f>IF('pre-compute all'!J152&gt;$Q$3,1,0)</f>
        <v>1</v>
      </c>
    </row>
    <row r="158" spans="1:11" ht="15.75">
      <c r="A158" s="1" t="s">
        <v>187</v>
      </c>
      <c r="B158" s="10" t="s">
        <v>260</v>
      </c>
      <c r="C158" s="8" t="s">
        <v>321</v>
      </c>
      <c r="D158" s="1">
        <v>3</v>
      </c>
      <c r="E158" s="1">
        <v>0</v>
      </c>
      <c r="G158">
        <f>IF('pre-compute all'!E153&gt;$Q$3,1,0)</f>
        <v>0</v>
      </c>
      <c r="H158" s="37">
        <f>IF('pre-compute all'!$G$2&gt;$Q$3,1,0)</f>
        <v>0</v>
      </c>
      <c r="I158" s="37">
        <f>IF('pre-compute all'!H153&gt;$Q$3,1,0)</f>
        <v>0</v>
      </c>
      <c r="J158" s="37">
        <f>IF('pre-compute all'!I153&gt;$Q$3,1,0)</f>
        <v>1</v>
      </c>
      <c r="K158" s="37">
        <f>IF('pre-compute all'!J153&gt;$Q$3,1,0)</f>
        <v>1</v>
      </c>
    </row>
    <row r="159" spans="1:11" ht="15.75">
      <c r="A159" s="1" t="s">
        <v>187</v>
      </c>
      <c r="B159" s="10" t="s">
        <v>262</v>
      </c>
      <c r="C159" s="8" t="s">
        <v>334</v>
      </c>
      <c r="D159" s="1">
        <v>3</v>
      </c>
      <c r="E159" s="1">
        <v>1</v>
      </c>
      <c r="G159">
        <f>IF('pre-compute all'!E190&gt;$Q$3,1,0)</f>
        <v>1</v>
      </c>
      <c r="H159" s="37">
        <f>IF('pre-compute all'!$G$2&gt;$Q$3,1,0)</f>
        <v>0</v>
      </c>
      <c r="I159" s="37">
        <f>IF('pre-compute all'!H190&gt;$Q$3,1,0)</f>
        <v>0</v>
      </c>
      <c r="J159" s="37">
        <f>IF('pre-compute all'!I190&gt;$Q$3,1,0)</f>
        <v>1</v>
      </c>
      <c r="K159" s="37">
        <f>IF('pre-compute all'!J190&gt;$Q$3,1,0)</f>
        <v>1</v>
      </c>
    </row>
    <row r="160" spans="1:11" ht="15.75">
      <c r="A160" s="1" t="s">
        <v>218</v>
      </c>
      <c r="B160" s="10" t="s">
        <v>243</v>
      </c>
      <c r="C160" s="8" t="s">
        <v>319</v>
      </c>
      <c r="D160" s="1">
        <v>3</v>
      </c>
      <c r="E160" s="1">
        <v>1</v>
      </c>
      <c r="G160">
        <f>IF('pre-compute all'!E191&gt;$Q$3,1,0)</f>
        <v>1</v>
      </c>
      <c r="H160" s="37">
        <f>IF('pre-compute all'!$G$2&gt;$Q$3,1,0)</f>
        <v>0</v>
      </c>
      <c r="I160" s="37">
        <f>IF('pre-compute all'!H191&gt;$Q$3,1,0)</f>
        <v>0</v>
      </c>
      <c r="J160" s="37">
        <f>IF('pre-compute all'!I191&gt;$Q$3,1,0)</f>
        <v>1</v>
      </c>
      <c r="K160" s="37">
        <f>IF('pre-compute all'!J191&gt;$Q$3,1,0)</f>
        <v>1</v>
      </c>
    </row>
    <row r="161" spans="1:11" ht="15.75">
      <c r="A161" s="1" t="s">
        <v>217</v>
      </c>
      <c r="B161" s="10" t="s">
        <v>243</v>
      </c>
      <c r="C161" s="8" t="s">
        <v>319</v>
      </c>
      <c r="D161" s="1">
        <v>3</v>
      </c>
      <c r="E161" s="1">
        <v>0</v>
      </c>
      <c r="G161">
        <f>IF('pre-compute all'!E154&gt;$Q$3,1,0)</f>
        <v>0</v>
      </c>
      <c r="H161" s="37">
        <f>IF('pre-compute all'!$G$2&gt;$Q$3,1,0)</f>
        <v>0</v>
      </c>
      <c r="I161" s="37">
        <f>IF('pre-compute all'!H154&gt;$Q$3,1,0)</f>
        <v>0</v>
      </c>
      <c r="J161" s="37">
        <f>IF('pre-compute all'!I154&gt;$Q$3,1,0)</f>
        <v>1</v>
      </c>
      <c r="K161" s="37">
        <f>IF('pre-compute all'!J154&gt;$Q$3,1,0)</f>
        <v>1</v>
      </c>
    </row>
    <row r="162" spans="1:11" ht="15.75">
      <c r="A162" s="1" t="s">
        <v>187</v>
      </c>
      <c r="B162" s="10" t="s">
        <v>243</v>
      </c>
      <c r="C162" s="8" t="s">
        <v>319</v>
      </c>
      <c r="D162" s="1">
        <v>3</v>
      </c>
      <c r="E162" s="1">
        <v>1</v>
      </c>
      <c r="G162">
        <f>IF('pre-compute all'!E192&gt;$Q$3,1,0)</f>
        <v>1</v>
      </c>
      <c r="H162" s="37">
        <f>IF('pre-compute all'!$G$2&gt;$Q$3,1,0)</f>
        <v>0</v>
      </c>
      <c r="I162" s="37">
        <f>IF('pre-compute all'!H192&gt;$Q$3,1,0)</f>
        <v>0</v>
      </c>
      <c r="J162" s="37">
        <f>IF('pre-compute all'!I192&gt;$Q$3,1,0)</f>
        <v>1</v>
      </c>
      <c r="K162" s="37">
        <f>IF('pre-compute all'!J192&gt;$Q$3,1,0)</f>
        <v>1</v>
      </c>
    </row>
    <row r="163" spans="1:11" ht="15.75">
      <c r="A163" s="1" t="s">
        <v>216</v>
      </c>
      <c r="B163" s="10" t="s">
        <v>243</v>
      </c>
      <c r="C163" s="8" t="s">
        <v>319</v>
      </c>
      <c r="D163" s="1">
        <v>3</v>
      </c>
      <c r="E163" s="1">
        <v>0</v>
      </c>
      <c r="G163">
        <f>IF('pre-compute all'!E155&gt;$Q$3,1,0)</f>
        <v>0</v>
      </c>
      <c r="H163" s="37">
        <f>IF('pre-compute all'!$G$2&gt;$Q$3,1,0)</f>
        <v>0</v>
      </c>
      <c r="I163" s="37">
        <f>IF('pre-compute all'!H155&gt;$Q$3,1,0)</f>
        <v>0</v>
      </c>
      <c r="J163" s="37">
        <f>IF('pre-compute all'!I155&gt;$Q$3,1,0)</f>
        <v>1</v>
      </c>
      <c r="K163" s="37">
        <f>IF('pre-compute all'!J155&gt;$Q$3,1,0)</f>
        <v>1</v>
      </c>
    </row>
    <row r="164" spans="1:11" ht="15.75">
      <c r="A164" s="1" t="s">
        <v>218</v>
      </c>
      <c r="B164" s="10" t="s">
        <v>256</v>
      </c>
      <c r="C164" s="8" t="s">
        <v>319</v>
      </c>
      <c r="D164" s="1">
        <v>3</v>
      </c>
      <c r="E164" s="1">
        <v>1</v>
      </c>
      <c r="G164">
        <f>IF('pre-compute all'!E193&gt;$Q$3,1,0)</f>
        <v>1</v>
      </c>
      <c r="H164" s="37">
        <f>IF('pre-compute all'!$G$2&gt;$Q$3,1,0)</f>
        <v>0</v>
      </c>
      <c r="I164" s="37">
        <f>IF('pre-compute all'!H193&gt;$Q$3,1,0)</f>
        <v>0</v>
      </c>
      <c r="J164" s="37">
        <f>IF('pre-compute all'!I193&gt;$Q$3,1,0)</f>
        <v>1</v>
      </c>
      <c r="K164" s="37">
        <f>IF('pre-compute all'!J193&gt;$Q$3,1,0)</f>
        <v>1</v>
      </c>
    </row>
    <row r="165" spans="1:11" ht="15.75">
      <c r="A165" s="1" t="s">
        <v>187</v>
      </c>
      <c r="B165" s="10" t="s">
        <v>256</v>
      </c>
      <c r="C165" s="8" t="s">
        <v>319</v>
      </c>
      <c r="D165" s="1">
        <v>3</v>
      </c>
      <c r="E165" s="1">
        <v>1</v>
      </c>
      <c r="G165">
        <f>IF('pre-compute all'!E194&gt;$Q$3,1,0)</f>
        <v>1</v>
      </c>
      <c r="H165" s="37">
        <f>IF('pre-compute all'!$G$2&gt;$Q$3,1,0)</f>
        <v>0</v>
      </c>
      <c r="I165" s="37">
        <f>IF('pre-compute all'!H194&gt;$Q$3,1,0)</f>
        <v>0</v>
      </c>
      <c r="J165" s="37">
        <f>IF('pre-compute all'!I194&gt;$Q$3,1,0)</f>
        <v>1</v>
      </c>
      <c r="K165" s="37">
        <f>IF('pre-compute all'!J194&gt;$Q$3,1,0)</f>
        <v>1</v>
      </c>
    </row>
    <row r="166" spans="1:11" ht="15.75">
      <c r="A166" s="1" t="s">
        <v>216</v>
      </c>
      <c r="B166" s="10" t="s">
        <v>256</v>
      </c>
      <c r="C166" s="8" t="s">
        <v>319</v>
      </c>
      <c r="D166" s="1">
        <v>3</v>
      </c>
      <c r="E166" s="1">
        <v>0</v>
      </c>
      <c r="G166">
        <f>IF('pre-compute all'!E156&gt;$Q$3,1,0)</f>
        <v>0</v>
      </c>
      <c r="H166" s="37">
        <f>IF('pre-compute all'!$G$2&gt;$Q$3,1,0)</f>
        <v>0</v>
      </c>
      <c r="I166" s="37">
        <f>IF('pre-compute all'!H156&gt;$Q$3,1,0)</f>
        <v>0</v>
      </c>
      <c r="J166" s="37">
        <f>IF('pre-compute all'!I156&gt;$Q$3,1,0)</f>
        <v>1</v>
      </c>
      <c r="K166" s="37">
        <f>IF('pre-compute all'!J156&gt;$Q$3,1,0)</f>
        <v>1</v>
      </c>
    </row>
    <row r="167" spans="1:11" ht="15.75">
      <c r="A167" s="1" t="s">
        <v>218</v>
      </c>
      <c r="B167" s="10" t="s">
        <v>261</v>
      </c>
      <c r="C167" s="8" t="s">
        <v>319</v>
      </c>
      <c r="D167" s="1">
        <v>3</v>
      </c>
      <c r="E167" s="1">
        <v>1</v>
      </c>
      <c r="G167">
        <f>IF('pre-compute all'!E195&gt;$Q$3,1,0)</f>
        <v>1</v>
      </c>
      <c r="H167" s="37">
        <f>IF('pre-compute all'!$G$2&gt;$Q$3,1,0)</f>
        <v>0</v>
      </c>
      <c r="I167" s="37">
        <f>IF('pre-compute all'!H195&gt;$Q$3,1,0)</f>
        <v>0</v>
      </c>
      <c r="J167" s="37">
        <f>IF('pre-compute all'!I195&gt;$Q$3,1,0)</f>
        <v>1</v>
      </c>
      <c r="K167" s="37">
        <f>IF('pre-compute all'!J195&gt;$Q$3,1,0)</f>
        <v>1</v>
      </c>
    </row>
    <row r="168" spans="1:11" ht="15.75">
      <c r="A168" s="59" t="s">
        <v>187</v>
      </c>
      <c r="B168" s="60" t="s">
        <v>261</v>
      </c>
      <c r="C168" s="61" t="s">
        <v>318</v>
      </c>
      <c r="D168" s="1">
        <v>3</v>
      </c>
      <c r="E168" s="1">
        <v>0</v>
      </c>
      <c r="G168">
        <f>IF('pre-compute all'!E157&gt;$Q$3,1,0)</f>
        <v>1</v>
      </c>
      <c r="H168" s="37">
        <f>IF('pre-compute all'!$G$2&gt;$Q$3,1,0)</f>
        <v>0</v>
      </c>
      <c r="I168" s="37">
        <f>IF('pre-compute all'!H157&gt;$Q$3,1,0)</f>
        <v>0</v>
      </c>
      <c r="J168" s="37">
        <f>IF('pre-compute all'!I157&gt;$Q$3,1,0)</f>
        <v>1</v>
      </c>
      <c r="K168" s="37">
        <f>IF('pre-compute all'!J157&gt;$Q$3,1,0)</f>
        <v>1</v>
      </c>
    </row>
    <row r="169" spans="1:11" ht="15.75">
      <c r="A169" s="1" t="s">
        <v>218</v>
      </c>
      <c r="B169" s="10" t="s">
        <v>259</v>
      </c>
      <c r="C169" s="8" t="s">
        <v>319</v>
      </c>
      <c r="D169" s="1">
        <v>3</v>
      </c>
      <c r="E169" s="1">
        <v>1</v>
      </c>
      <c r="G169">
        <f>IF('pre-compute all'!E196&gt;$Q$3,1,0)</f>
        <v>1</v>
      </c>
      <c r="H169" s="37">
        <f>IF('pre-compute all'!$G$2&gt;$Q$3,1,0)</f>
        <v>0</v>
      </c>
      <c r="I169" s="37">
        <f>IF('pre-compute all'!H196&gt;$Q$3,1,0)</f>
        <v>0</v>
      </c>
      <c r="J169" s="37">
        <f>IF('pre-compute all'!I196&gt;$Q$3,1,0)</f>
        <v>1</v>
      </c>
      <c r="K169" s="37">
        <f>IF('pre-compute all'!J196&gt;$Q$3,1,0)</f>
        <v>1</v>
      </c>
    </row>
    <row r="170" spans="1:11" ht="15.75">
      <c r="A170" s="1" t="s">
        <v>187</v>
      </c>
      <c r="B170" s="10" t="s">
        <v>259</v>
      </c>
      <c r="C170" s="8" t="s">
        <v>319</v>
      </c>
      <c r="D170" s="1">
        <v>3</v>
      </c>
      <c r="E170" s="1">
        <v>0</v>
      </c>
      <c r="G170">
        <f>IF('pre-compute all'!E158&gt;$Q$3,1,0)</f>
        <v>0</v>
      </c>
      <c r="H170" s="37">
        <f>IF('pre-compute all'!$G$2&gt;$Q$3,1,0)</f>
        <v>0</v>
      </c>
      <c r="I170" s="37">
        <f>IF('pre-compute all'!H158&gt;$Q$3,1,0)</f>
        <v>0</v>
      </c>
      <c r="J170" s="37">
        <f>IF('pre-compute all'!I158&gt;$Q$3,1,0)</f>
        <v>1</v>
      </c>
      <c r="K170" s="37">
        <f>IF('pre-compute all'!J158&gt;$Q$3,1,0)</f>
        <v>1</v>
      </c>
    </row>
    <row r="171" spans="1:11" ht="15.75">
      <c r="A171" s="1" t="s">
        <v>218</v>
      </c>
      <c r="B171" s="10" t="s">
        <v>258</v>
      </c>
      <c r="C171" s="8" t="s">
        <v>319</v>
      </c>
      <c r="D171" s="1">
        <v>3</v>
      </c>
      <c r="E171" s="1">
        <v>1</v>
      </c>
      <c r="G171">
        <f>IF('pre-compute all'!E197&gt;$Q$3,1,0)</f>
        <v>1</v>
      </c>
      <c r="H171" s="37">
        <f>IF('pre-compute all'!$G$2&gt;$Q$3,1,0)</f>
        <v>0</v>
      </c>
      <c r="I171" s="37">
        <f>IF('pre-compute all'!H197&gt;$Q$3,1,0)</f>
        <v>0</v>
      </c>
      <c r="J171" s="37">
        <f>IF('pre-compute all'!I197&gt;$Q$3,1,0)</f>
        <v>1</v>
      </c>
      <c r="K171" s="37">
        <f>IF('pre-compute all'!J197&gt;$Q$3,1,0)</f>
        <v>1</v>
      </c>
    </row>
    <row r="172" spans="1:11" ht="15.75">
      <c r="A172" s="1" t="s">
        <v>217</v>
      </c>
      <c r="B172" s="10" t="s">
        <v>258</v>
      </c>
      <c r="C172" s="8" t="s">
        <v>319</v>
      </c>
      <c r="D172" s="1">
        <v>3</v>
      </c>
      <c r="E172" s="1">
        <v>0</v>
      </c>
      <c r="G172">
        <f>IF('pre-compute all'!E159&gt;$Q$3,1,0)</f>
        <v>0</v>
      </c>
      <c r="H172" s="37">
        <f>IF('pre-compute all'!$G$2&gt;$Q$3,1,0)</f>
        <v>0</v>
      </c>
      <c r="I172" s="37">
        <f>IF('pre-compute all'!H159&gt;$Q$3,1,0)</f>
        <v>0</v>
      </c>
      <c r="J172" s="37">
        <f>IF('pre-compute all'!I159&gt;$Q$3,1,0)</f>
        <v>1</v>
      </c>
      <c r="K172" s="37">
        <f>IF('pre-compute all'!J159&gt;$Q$3,1,0)</f>
        <v>1</v>
      </c>
    </row>
    <row r="173" spans="1:11" ht="15.75">
      <c r="A173" s="1" t="s">
        <v>187</v>
      </c>
      <c r="B173" s="10" t="s">
        <v>258</v>
      </c>
      <c r="C173" s="8" t="s">
        <v>319</v>
      </c>
      <c r="D173" s="1">
        <v>3</v>
      </c>
      <c r="E173" s="1">
        <v>1</v>
      </c>
      <c r="G173">
        <f>IF('pre-compute all'!E198&gt;$Q$3,1,0)</f>
        <v>1</v>
      </c>
      <c r="H173" s="37">
        <f>IF('pre-compute all'!$G$2&gt;$Q$3,1,0)</f>
        <v>0</v>
      </c>
      <c r="I173" s="37">
        <f>IF('pre-compute all'!H198&gt;$Q$3,1,0)</f>
        <v>0</v>
      </c>
      <c r="J173" s="37">
        <f>IF('pre-compute all'!I198&gt;$Q$3,1,0)</f>
        <v>1</v>
      </c>
      <c r="K173" s="37">
        <f>IF('pre-compute all'!J198&gt;$Q$3,1,0)</f>
        <v>1</v>
      </c>
    </row>
    <row r="174" spans="1:11" ht="15.75">
      <c r="A174" s="1" t="s">
        <v>218</v>
      </c>
      <c r="B174" s="10" t="s">
        <v>236</v>
      </c>
      <c r="C174" s="8" t="s">
        <v>319</v>
      </c>
      <c r="D174" s="1">
        <v>3</v>
      </c>
      <c r="E174" s="1">
        <v>1</v>
      </c>
      <c r="G174">
        <f>IF('pre-compute all'!E199&gt;$Q$3,1,0)</f>
        <v>1</v>
      </c>
      <c r="H174" s="37">
        <f>IF('pre-compute all'!$G$2&gt;$Q$3,1,0)</f>
        <v>0</v>
      </c>
      <c r="I174" s="37">
        <f>IF('pre-compute all'!H199&gt;$Q$3,1,0)</f>
        <v>0</v>
      </c>
      <c r="J174" s="37">
        <f>IF('pre-compute all'!I199&gt;$Q$3,1,0)</f>
        <v>1</v>
      </c>
      <c r="K174" s="37">
        <f>IF('pre-compute all'!J199&gt;$Q$3,1,0)</f>
        <v>1</v>
      </c>
    </row>
    <row r="175" spans="1:11" ht="15.75">
      <c r="A175" s="1" t="s">
        <v>217</v>
      </c>
      <c r="B175" s="10" t="s">
        <v>236</v>
      </c>
      <c r="C175" s="8" t="s">
        <v>319</v>
      </c>
      <c r="D175" s="1">
        <v>3</v>
      </c>
      <c r="E175" s="1">
        <v>0</v>
      </c>
      <c r="G175">
        <f>IF('pre-compute all'!E160&gt;$Q$3,1,0)</f>
        <v>0</v>
      </c>
      <c r="H175" s="37">
        <f>IF('pre-compute all'!$G$2&gt;$Q$3,1,0)</f>
        <v>0</v>
      </c>
      <c r="I175" s="37">
        <f>IF('pre-compute all'!H160&gt;$Q$3,1,0)</f>
        <v>0</v>
      </c>
      <c r="J175" s="37">
        <f>IF('pre-compute all'!I160&gt;$Q$3,1,0)</f>
        <v>1</v>
      </c>
      <c r="K175" s="37">
        <f>IF('pre-compute all'!J160&gt;$Q$3,1,0)</f>
        <v>1</v>
      </c>
    </row>
    <row r="176" spans="1:11" ht="15.75">
      <c r="A176" s="1" t="s">
        <v>187</v>
      </c>
      <c r="B176" s="10" t="s">
        <v>236</v>
      </c>
      <c r="C176" s="8" t="s">
        <v>319</v>
      </c>
      <c r="D176" s="1">
        <v>3</v>
      </c>
      <c r="E176" s="1">
        <v>1</v>
      </c>
      <c r="G176">
        <f>IF('pre-compute all'!E200&gt;$Q$3,1,0)</f>
        <v>1</v>
      </c>
      <c r="H176" s="37">
        <f>IF('pre-compute all'!$G$2&gt;$Q$3,1,0)</f>
        <v>0</v>
      </c>
      <c r="I176" s="37">
        <f>IF('pre-compute all'!H200&gt;$Q$3,1,0)</f>
        <v>0</v>
      </c>
      <c r="J176" s="37">
        <f>IF('pre-compute all'!I200&gt;$Q$3,1,0)</f>
        <v>1</v>
      </c>
      <c r="K176" s="37">
        <f>IF('pre-compute all'!J200&gt;$Q$3,1,0)</f>
        <v>1</v>
      </c>
    </row>
    <row r="177" spans="1:11" ht="15.75">
      <c r="A177" s="1" t="s">
        <v>216</v>
      </c>
      <c r="B177" s="10" t="s">
        <v>236</v>
      </c>
      <c r="C177" s="8" t="s">
        <v>319</v>
      </c>
      <c r="D177" s="1">
        <v>3</v>
      </c>
      <c r="E177" s="1">
        <v>0</v>
      </c>
      <c r="G177">
        <f>IF('pre-compute all'!E161&gt;$Q$3,1,0)</f>
        <v>0</v>
      </c>
      <c r="H177" s="37">
        <f>IF('pre-compute all'!$G$2&gt;$Q$3,1,0)</f>
        <v>0</v>
      </c>
      <c r="I177" s="37">
        <f>IF('pre-compute all'!H161&gt;$Q$3,1,0)</f>
        <v>0</v>
      </c>
      <c r="J177" s="37">
        <f>IF('pre-compute all'!I161&gt;$Q$3,1,0)</f>
        <v>1</v>
      </c>
      <c r="K177" s="37">
        <f>IF('pre-compute all'!J161&gt;$Q$3,1,0)</f>
        <v>1</v>
      </c>
    </row>
    <row r="178" spans="1:11" ht="15.75">
      <c r="A178" s="1" t="s">
        <v>211</v>
      </c>
      <c r="B178" s="10" t="s">
        <v>236</v>
      </c>
      <c r="C178" s="8" t="s">
        <v>319</v>
      </c>
      <c r="D178" s="1">
        <v>3</v>
      </c>
      <c r="E178" s="1">
        <v>0</v>
      </c>
      <c r="G178">
        <f>IF('pre-compute all'!E162&gt;$Q$3,1,0)</f>
        <v>0</v>
      </c>
      <c r="H178" s="37">
        <f>IF('pre-compute all'!$G$2&gt;$Q$3,1,0)</f>
        <v>0</v>
      </c>
      <c r="I178" s="37">
        <f>IF('pre-compute all'!H162&gt;$Q$3,1,0)</f>
        <v>0</v>
      </c>
      <c r="J178" s="37">
        <f>IF('pre-compute all'!I162&gt;$Q$3,1,0)</f>
        <v>1</v>
      </c>
      <c r="K178" s="37">
        <f>IF('pre-compute all'!J162&gt;$Q$3,1,0)</f>
        <v>1</v>
      </c>
    </row>
    <row r="179" spans="1:11" ht="15.75">
      <c r="A179" s="1" t="s">
        <v>187</v>
      </c>
      <c r="B179" s="10" t="s">
        <v>250</v>
      </c>
      <c r="C179" s="10" t="s">
        <v>316</v>
      </c>
      <c r="D179" s="1">
        <v>3</v>
      </c>
      <c r="E179" s="1">
        <v>0</v>
      </c>
      <c r="G179">
        <f>IF('pre-compute all'!E163&gt;$Q$3,1,0)</f>
        <v>0</v>
      </c>
      <c r="H179" s="37">
        <f>IF('pre-compute all'!$G$2&gt;$Q$3,1,0)</f>
        <v>0</v>
      </c>
      <c r="I179" s="37">
        <f>IF('pre-compute all'!H163&gt;$Q$3,1,0)</f>
        <v>0</v>
      </c>
      <c r="J179" s="37">
        <f>IF('pre-compute all'!I163&gt;$Q$3,1,0)</f>
        <v>1</v>
      </c>
      <c r="K179" s="37">
        <f>IF('pre-compute all'!J163&gt;$Q$3,1,0)</f>
        <v>1</v>
      </c>
    </row>
    <row r="180" spans="1:11" ht="15.75">
      <c r="A180" s="1" t="s">
        <v>216</v>
      </c>
      <c r="B180" s="10" t="s">
        <v>250</v>
      </c>
      <c r="C180" s="10" t="s">
        <v>316</v>
      </c>
      <c r="D180" s="1">
        <v>3</v>
      </c>
      <c r="E180" s="1">
        <v>0</v>
      </c>
      <c r="G180">
        <f>IF('pre-compute all'!E164&gt;$Q$3,1,0)</f>
        <v>0</v>
      </c>
      <c r="H180" s="37">
        <f>IF('pre-compute all'!$G$2&gt;$Q$3,1,0)</f>
        <v>0</v>
      </c>
      <c r="I180" s="37">
        <f>IF('pre-compute all'!H164&gt;$Q$3,1,0)</f>
        <v>0</v>
      </c>
      <c r="J180" s="37">
        <f>IF('pre-compute all'!I164&gt;$Q$3,1,0)</f>
        <v>1</v>
      </c>
      <c r="K180" s="37">
        <f>IF('pre-compute all'!J164&gt;$Q$3,1,0)</f>
        <v>1</v>
      </c>
    </row>
    <row r="181" spans="1:11" ht="15.75">
      <c r="A181" s="1" t="s">
        <v>211</v>
      </c>
      <c r="B181" s="10" t="s">
        <v>250</v>
      </c>
      <c r="C181" s="10" t="s">
        <v>316</v>
      </c>
      <c r="D181" s="1">
        <v>3</v>
      </c>
      <c r="E181" s="1">
        <v>0</v>
      </c>
      <c r="G181">
        <f>IF('pre-compute all'!E165&gt;$Q$3,1,0)</f>
        <v>0</v>
      </c>
      <c r="H181" s="37">
        <f>IF('pre-compute all'!$G$2&gt;$Q$3,1,0)</f>
        <v>0</v>
      </c>
      <c r="I181" s="37">
        <f>IF('pre-compute all'!H165&gt;$Q$3,1,0)</f>
        <v>0</v>
      </c>
      <c r="J181" s="37">
        <f>IF('pre-compute all'!I165&gt;$Q$3,1,0)</f>
        <v>1</v>
      </c>
      <c r="K181" s="37">
        <f>IF('pre-compute all'!J165&gt;$Q$3,1,0)</f>
        <v>1</v>
      </c>
    </row>
    <row r="182" spans="1:11" ht="15.75">
      <c r="A182" s="1" t="s">
        <v>218</v>
      </c>
      <c r="B182" s="10" t="s">
        <v>253</v>
      </c>
      <c r="C182" s="10" t="s">
        <v>316</v>
      </c>
      <c r="D182" s="1">
        <v>3</v>
      </c>
      <c r="E182" s="1">
        <v>1</v>
      </c>
      <c r="G182">
        <f>IF('pre-compute all'!E201&gt;$Q$3,1,0)</f>
        <v>1</v>
      </c>
      <c r="H182" s="37">
        <f>IF('pre-compute all'!$G$2&gt;$Q$3,1,0)</f>
        <v>0</v>
      </c>
      <c r="I182" s="37">
        <f>IF('pre-compute all'!H201&gt;$Q$3,1,0)</f>
        <v>0</v>
      </c>
      <c r="J182" s="37">
        <f>IF('pre-compute all'!I201&gt;$Q$3,1,0)</f>
        <v>1</v>
      </c>
      <c r="K182" s="37">
        <f>IF('pre-compute all'!J201&gt;$Q$3,1,0)</f>
        <v>1</v>
      </c>
    </row>
    <row r="183" spans="1:11" ht="15.75">
      <c r="A183" s="1" t="s">
        <v>217</v>
      </c>
      <c r="B183" s="10" t="s">
        <v>253</v>
      </c>
      <c r="C183" s="10" t="s">
        <v>316</v>
      </c>
      <c r="D183" s="1">
        <v>3</v>
      </c>
      <c r="E183" s="1">
        <v>1</v>
      </c>
      <c r="G183">
        <f>IF('pre-compute all'!E202&gt;$Q$3,1,0)</f>
        <v>1</v>
      </c>
      <c r="H183" s="37">
        <f>IF('pre-compute all'!$G$2&gt;$Q$3,1,0)</f>
        <v>0</v>
      </c>
      <c r="I183" s="37">
        <f>IF('pre-compute all'!H202&gt;$Q$3,1,0)</f>
        <v>0</v>
      </c>
      <c r="J183" s="37">
        <f>IF('pre-compute all'!I202&gt;$Q$3,1,0)</f>
        <v>1</v>
      </c>
      <c r="K183" s="37">
        <f>IF('pre-compute all'!J202&gt;$Q$3,1,0)</f>
        <v>1</v>
      </c>
    </row>
    <row r="184" spans="1:11" ht="15.75">
      <c r="A184" s="1" t="s">
        <v>219</v>
      </c>
      <c r="B184" s="10" t="s">
        <v>253</v>
      </c>
      <c r="C184" s="10" t="s">
        <v>316</v>
      </c>
      <c r="D184" s="1">
        <v>3</v>
      </c>
      <c r="E184" s="1">
        <v>1</v>
      </c>
      <c r="G184">
        <f>IF('pre-compute all'!E203&gt;$Q$3,1,0)</f>
        <v>1</v>
      </c>
      <c r="H184" s="37">
        <f>IF('pre-compute all'!$G$2&gt;$Q$3,1,0)</f>
        <v>0</v>
      </c>
      <c r="I184" s="37">
        <f>IF('pre-compute all'!H203&gt;$Q$3,1,0)</f>
        <v>0</v>
      </c>
      <c r="J184" s="37">
        <f>IF('pre-compute all'!I203&gt;$Q$3,1,0)</f>
        <v>1</v>
      </c>
      <c r="K184" s="37">
        <f>IF('pre-compute all'!J203&gt;$Q$3,1,0)</f>
        <v>1</v>
      </c>
    </row>
    <row r="185" spans="1:11" ht="15.75">
      <c r="A185" s="1" t="s">
        <v>187</v>
      </c>
      <c r="B185" s="10" t="s">
        <v>253</v>
      </c>
      <c r="C185" s="10" t="s">
        <v>316</v>
      </c>
      <c r="D185" s="1">
        <v>3</v>
      </c>
      <c r="E185" s="1">
        <v>1</v>
      </c>
      <c r="G185">
        <f>IF('pre-compute all'!E204&gt;$Q$3,1,0)</f>
        <v>1</v>
      </c>
      <c r="H185" s="37">
        <f>IF('pre-compute all'!$G$2&gt;$Q$3,1,0)</f>
        <v>0</v>
      </c>
      <c r="I185" s="37">
        <f>IF('pre-compute all'!H204&gt;$Q$3,1,0)</f>
        <v>0</v>
      </c>
      <c r="J185" s="37">
        <f>IF('pre-compute all'!I204&gt;$Q$3,1,0)</f>
        <v>1</v>
      </c>
      <c r="K185" s="37">
        <f>IF('pre-compute all'!J204&gt;$Q$3,1,0)</f>
        <v>1</v>
      </c>
    </row>
    <row r="186" spans="1:11" ht="15.75">
      <c r="A186" s="1" t="s">
        <v>216</v>
      </c>
      <c r="B186" s="10" t="s">
        <v>253</v>
      </c>
      <c r="C186" s="10" t="s">
        <v>316</v>
      </c>
      <c r="D186" s="1">
        <v>3</v>
      </c>
      <c r="E186" s="1">
        <v>0</v>
      </c>
      <c r="G186">
        <f>IF('pre-compute all'!E166&gt;$Q$3,1,0)</f>
        <v>0</v>
      </c>
      <c r="H186" s="37">
        <f>IF('pre-compute all'!$G$2&gt;$Q$3,1,0)</f>
        <v>0</v>
      </c>
      <c r="I186" s="37">
        <f>IF('pre-compute all'!H166&gt;$Q$3,1,0)</f>
        <v>0</v>
      </c>
      <c r="J186" s="37">
        <f>IF('pre-compute all'!I166&gt;$Q$3,1,0)</f>
        <v>1</v>
      </c>
      <c r="K186" s="37">
        <f>IF('pre-compute all'!J166&gt;$Q$3,1,0)</f>
        <v>1</v>
      </c>
    </row>
    <row r="187" spans="1:11" ht="15.75">
      <c r="A187" s="1" t="s">
        <v>211</v>
      </c>
      <c r="B187" s="10" t="s">
        <v>253</v>
      </c>
      <c r="C187" s="10" t="s">
        <v>316</v>
      </c>
      <c r="D187" s="1">
        <v>3</v>
      </c>
      <c r="E187" s="1">
        <v>1</v>
      </c>
      <c r="G187">
        <f>IF('pre-compute all'!E205&gt;$Q$3,1,0)</f>
        <v>1</v>
      </c>
      <c r="H187" s="37">
        <f>IF('pre-compute all'!$G$2&gt;$Q$3,1,0)</f>
        <v>0</v>
      </c>
      <c r="I187" s="37">
        <f>IF('pre-compute all'!H205&gt;$Q$3,1,0)</f>
        <v>0</v>
      </c>
      <c r="J187" s="37">
        <f>IF('pre-compute all'!I205&gt;$Q$3,1,0)</f>
        <v>1</v>
      </c>
      <c r="K187" s="37">
        <f>IF('pre-compute all'!J205&gt;$Q$3,1,0)</f>
        <v>1</v>
      </c>
    </row>
    <row r="188" spans="1:11" ht="15.75">
      <c r="A188" s="1" t="s">
        <v>218</v>
      </c>
      <c r="B188" s="10" t="s">
        <v>251</v>
      </c>
      <c r="C188" s="10" t="s">
        <v>316</v>
      </c>
      <c r="D188" s="1">
        <v>3</v>
      </c>
      <c r="E188" s="1">
        <v>1</v>
      </c>
      <c r="G188">
        <f>IF('pre-compute all'!E206&gt;$Q$3,1,0)</f>
        <v>1</v>
      </c>
      <c r="H188" s="37">
        <f>IF('pre-compute all'!$G$2&gt;$Q$3,1,0)</f>
        <v>0</v>
      </c>
      <c r="I188" s="37">
        <f>IF('pre-compute all'!H206&gt;$Q$3,1,0)</f>
        <v>0</v>
      </c>
      <c r="J188" s="37">
        <f>IF('pre-compute all'!I206&gt;$Q$3,1,0)</f>
        <v>1</v>
      </c>
      <c r="K188" s="37">
        <f>IF('pre-compute all'!J206&gt;$Q$3,1,0)</f>
        <v>1</v>
      </c>
    </row>
    <row r="189" spans="1:11" ht="15.75">
      <c r="A189" s="1" t="s">
        <v>217</v>
      </c>
      <c r="B189" s="10" t="s">
        <v>251</v>
      </c>
      <c r="C189" s="10" t="s">
        <v>316</v>
      </c>
      <c r="D189" s="1">
        <v>3</v>
      </c>
      <c r="E189" s="1">
        <v>1</v>
      </c>
      <c r="G189">
        <f>IF('pre-compute all'!E207&gt;$Q$3,1,0)</f>
        <v>1</v>
      </c>
      <c r="H189" s="37">
        <f>IF('pre-compute all'!$G$2&gt;$Q$3,1,0)</f>
        <v>0</v>
      </c>
      <c r="I189" s="37">
        <f>IF('pre-compute all'!H207&gt;$Q$3,1,0)</f>
        <v>0</v>
      </c>
      <c r="J189" s="37">
        <f>IF('pre-compute all'!I207&gt;$Q$3,1,0)</f>
        <v>1</v>
      </c>
      <c r="K189" s="37">
        <f>IF('pre-compute all'!J207&gt;$Q$3,1,0)</f>
        <v>1</v>
      </c>
    </row>
    <row r="190" spans="1:11" ht="15.75">
      <c r="A190" s="1" t="s">
        <v>219</v>
      </c>
      <c r="B190" s="10" t="s">
        <v>251</v>
      </c>
      <c r="C190" s="10" t="s">
        <v>316</v>
      </c>
      <c r="D190" s="1">
        <v>3</v>
      </c>
      <c r="E190" s="1">
        <v>1</v>
      </c>
      <c r="G190">
        <f>IF('pre-compute all'!E208&gt;$Q$3,1,0)</f>
        <v>1</v>
      </c>
      <c r="H190" s="37">
        <f>IF('pre-compute all'!$G$2&gt;$Q$3,1,0)</f>
        <v>0</v>
      </c>
      <c r="I190" s="37">
        <f>IF('pre-compute all'!H208&gt;$Q$3,1,0)</f>
        <v>0</v>
      </c>
      <c r="J190" s="37">
        <f>IF('pre-compute all'!I208&gt;$Q$3,1,0)</f>
        <v>1</v>
      </c>
      <c r="K190" s="37">
        <f>IF('pre-compute all'!J208&gt;$Q$3,1,0)</f>
        <v>1</v>
      </c>
    </row>
    <row r="191" spans="1:11" ht="15.75">
      <c r="A191" s="1" t="s">
        <v>187</v>
      </c>
      <c r="B191" s="10" t="s">
        <v>251</v>
      </c>
      <c r="C191" s="10" t="s">
        <v>316</v>
      </c>
      <c r="D191" s="1">
        <v>3</v>
      </c>
      <c r="E191" s="1">
        <v>1</v>
      </c>
      <c r="G191">
        <f>IF('pre-compute all'!E209&gt;$Q$3,1,0)</f>
        <v>1</v>
      </c>
      <c r="H191" s="37">
        <f>IF('pre-compute all'!$G$2&gt;$Q$3,1,0)</f>
        <v>0</v>
      </c>
      <c r="I191" s="37">
        <f>IF('pre-compute all'!H209&gt;$Q$3,1,0)</f>
        <v>0</v>
      </c>
      <c r="J191" s="37">
        <f>IF('pre-compute all'!I209&gt;$Q$3,1,0)</f>
        <v>1</v>
      </c>
      <c r="K191" s="37">
        <f>IF('pre-compute all'!J209&gt;$Q$3,1,0)</f>
        <v>1</v>
      </c>
    </row>
    <row r="192" spans="1:11" ht="15.75">
      <c r="A192" s="1" t="s">
        <v>216</v>
      </c>
      <c r="B192" s="10" t="s">
        <v>251</v>
      </c>
      <c r="C192" s="10" t="s">
        <v>316</v>
      </c>
      <c r="D192" s="1">
        <v>3</v>
      </c>
      <c r="E192" s="1">
        <v>0</v>
      </c>
      <c r="G192">
        <f>IF('pre-compute all'!E167&gt;$Q$3,1,0)</f>
        <v>0</v>
      </c>
      <c r="H192" s="37">
        <f>IF('pre-compute all'!$G$2&gt;$Q$3,1,0)</f>
        <v>0</v>
      </c>
      <c r="I192" s="37">
        <f>IF('pre-compute all'!H167&gt;$Q$3,1,0)</f>
        <v>0</v>
      </c>
      <c r="J192" s="37">
        <f>IF('pre-compute all'!I167&gt;$Q$3,1,0)</f>
        <v>1</v>
      </c>
      <c r="K192" s="37">
        <f>IF('pre-compute all'!J167&gt;$Q$3,1,0)</f>
        <v>1</v>
      </c>
    </row>
    <row r="193" spans="1:11" ht="15.75">
      <c r="A193" s="1" t="s">
        <v>211</v>
      </c>
      <c r="B193" s="10" t="s">
        <v>251</v>
      </c>
      <c r="C193" s="10" t="s">
        <v>316</v>
      </c>
      <c r="D193" s="1">
        <v>3</v>
      </c>
      <c r="E193" s="1">
        <v>1</v>
      </c>
      <c r="G193">
        <f>IF('pre-compute all'!E210&gt;$Q$3,1,0)</f>
        <v>1</v>
      </c>
      <c r="H193" s="37">
        <f>IF('pre-compute all'!$G$2&gt;$Q$3,1,0)</f>
        <v>0</v>
      </c>
      <c r="I193" s="37">
        <f>IF('pre-compute all'!H210&gt;$Q$3,1,0)</f>
        <v>0</v>
      </c>
      <c r="J193" s="37">
        <f>IF('pre-compute all'!I210&gt;$Q$3,1,0)</f>
        <v>1</v>
      </c>
      <c r="K193" s="37">
        <f>IF('pre-compute all'!J210&gt;$Q$3,1,0)</f>
        <v>1</v>
      </c>
    </row>
    <row r="194" spans="1:11" ht="15.75">
      <c r="A194" s="1" t="s">
        <v>217</v>
      </c>
      <c r="B194" s="10" t="s">
        <v>239</v>
      </c>
      <c r="C194" s="8" t="s">
        <v>315</v>
      </c>
      <c r="D194" s="1">
        <v>3</v>
      </c>
      <c r="E194" s="1">
        <v>0</v>
      </c>
      <c r="G194">
        <f>IF('pre-compute all'!E168&gt;$Q$3,1,0)</f>
        <v>0</v>
      </c>
      <c r="H194" s="37">
        <f>IF('pre-compute all'!$G$2&gt;$Q$3,1,0)</f>
        <v>0</v>
      </c>
      <c r="I194" s="37">
        <f>IF('pre-compute all'!H168&gt;$Q$3,1,0)</f>
        <v>0</v>
      </c>
      <c r="J194" s="37">
        <f>IF('pre-compute all'!I168&gt;$Q$3,1,0)</f>
        <v>1</v>
      </c>
      <c r="K194" s="37">
        <f>IF('pre-compute all'!J168&gt;$Q$3,1,0)</f>
        <v>1</v>
      </c>
    </row>
    <row r="195" spans="1:11" ht="15.75">
      <c r="A195" s="1" t="s">
        <v>187</v>
      </c>
      <c r="B195" s="10" t="s">
        <v>239</v>
      </c>
      <c r="C195" s="8" t="s">
        <v>315</v>
      </c>
      <c r="D195" s="1">
        <v>3</v>
      </c>
      <c r="E195" s="1">
        <v>1</v>
      </c>
      <c r="G195">
        <f>IF('pre-compute all'!E211&gt;$Q$3,1,0)</f>
        <v>1</v>
      </c>
      <c r="H195" s="37">
        <f>IF('pre-compute all'!$G$2&gt;$Q$3,1,0)</f>
        <v>0</v>
      </c>
      <c r="I195" s="37">
        <f>IF('pre-compute all'!H211&gt;$Q$3,1,0)</f>
        <v>0</v>
      </c>
      <c r="J195" s="37">
        <f>IF('pre-compute all'!I211&gt;$Q$3,1,0)</f>
        <v>1</v>
      </c>
      <c r="K195" s="37">
        <f>IF('pre-compute all'!J211&gt;$Q$3,1,0)</f>
        <v>1</v>
      </c>
    </row>
    <row r="196" spans="1:11" ht="15.75">
      <c r="A196" s="1" t="s">
        <v>216</v>
      </c>
      <c r="B196" s="10" t="s">
        <v>239</v>
      </c>
      <c r="C196" s="8" t="s">
        <v>315</v>
      </c>
      <c r="D196" s="1">
        <v>3</v>
      </c>
      <c r="E196" s="1">
        <v>0</v>
      </c>
      <c r="G196">
        <f>IF('pre-compute all'!E169&gt;$Q$3,1,0)</f>
        <v>0</v>
      </c>
      <c r="H196" s="37">
        <f>IF('pre-compute all'!$G$2&gt;$Q$3,1,0)</f>
        <v>0</v>
      </c>
      <c r="I196" s="37">
        <f>IF('pre-compute all'!H169&gt;$Q$3,1,0)</f>
        <v>0</v>
      </c>
      <c r="J196" s="37">
        <f>IF('pre-compute all'!I169&gt;$Q$3,1,0)</f>
        <v>1</v>
      </c>
      <c r="K196" s="37">
        <f>IF('pre-compute all'!J169&gt;$Q$3,1,0)</f>
        <v>1</v>
      </c>
    </row>
    <row r="197" spans="1:11" ht="15.75">
      <c r="A197" s="1" t="s">
        <v>211</v>
      </c>
      <c r="B197" s="10" t="s">
        <v>239</v>
      </c>
      <c r="C197" s="8" t="s">
        <v>315</v>
      </c>
      <c r="D197" s="1">
        <v>3</v>
      </c>
      <c r="E197" s="1">
        <v>0</v>
      </c>
      <c r="G197">
        <f>IF('pre-compute all'!E170&gt;$Q$3,1,0)</f>
        <v>0</v>
      </c>
      <c r="H197" s="37">
        <f>IF('pre-compute all'!$G$2&gt;$Q$3,1,0)</f>
        <v>0</v>
      </c>
      <c r="I197" s="37">
        <f>IF('pre-compute all'!H170&gt;$Q$3,1,0)</f>
        <v>0</v>
      </c>
      <c r="J197" s="37">
        <f>IF('pre-compute all'!I170&gt;$Q$3,1,0)</f>
        <v>1</v>
      </c>
      <c r="K197" s="37">
        <f>IF('pre-compute all'!J170&gt;$Q$3,1,0)</f>
        <v>1</v>
      </c>
    </row>
    <row r="198" spans="1:11" ht="15.75">
      <c r="A198" s="1" t="s">
        <v>217</v>
      </c>
      <c r="B198" s="10" t="s">
        <v>242</v>
      </c>
      <c r="C198" s="8" t="s">
        <v>319</v>
      </c>
      <c r="D198" s="1">
        <v>3</v>
      </c>
      <c r="E198" s="1">
        <v>0</v>
      </c>
      <c r="G198">
        <f>IF('pre-compute all'!E171&gt;$Q$3,1,0)</f>
        <v>0</v>
      </c>
      <c r="H198" s="37">
        <f>IF('pre-compute all'!$G$2&gt;$Q$3,1,0)</f>
        <v>0</v>
      </c>
      <c r="I198" s="37">
        <f>IF('pre-compute all'!H171&gt;$Q$3,1,0)</f>
        <v>0</v>
      </c>
      <c r="J198" s="37">
        <f>IF('pre-compute all'!I171&gt;$Q$3,1,0)</f>
        <v>1</v>
      </c>
      <c r="K198" s="37">
        <f>IF('pre-compute all'!J171&gt;$Q$3,1,0)</f>
        <v>1</v>
      </c>
    </row>
    <row r="199" spans="1:11" ht="15.75">
      <c r="A199" s="1" t="s">
        <v>187</v>
      </c>
      <c r="B199" s="10" t="s">
        <v>242</v>
      </c>
      <c r="C199" s="8" t="s">
        <v>319</v>
      </c>
      <c r="D199" s="1">
        <v>3</v>
      </c>
      <c r="E199" s="1">
        <v>1</v>
      </c>
      <c r="G199">
        <f>IF('pre-compute all'!E212&gt;$Q$3,1,0)</f>
        <v>1</v>
      </c>
      <c r="H199" s="37">
        <f>IF('pre-compute all'!$G$2&gt;$Q$3,1,0)</f>
        <v>0</v>
      </c>
      <c r="I199" s="37">
        <f>IF('pre-compute all'!H212&gt;$Q$3,1,0)</f>
        <v>0</v>
      </c>
      <c r="J199" s="37">
        <f>IF('pre-compute all'!I212&gt;$Q$3,1,0)</f>
        <v>1</v>
      </c>
      <c r="K199" s="37">
        <f>IF('pre-compute all'!J212&gt;$Q$3,1,0)</f>
        <v>1</v>
      </c>
    </row>
    <row r="200" spans="1:11" ht="15.75">
      <c r="A200" s="1" t="s">
        <v>216</v>
      </c>
      <c r="B200" s="10" t="s">
        <v>242</v>
      </c>
      <c r="C200" s="8" t="s">
        <v>319</v>
      </c>
      <c r="D200" s="1">
        <v>3</v>
      </c>
      <c r="E200" s="1">
        <v>0</v>
      </c>
      <c r="G200">
        <f>IF('pre-compute all'!E172&gt;$Q$3,1,0)</f>
        <v>0</v>
      </c>
      <c r="H200" s="37">
        <f>IF('pre-compute all'!$G$2&gt;$Q$3,1,0)</f>
        <v>0</v>
      </c>
      <c r="I200" s="37">
        <f>IF('pre-compute all'!H172&gt;$Q$3,1,0)</f>
        <v>0</v>
      </c>
      <c r="J200" s="37">
        <f>IF('pre-compute all'!I172&gt;$Q$3,1,0)</f>
        <v>1</v>
      </c>
      <c r="K200" s="37">
        <f>IF('pre-compute all'!J172&gt;$Q$3,1,0)</f>
        <v>1</v>
      </c>
    </row>
    <row r="201" spans="1:11" ht="15.75">
      <c r="A201" s="1" t="s">
        <v>211</v>
      </c>
      <c r="B201" s="10" t="s">
        <v>242</v>
      </c>
      <c r="C201" s="8" t="s">
        <v>319</v>
      </c>
      <c r="D201" s="1">
        <v>3</v>
      </c>
      <c r="E201" s="1">
        <v>0</v>
      </c>
      <c r="G201">
        <f>IF('pre-compute all'!E173&gt;$Q$3,1,0)</f>
        <v>0</v>
      </c>
      <c r="H201" s="37">
        <f>IF('pre-compute all'!$G$2&gt;$Q$3,1,0)</f>
        <v>0</v>
      </c>
      <c r="I201" s="37">
        <f>IF('pre-compute all'!H173&gt;$Q$3,1,0)</f>
        <v>0</v>
      </c>
      <c r="J201" s="37">
        <f>IF('pre-compute all'!I173&gt;$Q$3,1,0)</f>
        <v>1</v>
      </c>
      <c r="K201" s="37">
        <f>IF('pre-compute all'!J173&gt;$Q$3,1,0)</f>
        <v>1</v>
      </c>
    </row>
    <row r="202" spans="1:11" ht="15.75">
      <c r="A202" s="1" t="s">
        <v>217</v>
      </c>
      <c r="B202" s="10" t="s">
        <v>245</v>
      </c>
      <c r="C202" s="8" t="s">
        <v>315</v>
      </c>
      <c r="D202" s="1">
        <v>3</v>
      </c>
      <c r="E202" s="1">
        <v>0</v>
      </c>
      <c r="G202">
        <f>IF('pre-compute all'!E174&gt;$Q$3,1,0)</f>
        <v>0</v>
      </c>
      <c r="H202" s="37">
        <f>IF('pre-compute all'!$G$2&gt;$Q$3,1,0)</f>
        <v>0</v>
      </c>
      <c r="I202" s="37">
        <f>IF('pre-compute all'!H174&gt;$Q$3,1,0)</f>
        <v>0</v>
      </c>
      <c r="J202" s="37">
        <f>IF('pre-compute all'!I174&gt;$Q$3,1,0)</f>
        <v>1</v>
      </c>
      <c r="K202" s="37">
        <f>IF('pre-compute all'!J174&gt;$Q$3,1,0)</f>
        <v>1</v>
      </c>
    </row>
    <row r="203" spans="1:11" ht="15.75">
      <c r="A203" s="1" t="s">
        <v>187</v>
      </c>
      <c r="B203" s="10" t="s">
        <v>245</v>
      </c>
      <c r="C203" s="8" t="s">
        <v>315</v>
      </c>
      <c r="D203" s="1">
        <v>3</v>
      </c>
      <c r="E203" s="1">
        <v>0</v>
      </c>
      <c r="G203">
        <f>IF('pre-compute all'!E175&gt;$Q$3,1,0)</f>
        <v>0</v>
      </c>
      <c r="H203" s="37">
        <f>IF('pre-compute all'!$G$2&gt;$Q$3,1,0)</f>
        <v>0</v>
      </c>
      <c r="I203" s="37">
        <f>IF('pre-compute all'!H175&gt;$Q$3,1,0)</f>
        <v>0</v>
      </c>
      <c r="J203" s="37">
        <f>IF('pre-compute all'!I175&gt;$Q$3,1,0)</f>
        <v>1</v>
      </c>
      <c r="K203" s="37">
        <f>IF('pre-compute all'!J175&gt;$Q$3,1,0)</f>
        <v>1</v>
      </c>
    </row>
    <row r="204" spans="1:11" ht="15.75">
      <c r="A204" s="1" t="s">
        <v>216</v>
      </c>
      <c r="B204" s="10" t="s">
        <v>245</v>
      </c>
      <c r="C204" s="8" t="s">
        <v>315</v>
      </c>
      <c r="D204" s="1">
        <v>3</v>
      </c>
      <c r="E204" s="1">
        <v>0</v>
      </c>
      <c r="G204">
        <f>IF('pre-compute all'!E176&gt;$Q$3,1,0)</f>
        <v>0</v>
      </c>
      <c r="H204" s="37">
        <f>IF('pre-compute all'!$G$2&gt;$Q$3,1,0)</f>
        <v>0</v>
      </c>
      <c r="I204" s="37">
        <f>IF('pre-compute all'!H176&gt;$Q$3,1,0)</f>
        <v>0</v>
      </c>
      <c r="J204" s="37">
        <f>IF('pre-compute all'!I176&gt;$Q$3,1,0)</f>
        <v>1</v>
      </c>
      <c r="K204" s="37">
        <f>IF('pre-compute all'!J176&gt;$Q$3,1,0)</f>
        <v>1</v>
      </c>
    </row>
    <row r="205" spans="1:11" ht="15.75">
      <c r="A205" s="1" t="s">
        <v>217</v>
      </c>
      <c r="B205" s="10" t="s">
        <v>244</v>
      </c>
      <c r="C205" s="8" t="s">
        <v>319</v>
      </c>
      <c r="D205" s="1">
        <v>3</v>
      </c>
      <c r="E205" s="1">
        <v>0</v>
      </c>
      <c r="G205">
        <f>IF('pre-compute all'!E177&gt;$Q$3,1,0)</f>
        <v>0</v>
      </c>
      <c r="H205" s="37">
        <f>IF('pre-compute all'!$G$2&gt;$Q$3,1,0)</f>
        <v>0</v>
      </c>
      <c r="I205" s="37">
        <f>IF('pre-compute all'!H177&gt;$Q$3,1,0)</f>
        <v>0</v>
      </c>
      <c r="J205" s="37">
        <f>IF('pre-compute all'!I177&gt;$Q$3,1,0)</f>
        <v>1</v>
      </c>
      <c r="K205" s="37">
        <f>IF('pre-compute all'!J177&gt;$Q$3,1,0)</f>
        <v>1</v>
      </c>
    </row>
    <row r="206" spans="1:11" ht="15.75">
      <c r="A206" s="1" t="s">
        <v>187</v>
      </c>
      <c r="B206" s="10" t="s">
        <v>244</v>
      </c>
      <c r="C206" s="8" t="s">
        <v>319</v>
      </c>
      <c r="D206" s="1">
        <v>3</v>
      </c>
      <c r="E206" s="1">
        <v>0</v>
      </c>
      <c r="G206">
        <f>IF('pre-compute all'!E178&gt;$Q$3,1,0)</f>
        <v>0</v>
      </c>
      <c r="H206" s="37">
        <f>IF('pre-compute all'!$G$2&gt;$Q$3,1,0)</f>
        <v>0</v>
      </c>
      <c r="I206" s="37">
        <f>IF('pre-compute all'!H178&gt;$Q$3,1,0)</f>
        <v>0</v>
      </c>
      <c r="J206" s="37">
        <f>IF('pre-compute all'!I178&gt;$Q$3,1,0)</f>
        <v>1</v>
      </c>
      <c r="K206" s="37">
        <f>IF('pre-compute all'!J178&gt;$Q$3,1,0)</f>
        <v>1</v>
      </c>
    </row>
    <row r="207" spans="1:11" ht="15.75">
      <c r="A207" s="1" t="s">
        <v>216</v>
      </c>
      <c r="B207" s="10" t="s">
        <v>244</v>
      </c>
      <c r="C207" s="8" t="s">
        <v>319</v>
      </c>
      <c r="D207" s="1">
        <v>3</v>
      </c>
      <c r="E207" s="1">
        <v>0</v>
      </c>
      <c r="G207">
        <f>IF('pre-compute all'!E179&gt;$Q$3,1,0)</f>
        <v>0</v>
      </c>
      <c r="H207" s="37">
        <f>IF('pre-compute all'!$G$2&gt;$Q$3,1,0)</f>
        <v>0</v>
      </c>
      <c r="I207" s="37">
        <f>IF('pre-compute all'!H179&gt;$Q$3,1,0)</f>
        <v>0</v>
      </c>
      <c r="J207" s="37">
        <f>IF('pre-compute all'!I179&gt;$Q$3,1,0)</f>
        <v>1</v>
      </c>
      <c r="K207" s="37">
        <f>IF('pre-compute all'!J179&gt;$Q$3,1,0)</f>
        <v>1</v>
      </c>
    </row>
    <row r="208" spans="1:11" ht="15.75">
      <c r="A208" s="1" t="s">
        <v>218</v>
      </c>
      <c r="B208" s="10" t="s">
        <v>246</v>
      </c>
      <c r="C208" s="8" t="s">
        <v>343</v>
      </c>
      <c r="D208" s="1">
        <v>3</v>
      </c>
      <c r="E208" s="1">
        <v>1</v>
      </c>
      <c r="G208">
        <f>IF('pre-compute all'!E213&gt;$Q$3,1,0)</f>
        <v>1</v>
      </c>
      <c r="H208" s="37">
        <f>IF('pre-compute all'!$G$2&gt;$Q$3,1,0)</f>
        <v>0</v>
      </c>
      <c r="I208" s="37">
        <f>IF('pre-compute all'!H213&gt;$Q$3,1,0)</f>
        <v>0</v>
      </c>
      <c r="J208" s="37">
        <f>IF('pre-compute all'!I213&gt;$Q$3,1,0)</f>
        <v>1</v>
      </c>
      <c r="K208" s="37">
        <f>IF('pre-compute all'!J213&gt;$Q$3,1,0)</f>
        <v>1</v>
      </c>
    </row>
    <row r="209" spans="1:11" ht="15.75">
      <c r="A209" s="1" t="s">
        <v>217</v>
      </c>
      <c r="B209" s="10" t="s">
        <v>246</v>
      </c>
      <c r="C209" s="8" t="s">
        <v>343</v>
      </c>
      <c r="D209" s="1">
        <v>3</v>
      </c>
      <c r="E209" s="1">
        <v>0</v>
      </c>
      <c r="G209">
        <f>IF('pre-compute all'!E180&gt;$Q$3,1,0)</f>
        <v>0</v>
      </c>
      <c r="H209" s="37">
        <f>IF('pre-compute all'!$G$2&gt;$Q$3,1,0)</f>
        <v>0</v>
      </c>
      <c r="I209" s="37">
        <f>IF('pre-compute all'!H180&gt;$Q$3,1,0)</f>
        <v>0</v>
      </c>
      <c r="J209" s="37">
        <f>IF('pre-compute all'!I180&gt;$Q$3,1,0)</f>
        <v>1</v>
      </c>
      <c r="K209" s="37">
        <f>IF('pre-compute all'!J180&gt;$Q$3,1,0)</f>
        <v>1</v>
      </c>
    </row>
    <row r="210" spans="1:11" ht="15.75">
      <c r="A210" s="1" t="s">
        <v>187</v>
      </c>
      <c r="B210" s="10" t="s">
        <v>246</v>
      </c>
      <c r="C210" s="8" t="s">
        <v>343</v>
      </c>
      <c r="D210" s="1">
        <v>3</v>
      </c>
      <c r="E210" s="1">
        <v>1</v>
      </c>
      <c r="G210">
        <f>IF('pre-compute all'!E214&gt;$Q$3,1,0)</f>
        <v>1</v>
      </c>
      <c r="H210" s="37">
        <f>IF('pre-compute all'!$G$2&gt;$Q$3,1,0)</f>
        <v>0</v>
      </c>
      <c r="I210" s="37">
        <f>IF('pre-compute all'!H214&gt;$Q$3,1,0)</f>
        <v>0</v>
      </c>
      <c r="J210" s="37">
        <f>IF('pre-compute all'!I214&gt;$Q$3,1,0)</f>
        <v>1</v>
      </c>
      <c r="K210" s="37">
        <f>IF('pre-compute all'!J214&gt;$Q$3,1,0)</f>
        <v>1</v>
      </c>
    </row>
    <row r="211" spans="1:11" ht="15.75">
      <c r="A211" s="1" t="s">
        <v>216</v>
      </c>
      <c r="B211" s="10" t="s">
        <v>246</v>
      </c>
      <c r="C211" s="8" t="s">
        <v>343</v>
      </c>
      <c r="D211" s="1">
        <v>3</v>
      </c>
      <c r="E211" s="1">
        <v>0</v>
      </c>
      <c r="G211">
        <f>IF('pre-compute all'!E181&gt;$Q$3,1,0)</f>
        <v>0</v>
      </c>
      <c r="H211" s="37">
        <f>IF('pre-compute all'!$G$2&gt;$Q$3,1,0)</f>
        <v>0</v>
      </c>
      <c r="I211" s="37">
        <f>IF('pre-compute all'!H181&gt;$Q$3,1,0)</f>
        <v>0</v>
      </c>
      <c r="J211" s="37">
        <f>IF('pre-compute all'!I181&gt;$Q$3,1,0)</f>
        <v>1</v>
      </c>
      <c r="K211" s="37">
        <f>IF('pre-compute all'!J181&gt;$Q$3,1,0)</f>
        <v>1</v>
      </c>
    </row>
    <row r="212" spans="1:11" ht="15.75">
      <c r="A212" s="1" t="s">
        <v>211</v>
      </c>
      <c r="B212" s="10" t="s">
        <v>246</v>
      </c>
      <c r="C212" s="8" t="s">
        <v>343</v>
      </c>
      <c r="D212" s="1">
        <v>3</v>
      </c>
      <c r="E212" s="1">
        <v>1</v>
      </c>
      <c r="G212">
        <f>IF('pre-compute all'!E215&gt;$Q$3,1,0)</f>
        <v>1</v>
      </c>
      <c r="H212" s="37">
        <f>IF('pre-compute all'!$G$2&gt;$Q$3,1,0)</f>
        <v>0</v>
      </c>
      <c r="I212" s="37">
        <f>IF('pre-compute all'!H215&gt;$Q$3,1,0)</f>
        <v>0</v>
      </c>
      <c r="J212" s="37">
        <f>IF('pre-compute all'!I215&gt;$Q$3,1,0)</f>
        <v>1</v>
      </c>
      <c r="K212" s="37">
        <f>IF('pre-compute all'!J215&gt;$Q$3,1,0)</f>
        <v>1</v>
      </c>
    </row>
    <row r="213" spans="1:11" ht="15.75">
      <c r="A213" s="1" t="s">
        <v>218</v>
      </c>
      <c r="B213" s="10" t="s">
        <v>241</v>
      </c>
      <c r="C213" s="8" t="s">
        <v>321</v>
      </c>
      <c r="D213" s="1">
        <v>3</v>
      </c>
      <c r="E213" s="1">
        <v>1</v>
      </c>
      <c r="G213">
        <f>IF('pre-compute all'!E216&gt;$Q$3,1,0)</f>
        <v>1</v>
      </c>
      <c r="H213" s="37">
        <f>IF('pre-compute all'!$G$2&gt;$Q$3,1,0)</f>
        <v>0</v>
      </c>
      <c r="I213" s="37">
        <f>IF('pre-compute all'!H216&gt;$Q$3,1,0)</f>
        <v>0</v>
      </c>
      <c r="J213" s="37">
        <f>IF('pre-compute all'!I216&gt;$Q$3,1,0)</f>
        <v>1</v>
      </c>
      <c r="K213" s="37">
        <f>IF('pre-compute all'!J216&gt;$Q$3,1,0)</f>
        <v>1</v>
      </c>
    </row>
    <row r="214" spans="1:11" ht="15.75">
      <c r="A214" s="1" t="s">
        <v>217</v>
      </c>
      <c r="B214" s="10" t="s">
        <v>241</v>
      </c>
      <c r="C214" s="8" t="s">
        <v>321</v>
      </c>
      <c r="D214" s="1">
        <v>3</v>
      </c>
      <c r="E214" s="1">
        <v>1</v>
      </c>
      <c r="G214">
        <f>IF('pre-compute all'!E217&gt;$Q$3,1,0)</f>
        <v>1</v>
      </c>
      <c r="H214" s="37">
        <f>IF('pre-compute all'!$G$2&gt;$Q$3,1,0)</f>
        <v>0</v>
      </c>
      <c r="I214" s="37">
        <f>IF('pre-compute all'!H217&gt;$Q$3,1,0)</f>
        <v>0</v>
      </c>
      <c r="J214" s="37">
        <f>IF('pre-compute all'!I217&gt;$Q$3,1,0)</f>
        <v>1</v>
      </c>
      <c r="K214" s="37">
        <f>IF('pre-compute all'!J217&gt;$Q$3,1,0)</f>
        <v>1</v>
      </c>
    </row>
    <row r="215" spans="1:11" ht="15.75">
      <c r="A215" s="59" t="s">
        <v>187</v>
      </c>
      <c r="B215" s="60" t="s">
        <v>241</v>
      </c>
      <c r="C215" s="61" t="s">
        <v>321</v>
      </c>
      <c r="D215" s="1">
        <v>3</v>
      </c>
      <c r="E215" s="1">
        <v>0</v>
      </c>
      <c r="G215">
        <f>IF('pre-compute all'!E182&gt;$Q$3,1,0)</f>
        <v>1</v>
      </c>
      <c r="H215" s="37">
        <f>IF('pre-compute all'!$G$2&gt;$Q$3,1,0)</f>
        <v>0</v>
      </c>
      <c r="I215" s="37">
        <f>IF('pre-compute all'!H182&gt;$Q$3,1,0)</f>
        <v>0</v>
      </c>
      <c r="J215" s="37">
        <f>IF('pre-compute all'!I182&gt;$Q$3,1,0)</f>
        <v>1</v>
      </c>
      <c r="K215" s="37">
        <f>IF('pre-compute all'!J182&gt;$Q$3,1,0)</f>
        <v>1</v>
      </c>
    </row>
    <row r="216" spans="1:11" ht="15.75">
      <c r="A216" s="1" t="s">
        <v>216</v>
      </c>
      <c r="B216" s="10" t="s">
        <v>241</v>
      </c>
      <c r="C216" s="8" t="s">
        <v>321</v>
      </c>
      <c r="D216" s="1">
        <v>3</v>
      </c>
      <c r="E216" s="1">
        <v>0</v>
      </c>
      <c r="G216">
        <f>IF('pre-compute all'!E183&gt;$Q$3,1,0)</f>
        <v>0</v>
      </c>
      <c r="H216" s="37">
        <f>IF('pre-compute all'!$G$2&gt;$Q$3,1,0)</f>
        <v>0</v>
      </c>
      <c r="I216" s="37">
        <f>IF('pre-compute all'!H183&gt;$Q$3,1,0)</f>
        <v>0</v>
      </c>
      <c r="J216" s="37">
        <f>IF('pre-compute all'!I183&gt;$Q$3,1,0)</f>
        <v>1</v>
      </c>
      <c r="K216" s="37">
        <f>IF('pre-compute all'!J183&gt;$Q$3,1,0)</f>
        <v>1</v>
      </c>
    </row>
    <row r="217" spans="1:11" ht="15.75">
      <c r="A217" s="1" t="s">
        <v>217</v>
      </c>
      <c r="B217" s="10" t="s">
        <v>257</v>
      </c>
      <c r="C217" s="8" t="s">
        <v>323</v>
      </c>
      <c r="D217" s="1">
        <v>3</v>
      </c>
      <c r="E217" s="1">
        <v>0</v>
      </c>
      <c r="G217">
        <f>IF('pre-compute all'!E184&gt;$Q$3,1,0)</f>
        <v>0</v>
      </c>
      <c r="H217" s="37">
        <f>IF('pre-compute all'!$G$2&gt;$Q$3,1,0)</f>
        <v>0</v>
      </c>
      <c r="I217" s="37">
        <f>IF('pre-compute all'!H184&gt;$Q$3,1,0)</f>
        <v>0</v>
      </c>
      <c r="J217" s="37">
        <f>IF('pre-compute all'!I184&gt;$Q$3,1,0)</f>
        <v>1</v>
      </c>
      <c r="K217" s="37">
        <f>IF('pre-compute all'!J184&gt;$Q$3,1,0)</f>
        <v>1</v>
      </c>
    </row>
    <row r="218" spans="1:11" ht="15.75">
      <c r="A218" s="1" t="s">
        <v>216</v>
      </c>
      <c r="B218" s="10" t="s">
        <v>257</v>
      </c>
      <c r="C218" s="8" t="s">
        <v>323</v>
      </c>
      <c r="D218" s="1">
        <v>3</v>
      </c>
      <c r="E218" s="1">
        <v>1</v>
      </c>
      <c r="G218">
        <f>IF('pre-compute all'!E218&gt;$Q$3,1,0)</f>
        <v>1</v>
      </c>
      <c r="H218" s="37">
        <f>IF('pre-compute all'!$G$2&gt;$Q$3,1,0)</f>
        <v>0</v>
      </c>
      <c r="I218" s="37">
        <f>IF('pre-compute all'!H218&gt;$Q$3,1,0)</f>
        <v>0</v>
      </c>
      <c r="J218" s="37">
        <f>IF('pre-compute all'!I218&gt;$Q$3,1,0)</f>
        <v>1</v>
      </c>
      <c r="K218" s="37">
        <f>IF('pre-compute all'!J218&gt;$Q$3,1,0)</f>
        <v>1</v>
      </c>
    </row>
    <row r="219" spans="1:11" ht="15.75">
      <c r="A219" s="1" t="s">
        <v>187</v>
      </c>
      <c r="B219" s="10" t="s">
        <v>290</v>
      </c>
      <c r="C219" s="10" t="s">
        <v>334</v>
      </c>
      <c r="D219" s="1">
        <v>4</v>
      </c>
      <c r="E219" s="1">
        <v>0</v>
      </c>
      <c r="F219" s="10"/>
      <c r="G219">
        <f>IF('pre-compute all'!E219&gt;$R$3,1,0)</f>
        <v>0</v>
      </c>
      <c r="H219" s="37">
        <f>IF('pre-compute all'!$G$2&gt;$R$3,1,0)</f>
        <v>0</v>
      </c>
      <c r="I219" s="37">
        <f>IF('pre-compute all'!H219&gt;$R$3,1,0)</f>
        <v>0</v>
      </c>
      <c r="J219" s="37">
        <f>IF('pre-compute all'!I219&gt;$R$3,1,0)</f>
        <v>1</v>
      </c>
      <c r="K219" s="37">
        <f>IF('pre-compute all'!J219&gt;$R$3,1,0)</f>
        <v>1</v>
      </c>
    </row>
    <row r="220" spans="1:11" ht="15.75">
      <c r="A220" s="1" t="s">
        <v>217</v>
      </c>
      <c r="B220" s="10" t="s">
        <v>189</v>
      </c>
      <c r="C220" s="8" t="s">
        <v>314</v>
      </c>
      <c r="D220" s="1">
        <v>4</v>
      </c>
      <c r="E220" s="1">
        <v>0</v>
      </c>
      <c r="G220">
        <f>IF('pre-compute all'!E220&gt;$R$3,1,0)</f>
        <v>0</v>
      </c>
      <c r="H220" s="37">
        <f>IF('pre-compute all'!$G$2&gt;$R$3,1,0)</f>
        <v>0</v>
      </c>
      <c r="I220" s="37">
        <f>IF('pre-compute all'!H220&gt;$R$3,1,0)</f>
        <v>0</v>
      </c>
      <c r="J220" s="37">
        <f>IF('pre-compute all'!I220&gt;$R$3,1,0)</f>
        <v>1</v>
      </c>
      <c r="K220" s="37">
        <f>IF('pre-compute all'!J220&gt;$R$3,1,0)</f>
        <v>1</v>
      </c>
    </row>
    <row r="221" spans="1:11" ht="15.75">
      <c r="A221" s="1" t="s">
        <v>216</v>
      </c>
      <c r="B221" s="10" t="s">
        <v>189</v>
      </c>
      <c r="C221" s="8" t="s">
        <v>314</v>
      </c>
      <c r="D221" s="1">
        <v>4</v>
      </c>
      <c r="E221" s="1">
        <v>0</v>
      </c>
      <c r="F221" s="10"/>
      <c r="G221">
        <f>IF('pre-compute all'!E221&gt;$R$3,1,0)</f>
        <v>0</v>
      </c>
      <c r="H221" s="37">
        <f>IF('pre-compute all'!$G$2&gt;$R$3,1,0)</f>
        <v>0</v>
      </c>
      <c r="I221" s="37">
        <f>IF('pre-compute all'!H221&gt;$R$3,1,0)</f>
        <v>0</v>
      </c>
      <c r="J221" s="37">
        <f>IF('pre-compute all'!I221&gt;$R$3,1,0)</f>
        <v>1</v>
      </c>
      <c r="K221" s="37">
        <f>IF('pre-compute all'!J221&gt;$R$3,1,0)</f>
        <v>1</v>
      </c>
    </row>
    <row r="222" spans="1:11" ht="15.75">
      <c r="A222" s="1" t="s">
        <v>211</v>
      </c>
      <c r="B222" s="10" t="s">
        <v>295</v>
      </c>
      <c r="C222" s="10" t="s">
        <v>335</v>
      </c>
      <c r="D222" s="1">
        <v>4</v>
      </c>
      <c r="E222" s="1">
        <v>0</v>
      </c>
      <c r="G222">
        <f>IF('pre-compute all'!E222&gt;$R$3,1,0)</f>
        <v>0</v>
      </c>
      <c r="H222" s="37">
        <f>IF('pre-compute all'!$G$2&gt;$R$3,1,0)</f>
        <v>0</v>
      </c>
      <c r="I222" s="37">
        <f>IF('pre-compute all'!H222&gt;$R$3,1,0)</f>
        <v>0</v>
      </c>
      <c r="J222" s="37">
        <f>IF('pre-compute all'!I222&gt;$R$3,1,0)</f>
        <v>1</v>
      </c>
      <c r="K222" s="37">
        <f>IF('pre-compute all'!J222&gt;$R$3,1,0)</f>
        <v>1</v>
      </c>
    </row>
    <row r="223" spans="1:11" ht="15" customHeight="1">
      <c r="A223" s="59" t="s">
        <v>187</v>
      </c>
      <c r="B223" s="60" t="s">
        <v>289</v>
      </c>
      <c r="C223" s="60" t="s">
        <v>320</v>
      </c>
      <c r="D223" s="1">
        <v>4</v>
      </c>
      <c r="E223" s="1">
        <v>0</v>
      </c>
      <c r="F223" s="10"/>
      <c r="G223">
        <f>IF('pre-compute all'!E223&gt;$R$3,1,0)</f>
        <v>1</v>
      </c>
      <c r="H223" s="37">
        <f>IF('pre-compute all'!$G$2&gt;$R$3,1,0)</f>
        <v>0</v>
      </c>
      <c r="I223" s="37">
        <f>IF('pre-compute all'!H223&gt;$R$3,1,0)</f>
        <v>0</v>
      </c>
      <c r="J223" s="37">
        <f>IF('pre-compute all'!I223&gt;$R$3,1,0)</f>
        <v>1</v>
      </c>
      <c r="K223" s="37">
        <f>IF('pre-compute all'!J223&gt;$R$3,1,0)</f>
        <v>1</v>
      </c>
    </row>
    <row r="224" spans="1:11" ht="15.75">
      <c r="A224" s="1" t="s">
        <v>216</v>
      </c>
      <c r="B224" s="10" t="s">
        <v>289</v>
      </c>
      <c r="C224" s="8" t="s">
        <v>336</v>
      </c>
      <c r="D224" s="1">
        <v>4</v>
      </c>
      <c r="E224" s="1">
        <v>0</v>
      </c>
      <c r="F224" s="10"/>
      <c r="G224">
        <f>IF('pre-compute all'!E224&gt;$R$3,1,0)</f>
        <v>0</v>
      </c>
      <c r="H224" s="37">
        <f>IF('pre-compute all'!$G$2&gt;$R$3,1,0)</f>
        <v>0</v>
      </c>
      <c r="I224" s="37">
        <f>IF('pre-compute all'!H224&gt;$R$3,1,0)</f>
        <v>0</v>
      </c>
      <c r="J224" s="37">
        <f>IF('pre-compute all'!I224&gt;$R$3,1,0)</f>
        <v>1</v>
      </c>
      <c r="K224" s="37">
        <f>IF('pre-compute all'!J224&gt;$R$3,1,0)</f>
        <v>1</v>
      </c>
    </row>
    <row r="225" spans="1:11" ht="15.75">
      <c r="A225" s="1" t="s">
        <v>218</v>
      </c>
      <c r="B225" s="10" t="s">
        <v>292</v>
      </c>
      <c r="C225" s="8" t="s">
        <v>336</v>
      </c>
      <c r="D225" s="1">
        <v>4</v>
      </c>
      <c r="E225" s="1">
        <v>0</v>
      </c>
      <c r="F225" s="10"/>
      <c r="G225">
        <f>IF('pre-compute all'!E225&gt;$R$3,1,0)</f>
        <v>0</v>
      </c>
      <c r="H225" s="37">
        <f>IF('pre-compute all'!$G$2&gt;$R$3,1,0)</f>
        <v>0</v>
      </c>
      <c r="I225" s="37">
        <f>IF('pre-compute all'!H225&gt;$R$3,1,0)</f>
        <v>0</v>
      </c>
      <c r="J225" s="37">
        <f>IF('pre-compute all'!I225&gt;$R$3,1,0)</f>
        <v>1</v>
      </c>
      <c r="K225" s="37">
        <f>IF('pre-compute all'!J225&gt;$R$3,1,0)</f>
        <v>1</v>
      </c>
    </row>
    <row r="226" spans="1:11" ht="15.75">
      <c r="A226" s="59" t="s">
        <v>187</v>
      </c>
      <c r="B226" s="60" t="s">
        <v>292</v>
      </c>
      <c r="C226" s="60" t="s">
        <v>320</v>
      </c>
      <c r="D226" s="1">
        <v>4</v>
      </c>
      <c r="E226" s="1">
        <v>0</v>
      </c>
      <c r="F226" s="10"/>
      <c r="G226">
        <f>IF('pre-compute all'!E226&gt;$R$3,1,0)</f>
        <v>1</v>
      </c>
      <c r="H226" s="37">
        <f>IF('pre-compute all'!$G$2&gt;$R$3,1,0)</f>
        <v>0</v>
      </c>
      <c r="I226" s="37">
        <f>IF('pre-compute all'!H226&gt;$R$3,1,0)</f>
        <v>0</v>
      </c>
      <c r="J226" s="37">
        <f>IF('pre-compute all'!I226&gt;$R$3,1,0)</f>
        <v>1</v>
      </c>
      <c r="K226" s="37">
        <f>IF('pre-compute all'!J226&gt;$R$3,1,0)</f>
        <v>1</v>
      </c>
    </row>
    <row r="227" spans="1:11" ht="15.75">
      <c r="A227" s="1" t="s">
        <v>216</v>
      </c>
      <c r="B227" s="10" t="s">
        <v>188</v>
      </c>
      <c r="C227" s="8" t="s">
        <v>339</v>
      </c>
      <c r="D227" s="1">
        <v>4</v>
      </c>
      <c r="E227" s="1">
        <v>0</v>
      </c>
      <c r="F227" s="10"/>
      <c r="G227">
        <f>IF('pre-compute all'!E227&gt;$R$3,1,0)</f>
        <v>0</v>
      </c>
      <c r="H227" s="37">
        <f>IF('pre-compute all'!$G$2&gt;$R$3,1,0)</f>
        <v>0</v>
      </c>
      <c r="I227" s="37">
        <f>IF('pre-compute all'!H227&gt;$R$3,1,0)</f>
        <v>0</v>
      </c>
      <c r="J227" s="37">
        <f>IF('pre-compute all'!I227&gt;$R$3,1,0)</f>
        <v>1</v>
      </c>
      <c r="K227" s="37">
        <f>IF('pre-compute all'!J227&gt;$R$3,1,0)</f>
        <v>1</v>
      </c>
    </row>
    <row r="228" spans="1:11" ht="15.75">
      <c r="A228" s="1" t="s">
        <v>211</v>
      </c>
      <c r="B228" s="10" t="s">
        <v>188</v>
      </c>
      <c r="C228" s="8" t="s">
        <v>339</v>
      </c>
      <c r="D228" s="1">
        <v>4</v>
      </c>
      <c r="E228" s="1">
        <v>0</v>
      </c>
      <c r="G228">
        <f>IF('pre-compute all'!E228&gt;$R$3,1,0)</f>
        <v>0</v>
      </c>
      <c r="H228" s="37">
        <f>IF('pre-compute all'!$G$2&gt;$R$3,1,0)</f>
        <v>0</v>
      </c>
      <c r="I228" s="37">
        <f>IF('pre-compute all'!H228&gt;$R$3,1,0)</f>
        <v>0</v>
      </c>
      <c r="J228" s="37">
        <f>IF('pre-compute all'!I228&gt;$R$3,1,0)</f>
        <v>1</v>
      </c>
      <c r="K228" s="37">
        <f>IF('pre-compute all'!J228&gt;$R$3,1,0)</f>
        <v>1</v>
      </c>
    </row>
    <row r="229" spans="1:11" ht="15.75">
      <c r="A229" s="1" t="s">
        <v>218</v>
      </c>
      <c r="B229" s="10" t="s">
        <v>278</v>
      </c>
      <c r="C229" s="10" t="s">
        <v>319</v>
      </c>
      <c r="D229" s="1">
        <v>4</v>
      </c>
      <c r="E229" s="1">
        <v>1</v>
      </c>
      <c r="F229" s="10"/>
      <c r="G229">
        <f>IF('pre-compute all'!E243&gt;$R$3,1,0)</f>
        <v>1</v>
      </c>
      <c r="H229" s="37">
        <f>IF('pre-compute all'!$G$2&gt;$R$3,1,0)</f>
        <v>0</v>
      </c>
      <c r="I229" s="37">
        <f>IF('pre-compute all'!H243&gt;$R$3,1,0)</f>
        <v>0</v>
      </c>
      <c r="J229" s="37">
        <f>IF('pre-compute all'!I243&gt;$R$3,1,0)</f>
        <v>1</v>
      </c>
      <c r="K229" s="37">
        <f>IF('pre-compute all'!J243&gt;$R$3,1,0)</f>
        <v>1</v>
      </c>
    </row>
    <row r="230" spans="1:11" ht="15.75">
      <c r="A230" s="59" t="s">
        <v>217</v>
      </c>
      <c r="B230" s="60" t="s">
        <v>278</v>
      </c>
      <c r="C230" s="61" t="s">
        <v>319</v>
      </c>
      <c r="D230" s="1">
        <v>4</v>
      </c>
      <c r="E230" s="1">
        <v>0</v>
      </c>
      <c r="G230">
        <f>IF('pre-compute all'!E229&gt;$R$3,1,0)</f>
        <v>1</v>
      </c>
      <c r="H230" s="37">
        <f>IF('pre-compute all'!$G$2&gt;$R$3,1,0)</f>
        <v>0</v>
      </c>
      <c r="I230" s="37">
        <f>IF('pre-compute all'!H229&gt;$R$3,1,0)</f>
        <v>0</v>
      </c>
      <c r="J230" s="37">
        <f>IF('pre-compute all'!I229&gt;$R$3,1,0)</f>
        <v>1</v>
      </c>
      <c r="K230" s="37">
        <f>IF('pre-compute all'!J229&gt;$R$3,1,0)</f>
        <v>1</v>
      </c>
    </row>
    <row r="231" spans="1:11" ht="15.75">
      <c r="A231" s="59" t="s">
        <v>187</v>
      </c>
      <c r="B231" s="60" t="s">
        <v>278</v>
      </c>
      <c r="C231" s="60" t="s">
        <v>319</v>
      </c>
      <c r="D231" s="1">
        <v>4</v>
      </c>
      <c r="E231" s="1">
        <v>0</v>
      </c>
      <c r="G231">
        <f>IF('pre-compute all'!E230&gt;$R$3,1,0)</f>
        <v>1</v>
      </c>
      <c r="H231" s="37">
        <f>IF('pre-compute all'!$G$2&gt;$R$3,1,0)</f>
        <v>0</v>
      </c>
      <c r="I231" s="37">
        <f>IF('pre-compute all'!H230&gt;$R$3,1,0)</f>
        <v>0</v>
      </c>
      <c r="J231" s="37">
        <f>IF('pre-compute all'!I230&gt;$R$3,1,0)</f>
        <v>1</v>
      </c>
      <c r="K231" s="37">
        <f>IF('pre-compute all'!J230&gt;$R$3,1,0)</f>
        <v>1</v>
      </c>
    </row>
    <row r="232" spans="1:11" ht="15.75">
      <c r="A232" s="1" t="s">
        <v>218</v>
      </c>
      <c r="B232" s="10" t="s">
        <v>263</v>
      </c>
      <c r="C232" s="10" t="s">
        <v>319</v>
      </c>
      <c r="D232" s="1">
        <v>4</v>
      </c>
      <c r="E232" s="1">
        <v>1</v>
      </c>
      <c r="G232">
        <f>IF('pre-compute all'!E244&gt;$R$3,1,0)</f>
        <v>1</v>
      </c>
      <c r="H232" s="37">
        <f>IF('pre-compute all'!$G$2&gt;$R$3,1,0)</f>
        <v>0</v>
      </c>
      <c r="I232" s="37">
        <f>IF('pre-compute all'!H244&gt;$R$3,1,0)</f>
        <v>0</v>
      </c>
      <c r="J232" s="37">
        <f>IF('pre-compute all'!I244&gt;$R$3,1,0)</f>
        <v>1</v>
      </c>
      <c r="K232" s="37">
        <f>IF('pre-compute all'!J244&gt;$R$3,1,0)</f>
        <v>1</v>
      </c>
    </row>
    <row r="233" spans="1:11" ht="15.75">
      <c r="A233" s="59" t="s">
        <v>217</v>
      </c>
      <c r="B233" s="60" t="s">
        <v>263</v>
      </c>
      <c r="C233" s="61" t="s">
        <v>319</v>
      </c>
      <c r="D233" s="1">
        <v>4</v>
      </c>
      <c r="E233" s="1">
        <v>0</v>
      </c>
      <c r="G233">
        <f>IF('pre-compute all'!E231&gt;$R$3,1,0)</f>
        <v>1</v>
      </c>
      <c r="H233" s="37">
        <f>IF('pre-compute all'!$G$2&gt;$R$3,1,0)</f>
        <v>0</v>
      </c>
      <c r="I233" s="37">
        <f>IF('pre-compute all'!H231&gt;$R$3,1,0)</f>
        <v>0</v>
      </c>
      <c r="J233" s="37">
        <f>IF('pre-compute all'!I231&gt;$R$3,1,0)</f>
        <v>1</v>
      </c>
      <c r="K233" s="37">
        <f>IF('pre-compute all'!J231&gt;$R$3,1,0)</f>
        <v>1</v>
      </c>
    </row>
    <row r="234" spans="1:11" ht="15.75">
      <c r="A234" s="59" t="s">
        <v>187</v>
      </c>
      <c r="B234" s="60" t="s">
        <v>263</v>
      </c>
      <c r="C234" s="60" t="s">
        <v>319</v>
      </c>
      <c r="D234" s="1">
        <v>4</v>
      </c>
      <c r="E234" s="1">
        <v>0</v>
      </c>
      <c r="F234" s="10"/>
      <c r="G234">
        <f>IF('pre-compute all'!E232&gt;$R$3,1,0)</f>
        <v>1</v>
      </c>
      <c r="H234" s="37">
        <f>IF('pre-compute all'!$G$2&gt;$R$3,1,0)</f>
        <v>0</v>
      </c>
      <c r="I234" s="37">
        <f>IF('pre-compute all'!H232&gt;$R$3,1,0)</f>
        <v>0</v>
      </c>
      <c r="J234" s="37">
        <f>IF('pre-compute all'!I232&gt;$R$3,1,0)</f>
        <v>1</v>
      </c>
      <c r="K234" s="37">
        <f>IF('pre-compute all'!J232&gt;$R$3,1,0)</f>
        <v>1</v>
      </c>
    </row>
    <row r="235" spans="1:11" ht="15.75">
      <c r="A235" s="1" t="s">
        <v>217</v>
      </c>
      <c r="B235" s="10" t="s">
        <v>95</v>
      </c>
      <c r="C235" s="8" t="s">
        <v>334</v>
      </c>
      <c r="D235" s="1">
        <v>4</v>
      </c>
      <c r="E235" s="1">
        <v>0</v>
      </c>
      <c r="G235">
        <f>IF('pre-compute all'!E233&gt;$R$3,1,0)</f>
        <v>0</v>
      </c>
      <c r="H235" s="37">
        <f>IF('pre-compute all'!$G$2&gt;$R$3,1,0)</f>
        <v>0</v>
      </c>
      <c r="I235" s="37">
        <f>IF('pre-compute all'!H233&gt;$R$3,1,0)</f>
        <v>0</v>
      </c>
      <c r="J235" s="37">
        <f>IF('pre-compute all'!I233&gt;$R$3,1,0)</f>
        <v>1</v>
      </c>
      <c r="K235" s="37">
        <f>IF('pre-compute all'!J233&gt;$R$3,1,0)</f>
        <v>1</v>
      </c>
    </row>
    <row r="236" spans="1:11" ht="15.75">
      <c r="A236" s="1" t="s">
        <v>216</v>
      </c>
      <c r="B236" s="10" t="s">
        <v>95</v>
      </c>
      <c r="C236" s="8" t="s">
        <v>334</v>
      </c>
      <c r="D236" s="1">
        <v>4</v>
      </c>
      <c r="E236" s="1">
        <v>0</v>
      </c>
      <c r="F236" s="10"/>
      <c r="G236">
        <f>IF('pre-compute all'!E234&gt;$R$3,1,0)</f>
        <v>0</v>
      </c>
      <c r="H236" s="37">
        <f>IF('pre-compute all'!$G$2&gt;$R$3,1,0)</f>
        <v>0</v>
      </c>
      <c r="I236" s="37">
        <f>IF('pre-compute all'!H234&gt;$R$3,1,0)</f>
        <v>0</v>
      </c>
      <c r="J236" s="37">
        <f>IF('pre-compute all'!I234&gt;$R$3,1,0)</f>
        <v>1</v>
      </c>
      <c r="K236" s="37">
        <f>IF('pre-compute all'!J234&gt;$R$3,1,0)</f>
        <v>1</v>
      </c>
    </row>
    <row r="237" spans="1:11" ht="15.75">
      <c r="A237" s="1" t="s">
        <v>217</v>
      </c>
      <c r="B237" s="10" t="s">
        <v>265</v>
      </c>
      <c r="C237" s="8" t="s">
        <v>334</v>
      </c>
      <c r="D237" s="1">
        <v>4</v>
      </c>
      <c r="E237" s="1">
        <v>0</v>
      </c>
      <c r="G237">
        <f>IF('pre-compute all'!E235&gt;$R$3,1,0)</f>
        <v>0</v>
      </c>
      <c r="H237" s="37">
        <f>IF('pre-compute all'!$G$2&gt;$R$3,1,0)</f>
        <v>0</v>
      </c>
      <c r="I237" s="37">
        <f>IF('pre-compute all'!H235&gt;$R$3,1,0)</f>
        <v>0</v>
      </c>
      <c r="J237" s="37">
        <f>IF('pre-compute all'!I235&gt;$R$3,1,0)</f>
        <v>1</v>
      </c>
      <c r="K237" s="37">
        <f>IF('pre-compute all'!J235&gt;$R$3,1,0)</f>
        <v>1</v>
      </c>
    </row>
    <row r="238" spans="1:11" ht="15.75">
      <c r="A238" s="1" t="s">
        <v>217</v>
      </c>
      <c r="B238" s="10" t="s">
        <v>264</v>
      </c>
      <c r="C238" s="8" t="s">
        <v>340</v>
      </c>
      <c r="D238" s="1">
        <v>4</v>
      </c>
      <c r="E238" s="1">
        <v>0</v>
      </c>
      <c r="G238">
        <f>IF('pre-compute all'!E236&gt;$R$3,1,0)</f>
        <v>0</v>
      </c>
      <c r="H238" s="37">
        <f>IF('pre-compute all'!$G$2&gt;$R$3,1,0)</f>
        <v>0</v>
      </c>
      <c r="I238" s="37">
        <f>IF('pre-compute all'!H236&gt;$R$3,1,0)</f>
        <v>0</v>
      </c>
      <c r="J238" s="37">
        <f>IF('pre-compute all'!I236&gt;$R$3,1,0)</f>
        <v>1</v>
      </c>
      <c r="K238" s="37">
        <f>IF('pre-compute all'!J236&gt;$R$3,1,0)</f>
        <v>1</v>
      </c>
    </row>
    <row r="239" spans="1:11" ht="15.75">
      <c r="A239" s="59" t="s">
        <v>187</v>
      </c>
      <c r="B239" s="60" t="s">
        <v>264</v>
      </c>
      <c r="C239" s="60" t="s">
        <v>341</v>
      </c>
      <c r="D239" s="1">
        <v>4</v>
      </c>
      <c r="E239" s="1">
        <v>0</v>
      </c>
      <c r="F239" s="10"/>
      <c r="G239">
        <f>IF('pre-compute all'!E237&gt;$R$3,1,0)</f>
        <v>1</v>
      </c>
      <c r="H239" s="37">
        <f>IF('pre-compute all'!$G$2&gt;$R$3,1,0)</f>
        <v>0</v>
      </c>
      <c r="I239" s="37">
        <f>IF('pre-compute all'!H237&gt;$R$3,1,0)</f>
        <v>0</v>
      </c>
      <c r="J239" s="37">
        <f>IF('pre-compute all'!I237&gt;$R$3,1,0)</f>
        <v>1</v>
      </c>
      <c r="K239" s="37">
        <f>IF('pre-compute all'!J237&gt;$R$3,1,0)</f>
        <v>1</v>
      </c>
    </row>
    <row r="240" spans="1:11" ht="15.75">
      <c r="A240" s="1" t="s">
        <v>217</v>
      </c>
      <c r="B240" s="10" t="s">
        <v>266</v>
      </c>
      <c r="C240" s="8" t="s">
        <v>342</v>
      </c>
      <c r="D240" s="1">
        <v>4</v>
      </c>
      <c r="E240" s="1">
        <v>0</v>
      </c>
      <c r="G240">
        <f>IF('pre-compute all'!E238&gt;$R$3,1,0)</f>
        <v>0</v>
      </c>
      <c r="H240" s="37">
        <f>IF('pre-compute all'!$G$2&gt;$R$3,1,0)</f>
        <v>0</v>
      </c>
      <c r="I240" s="37">
        <f>IF('pre-compute all'!H238&gt;$R$3,1,0)</f>
        <v>0</v>
      </c>
      <c r="J240" s="37">
        <f>IF('pre-compute all'!I238&gt;$R$3,1,0)</f>
        <v>1</v>
      </c>
      <c r="K240" s="37">
        <f>IF('pre-compute all'!J238&gt;$R$3,1,0)</f>
        <v>1</v>
      </c>
    </row>
    <row r="241" spans="1:11" ht="15.75">
      <c r="A241" s="1" t="s">
        <v>216</v>
      </c>
      <c r="B241" s="10" t="s">
        <v>266</v>
      </c>
      <c r="C241" s="8" t="s">
        <v>342</v>
      </c>
      <c r="D241" s="1">
        <v>4</v>
      </c>
      <c r="E241" s="1">
        <v>0</v>
      </c>
      <c r="F241" s="10"/>
      <c r="G241">
        <f>IF('pre-compute all'!E239&gt;$R$3,1,0)</f>
        <v>0</v>
      </c>
      <c r="H241" s="37">
        <f>IF('pre-compute all'!$G$2&gt;$R$3,1,0)</f>
        <v>0</v>
      </c>
      <c r="I241" s="37">
        <f>IF('pre-compute all'!H239&gt;$R$3,1,0)</f>
        <v>0</v>
      </c>
      <c r="J241" s="37">
        <f>IF('pre-compute all'!I239&gt;$R$3,1,0)</f>
        <v>1</v>
      </c>
      <c r="K241" s="37">
        <f>IF('pre-compute all'!J239&gt;$R$3,1,0)</f>
        <v>1</v>
      </c>
    </row>
    <row r="242" spans="1:11" ht="31.5">
      <c r="A242" s="1" t="s">
        <v>218</v>
      </c>
      <c r="B242" s="10" t="s">
        <v>283</v>
      </c>
      <c r="C242" s="8" t="s">
        <v>317</v>
      </c>
      <c r="D242" s="1">
        <v>4</v>
      </c>
      <c r="E242" s="1">
        <v>1</v>
      </c>
      <c r="G242">
        <f>IF('pre-compute all'!E245&gt;$R$3,1,0)</f>
        <v>1</v>
      </c>
      <c r="H242" s="37">
        <f>IF('pre-compute all'!$G$2&gt;$R$3,1,0)</f>
        <v>0</v>
      </c>
      <c r="I242" s="37">
        <f>IF('pre-compute all'!H245&gt;$R$3,1,0)</f>
        <v>0</v>
      </c>
      <c r="J242" s="37">
        <f>IF('pre-compute all'!I245&gt;$R$3,1,0)</f>
        <v>1</v>
      </c>
      <c r="K242" s="37">
        <f>IF('pre-compute all'!J245&gt;$R$3,1,0)</f>
        <v>1</v>
      </c>
    </row>
    <row r="243" spans="1:11" ht="31.5">
      <c r="A243" s="1" t="s">
        <v>217</v>
      </c>
      <c r="B243" s="10" t="s">
        <v>283</v>
      </c>
      <c r="C243" s="8" t="s">
        <v>317</v>
      </c>
      <c r="D243" s="1">
        <v>4</v>
      </c>
      <c r="E243" s="1">
        <v>1</v>
      </c>
      <c r="G243">
        <f>IF('pre-compute all'!E246&gt;$R$3,1,0)</f>
        <v>1</v>
      </c>
      <c r="H243" s="37">
        <f>IF('pre-compute all'!$G$2&gt;$R$3,1,0)</f>
        <v>0</v>
      </c>
      <c r="I243" s="37">
        <f>IF('pre-compute all'!H246&gt;$R$3,1,0)</f>
        <v>0</v>
      </c>
      <c r="J243" s="37">
        <f>IF('pre-compute all'!I246&gt;$R$3,1,0)</f>
        <v>1</v>
      </c>
      <c r="K243" s="37">
        <f>IF('pre-compute all'!J246&gt;$R$3,1,0)</f>
        <v>1</v>
      </c>
    </row>
    <row r="244" spans="1:11" ht="31.5">
      <c r="A244" s="1" t="s">
        <v>219</v>
      </c>
      <c r="B244" s="10" t="s">
        <v>283</v>
      </c>
      <c r="C244" s="8" t="s">
        <v>317</v>
      </c>
      <c r="D244" s="1">
        <v>4</v>
      </c>
      <c r="E244" s="1">
        <v>1</v>
      </c>
      <c r="F244" s="10"/>
      <c r="G244">
        <f>IF('pre-compute all'!E247&gt;$R$3,1,0)</f>
        <v>1</v>
      </c>
      <c r="H244" s="37">
        <f>IF('pre-compute all'!$G$2&gt;$R$3,1,0)</f>
        <v>0</v>
      </c>
      <c r="I244" s="37">
        <f>IF('pre-compute all'!H247&gt;$R$3,1,0)</f>
        <v>0</v>
      </c>
      <c r="J244" s="37">
        <f>IF('pre-compute all'!I247&gt;$R$3,1,0)</f>
        <v>1</v>
      </c>
      <c r="K244" s="37">
        <f>IF('pre-compute all'!J247&gt;$R$3,1,0)</f>
        <v>1</v>
      </c>
    </row>
    <row r="245" spans="1:11" ht="31.5">
      <c r="A245" s="1" t="s">
        <v>187</v>
      </c>
      <c r="B245" s="10" t="s">
        <v>283</v>
      </c>
      <c r="C245" s="8" t="s">
        <v>317</v>
      </c>
      <c r="D245" s="1">
        <v>4</v>
      </c>
      <c r="E245" s="1">
        <v>1</v>
      </c>
      <c r="F245" s="10"/>
      <c r="G245">
        <f>IF('pre-compute all'!E248&gt;$R$3,1,0)</f>
        <v>1</v>
      </c>
      <c r="H245" s="37">
        <f>IF('pre-compute all'!$G$2&gt;$R$3,1,0)</f>
        <v>0</v>
      </c>
      <c r="I245" s="37">
        <f>IF('pre-compute all'!H248&gt;$R$3,1,0)</f>
        <v>0</v>
      </c>
      <c r="J245" s="37">
        <f>IF('pre-compute all'!I248&gt;$R$3,1,0)</f>
        <v>1</v>
      </c>
      <c r="K245" s="37">
        <f>IF('pre-compute all'!J248&gt;$R$3,1,0)</f>
        <v>1</v>
      </c>
    </row>
    <row r="246" spans="1:11" ht="31.5">
      <c r="A246" s="1" t="s">
        <v>211</v>
      </c>
      <c r="B246" s="10" t="s">
        <v>283</v>
      </c>
      <c r="C246" s="8" t="s">
        <v>317</v>
      </c>
      <c r="D246" s="1">
        <v>4</v>
      </c>
      <c r="E246" s="1">
        <v>1</v>
      </c>
      <c r="F246" s="10"/>
      <c r="G246">
        <f>IF('pre-compute all'!E249&gt;$R$3,1,0)</f>
        <v>1</v>
      </c>
      <c r="H246" s="37">
        <f>IF('pre-compute all'!$G$2&gt;$R$3,1,0)</f>
        <v>0</v>
      </c>
      <c r="I246" s="37">
        <f>IF('pre-compute all'!H249&gt;$R$3,1,0)</f>
        <v>0</v>
      </c>
      <c r="J246" s="37">
        <f>IF('pre-compute all'!I249&gt;$R$3,1,0)</f>
        <v>1</v>
      </c>
      <c r="K246" s="37">
        <f>IF('pre-compute all'!J249&gt;$R$3,1,0)</f>
        <v>1</v>
      </c>
    </row>
    <row r="247" spans="1:11" ht="31.5">
      <c r="A247" s="1" t="s">
        <v>218</v>
      </c>
      <c r="B247" s="10" t="s">
        <v>277</v>
      </c>
      <c r="C247" s="8" t="s">
        <v>317</v>
      </c>
      <c r="D247" s="1">
        <v>4</v>
      </c>
      <c r="E247" s="1">
        <v>1</v>
      </c>
      <c r="F247" s="10" t="s">
        <v>270</v>
      </c>
      <c r="G247">
        <f>IF('pre-compute all'!E250&gt;$R$3,1,0)</f>
        <v>1</v>
      </c>
      <c r="H247" s="37">
        <f>IF('pre-compute all'!$G$2&gt;$R$3,1,0)</f>
        <v>0</v>
      </c>
      <c r="I247" s="37">
        <f>IF('pre-compute all'!H250&gt;$R$3,1,0)</f>
        <v>0</v>
      </c>
      <c r="J247" s="37">
        <f>IF('pre-compute all'!I250&gt;$R$3,1,0)</f>
        <v>1</v>
      </c>
      <c r="K247" s="37">
        <f>IF('pre-compute all'!J250&gt;$R$3,1,0)</f>
        <v>1</v>
      </c>
    </row>
    <row r="248" spans="1:11" ht="31.5">
      <c r="A248" s="1" t="s">
        <v>217</v>
      </c>
      <c r="B248" s="10" t="s">
        <v>277</v>
      </c>
      <c r="C248" s="8" t="s">
        <v>317</v>
      </c>
      <c r="D248" s="1">
        <v>4</v>
      </c>
      <c r="E248" s="1">
        <v>1</v>
      </c>
      <c r="F248" t="s">
        <v>270</v>
      </c>
      <c r="G248">
        <f>IF('pre-compute all'!E251&gt;$R$3,1,0)</f>
        <v>1</v>
      </c>
      <c r="H248" s="37">
        <f>IF('pre-compute all'!$G$2&gt;$R$3,1,0)</f>
        <v>0</v>
      </c>
      <c r="I248" s="37">
        <f>IF('pre-compute all'!H251&gt;$R$3,1,0)</f>
        <v>0</v>
      </c>
      <c r="J248" s="37">
        <f>IF('pre-compute all'!I251&gt;$R$3,1,0)</f>
        <v>1</v>
      </c>
      <c r="K248" s="37">
        <f>IF('pre-compute all'!J251&gt;$R$3,1,0)</f>
        <v>1</v>
      </c>
    </row>
    <row r="249" spans="1:11" ht="31.5">
      <c r="A249" s="1" t="s">
        <v>219</v>
      </c>
      <c r="B249" s="10" t="s">
        <v>277</v>
      </c>
      <c r="C249" s="8" t="s">
        <v>317</v>
      </c>
      <c r="D249" s="1">
        <v>4</v>
      </c>
      <c r="E249" s="1">
        <v>1</v>
      </c>
      <c r="F249" t="s">
        <v>270</v>
      </c>
      <c r="G249">
        <f>IF('pre-compute all'!E252&gt;$R$3,1,0)</f>
        <v>1</v>
      </c>
      <c r="H249" s="37">
        <f>IF('pre-compute all'!$G$2&gt;$R$3,1,0)</f>
        <v>0</v>
      </c>
      <c r="I249" s="37">
        <f>IF('pre-compute all'!H252&gt;$R$3,1,0)</f>
        <v>0</v>
      </c>
      <c r="J249" s="37">
        <f>IF('pre-compute all'!I252&gt;$R$3,1,0)</f>
        <v>1</v>
      </c>
      <c r="K249" s="37">
        <f>IF('pre-compute all'!J252&gt;$R$3,1,0)</f>
        <v>1</v>
      </c>
    </row>
    <row r="250" spans="1:11" ht="31.5">
      <c r="A250" s="62" t="s">
        <v>187</v>
      </c>
      <c r="B250" s="64" t="s">
        <v>277</v>
      </c>
      <c r="C250" s="64" t="s">
        <v>316</v>
      </c>
      <c r="D250" s="1">
        <v>4</v>
      </c>
      <c r="E250" s="1">
        <v>1</v>
      </c>
      <c r="F250" s="10" t="s">
        <v>270</v>
      </c>
      <c r="G250">
        <f>IF('pre-compute all'!E253&gt;$R$3,1,0)</f>
        <v>0</v>
      </c>
      <c r="H250" s="37">
        <f>IF('pre-compute all'!$G$2&gt;$R$3,1,0)</f>
        <v>0</v>
      </c>
      <c r="I250" s="37">
        <f>IF('pre-compute all'!H253&gt;$R$3,1,0)</f>
        <v>0</v>
      </c>
      <c r="J250" s="37">
        <f>IF('pre-compute all'!I253&gt;$R$3,1,0)</f>
        <v>1</v>
      </c>
      <c r="K250" s="37">
        <f>IF('pre-compute all'!J253&gt;$R$3,1,0)</f>
        <v>1</v>
      </c>
    </row>
    <row r="251" spans="1:11" ht="31.5">
      <c r="A251" s="1" t="s">
        <v>211</v>
      </c>
      <c r="B251" s="10" t="s">
        <v>277</v>
      </c>
      <c r="C251" s="8" t="s">
        <v>317</v>
      </c>
      <c r="D251" s="1">
        <v>4</v>
      </c>
      <c r="E251" s="1">
        <v>1</v>
      </c>
      <c r="F251" s="10" t="s">
        <v>270</v>
      </c>
      <c r="G251">
        <f>IF('pre-compute all'!E254&gt;$R$3,1,0)</f>
        <v>1</v>
      </c>
      <c r="H251" s="37">
        <f>IF('pre-compute all'!$G$2&gt;$R$3,1,0)</f>
        <v>0</v>
      </c>
      <c r="I251" s="37">
        <f>IF('pre-compute all'!H254&gt;$R$3,1,0)</f>
        <v>0</v>
      </c>
      <c r="J251" s="37">
        <f>IF('pre-compute all'!I254&gt;$R$3,1,0)</f>
        <v>1</v>
      </c>
      <c r="K251" s="37">
        <f>IF('pre-compute all'!J254&gt;$R$3,1,0)</f>
        <v>1</v>
      </c>
    </row>
    <row r="252" spans="1:11" ht="31.5">
      <c r="A252" s="62" t="s">
        <v>218</v>
      </c>
      <c r="B252" s="64" t="s">
        <v>273</v>
      </c>
      <c r="C252" s="64" t="s">
        <v>316</v>
      </c>
      <c r="D252" s="1">
        <v>4</v>
      </c>
      <c r="E252" s="1">
        <v>1</v>
      </c>
      <c r="F252" t="s">
        <v>272</v>
      </c>
      <c r="G252">
        <f>IF('pre-compute all'!E255&gt;$R$3,1,0)</f>
        <v>0</v>
      </c>
      <c r="H252" s="37">
        <f>IF('pre-compute all'!$G$2&gt;$R$3,1,0)</f>
        <v>0</v>
      </c>
      <c r="I252" s="37">
        <f>IF('pre-compute all'!H255&gt;$R$3,1,0)</f>
        <v>0</v>
      </c>
      <c r="J252" s="37">
        <f>IF('pre-compute all'!I255&gt;$R$3,1,0)</f>
        <v>1</v>
      </c>
      <c r="K252" s="37">
        <f>IF('pre-compute all'!J255&gt;$R$3,1,0)</f>
        <v>1</v>
      </c>
    </row>
    <row r="253" spans="1:11" ht="31.5">
      <c r="A253" s="62" t="s">
        <v>217</v>
      </c>
      <c r="B253" s="64" t="s">
        <v>273</v>
      </c>
      <c r="C253" s="63" t="s">
        <v>316</v>
      </c>
      <c r="D253" s="1">
        <v>4</v>
      </c>
      <c r="E253" s="1">
        <v>1</v>
      </c>
      <c r="F253" t="s">
        <v>272</v>
      </c>
      <c r="G253">
        <f>IF('pre-compute all'!E256&gt;$R$3,1,0)</f>
        <v>0</v>
      </c>
      <c r="H253" s="37">
        <f>IF('pre-compute all'!$G$2&gt;$R$3,1,0)</f>
        <v>0</v>
      </c>
      <c r="I253" s="37">
        <f>IF('pre-compute all'!H256&gt;$R$3,1,0)</f>
        <v>0</v>
      </c>
      <c r="J253" s="37">
        <f>IF('pre-compute all'!I256&gt;$R$3,1,0)</f>
        <v>1</v>
      </c>
      <c r="K253" s="37">
        <f>IF('pre-compute all'!J256&gt;$R$3,1,0)</f>
        <v>1</v>
      </c>
    </row>
    <row r="254" spans="1:11" ht="31.5">
      <c r="A254" s="62" t="s">
        <v>219</v>
      </c>
      <c r="B254" s="64" t="s">
        <v>273</v>
      </c>
      <c r="C254" s="64" t="s">
        <v>316</v>
      </c>
      <c r="D254" s="1">
        <v>4</v>
      </c>
      <c r="E254" s="1">
        <v>1</v>
      </c>
      <c r="F254" s="10" t="s">
        <v>272</v>
      </c>
      <c r="G254">
        <f>IF('pre-compute all'!E257&gt;$R$3,1,0)</f>
        <v>0</v>
      </c>
      <c r="H254" s="37">
        <f>IF('pre-compute all'!$G$2&gt;$R$3,1,0)</f>
        <v>0</v>
      </c>
      <c r="I254" s="37">
        <f>IF('pre-compute all'!H257&gt;$R$3,1,0)</f>
        <v>0</v>
      </c>
      <c r="J254" s="37">
        <f>IF('pre-compute all'!I257&gt;$R$3,1,0)</f>
        <v>1</v>
      </c>
      <c r="K254" s="37">
        <f>IF('pre-compute all'!J257&gt;$R$3,1,0)</f>
        <v>1</v>
      </c>
    </row>
    <row r="255" spans="1:11" ht="31.5">
      <c r="A255" s="1" t="s">
        <v>216</v>
      </c>
      <c r="B255" s="10" t="s">
        <v>273</v>
      </c>
      <c r="C255" s="10" t="s">
        <v>316</v>
      </c>
      <c r="D255" s="1">
        <v>4</v>
      </c>
      <c r="E255" s="1">
        <v>0</v>
      </c>
      <c r="F255" s="10"/>
      <c r="G255">
        <f>IF('pre-compute all'!E240&gt;$R$3,1,0)</f>
        <v>0</v>
      </c>
      <c r="H255" s="37">
        <f>IF('pre-compute all'!$G$2&gt;$R$3,1,0)</f>
        <v>0</v>
      </c>
      <c r="I255" s="37">
        <f>IF('pre-compute all'!H240&gt;$R$3,1,0)</f>
        <v>0</v>
      </c>
      <c r="J255" s="37">
        <f>IF('pre-compute all'!I240&gt;$R$3,1,0)</f>
        <v>1</v>
      </c>
      <c r="K255" s="37">
        <f>IF('pre-compute all'!J240&gt;$R$3,1,0)</f>
        <v>1</v>
      </c>
    </row>
    <row r="256" spans="1:11" ht="31.5">
      <c r="A256" s="1" t="s">
        <v>211</v>
      </c>
      <c r="B256" s="10" t="s">
        <v>273</v>
      </c>
      <c r="C256" s="10" t="s">
        <v>316</v>
      </c>
      <c r="D256" s="1">
        <v>4</v>
      </c>
      <c r="E256" s="1">
        <v>1</v>
      </c>
      <c r="F256" t="s">
        <v>272</v>
      </c>
      <c r="G256">
        <f>IF('pre-compute all'!E258&gt;$R$3,1,0)</f>
        <v>1</v>
      </c>
      <c r="H256" s="37">
        <f>IF('pre-compute all'!$G$2&gt;$R$3,1,0)</f>
        <v>0</v>
      </c>
      <c r="I256" s="37">
        <f>IF('pre-compute all'!H258&gt;$R$3,1,0)</f>
        <v>0</v>
      </c>
      <c r="J256" s="37">
        <f>IF('pre-compute all'!I258&gt;$R$3,1,0)</f>
        <v>1</v>
      </c>
      <c r="K256" s="37">
        <f>IF('pre-compute all'!J258&gt;$R$3,1,0)</f>
        <v>1</v>
      </c>
    </row>
    <row r="257" spans="1:11" ht="31.5">
      <c r="A257" s="1" t="s">
        <v>218</v>
      </c>
      <c r="B257" s="10" t="s">
        <v>276</v>
      </c>
      <c r="C257" s="10" t="s">
        <v>316</v>
      </c>
      <c r="D257" s="1">
        <v>4</v>
      </c>
      <c r="E257" s="1">
        <v>1</v>
      </c>
      <c r="F257" t="s">
        <v>268</v>
      </c>
      <c r="G257">
        <f>IF('pre-compute all'!E259&gt;$R$3,1,0)</f>
        <v>1</v>
      </c>
      <c r="H257" s="37">
        <f>IF('pre-compute all'!$G$2&gt;$R$3,1,0)</f>
        <v>0</v>
      </c>
      <c r="I257" s="37">
        <f>IF('pre-compute all'!H259&gt;$R$3,1,0)</f>
        <v>0</v>
      </c>
      <c r="J257" s="37">
        <f>IF('pre-compute all'!I259&gt;$R$3,1,0)</f>
        <v>1</v>
      </c>
      <c r="K257" s="37">
        <f>IF('pre-compute all'!J259&gt;$R$3,1,0)</f>
        <v>1</v>
      </c>
    </row>
    <row r="258" spans="1:11" ht="31.5">
      <c r="A258" s="1" t="s">
        <v>217</v>
      </c>
      <c r="B258" s="10" t="s">
        <v>276</v>
      </c>
      <c r="C258" s="10" t="s">
        <v>316</v>
      </c>
      <c r="D258" s="1">
        <v>4</v>
      </c>
      <c r="E258" s="1">
        <v>1</v>
      </c>
      <c r="F258" t="s">
        <v>268</v>
      </c>
      <c r="G258">
        <f>IF('pre-compute all'!E260&gt;$R$3,1,0)</f>
        <v>1</v>
      </c>
      <c r="H258" s="37">
        <f>IF('pre-compute all'!$G$2&gt;$R$3,1,0)</f>
        <v>0</v>
      </c>
      <c r="I258" s="37">
        <f>IF('pre-compute all'!H260&gt;$R$3,1,0)</f>
        <v>0</v>
      </c>
      <c r="J258" s="37">
        <f>IF('pre-compute all'!I260&gt;$R$3,1,0)</f>
        <v>1</v>
      </c>
      <c r="K258" s="37">
        <f>IF('pre-compute all'!J260&gt;$R$3,1,0)</f>
        <v>1</v>
      </c>
    </row>
    <row r="259" spans="1:11" ht="31.5">
      <c r="A259" s="1" t="s">
        <v>219</v>
      </c>
      <c r="B259" s="10" t="s">
        <v>276</v>
      </c>
      <c r="C259" s="10" t="s">
        <v>316</v>
      </c>
      <c r="D259" s="1">
        <v>4</v>
      </c>
      <c r="E259" s="1">
        <v>1</v>
      </c>
      <c r="F259" s="10" t="s">
        <v>268</v>
      </c>
      <c r="G259">
        <f>IF('pre-compute all'!E261&gt;$R$3,1,0)</f>
        <v>1</v>
      </c>
      <c r="H259" s="37">
        <f>IF('pre-compute all'!$G$2&gt;$R$3,1,0)</f>
        <v>0</v>
      </c>
      <c r="I259" s="37">
        <f>IF('pre-compute all'!H261&gt;$R$3,1,0)</f>
        <v>0</v>
      </c>
      <c r="J259" s="37">
        <f>IF('pre-compute all'!I261&gt;$R$3,1,0)</f>
        <v>1</v>
      </c>
      <c r="K259" s="37">
        <f>IF('pre-compute all'!J261&gt;$R$3,1,0)</f>
        <v>1</v>
      </c>
    </row>
    <row r="260" spans="1:11" ht="31.5">
      <c r="A260" s="1" t="s">
        <v>187</v>
      </c>
      <c r="B260" s="10" t="s">
        <v>276</v>
      </c>
      <c r="C260" s="10" t="s">
        <v>316</v>
      </c>
      <c r="D260" s="1">
        <v>4</v>
      </c>
      <c r="E260" s="1">
        <v>1</v>
      </c>
      <c r="F260" s="10" t="s">
        <v>268</v>
      </c>
      <c r="G260">
        <f>IF('pre-compute all'!E262&gt;$R$3,1,0)</f>
        <v>1</v>
      </c>
      <c r="H260" s="37">
        <f>IF('pre-compute all'!$G$2&gt;$R$3,1,0)</f>
        <v>0</v>
      </c>
      <c r="I260" s="37">
        <f>IF('pre-compute all'!H262&gt;$R$3,1,0)</f>
        <v>0</v>
      </c>
      <c r="J260" s="37">
        <f>IF('pre-compute all'!I262&gt;$R$3,1,0)</f>
        <v>1</v>
      </c>
      <c r="K260" s="37">
        <f>IF('pre-compute all'!J262&gt;$R$3,1,0)</f>
        <v>1</v>
      </c>
    </row>
    <row r="261" spans="1:11" ht="31.5">
      <c r="A261" s="1" t="s">
        <v>211</v>
      </c>
      <c r="B261" s="10" t="s">
        <v>276</v>
      </c>
      <c r="C261" s="10" t="s">
        <v>316</v>
      </c>
      <c r="D261" s="1">
        <v>4</v>
      </c>
      <c r="E261" s="1">
        <v>1</v>
      </c>
      <c r="F261" t="s">
        <v>268</v>
      </c>
      <c r="G261">
        <f>IF('pre-compute all'!E263&gt;$R$3,1,0)</f>
        <v>1</v>
      </c>
      <c r="H261" s="37">
        <f>IF('pre-compute all'!$G$2&gt;$R$3,1,0)</f>
        <v>0</v>
      </c>
      <c r="I261" s="37">
        <f>IF('pre-compute all'!H263&gt;$R$3,1,0)</f>
        <v>0</v>
      </c>
      <c r="J261" s="37">
        <f>IF('pre-compute all'!I263&gt;$R$3,1,0)</f>
        <v>1</v>
      </c>
      <c r="K261" s="37">
        <f>IF('pre-compute all'!J263&gt;$R$3,1,0)</f>
        <v>1</v>
      </c>
    </row>
    <row r="262" spans="1:11" ht="31.5">
      <c r="A262" s="1" t="s">
        <v>218</v>
      </c>
      <c r="B262" s="10" t="s">
        <v>281</v>
      </c>
      <c r="C262" s="10" t="s">
        <v>316</v>
      </c>
      <c r="D262" s="1">
        <v>4</v>
      </c>
      <c r="E262" s="1">
        <v>1</v>
      </c>
      <c r="G262">
        <f>IF('pre-compute all'!E264&gt;$R$3,1,0)</f>
        <v>1</v>
      </c>
      <c r="H262" s="37">
        <f>IF('pre-compute all'!$G$2&gt;$R$3,1,0)</f>
        <v>0</v>
      </c>
      <c r="I262" s="37">
        <f>IF('pre-compute all'!H264&gt;$R$3,1,0)</f>
        <v>0</v>
      </c>
      <c r="J262" s="37">
        <f>IF('pre-compute all'!I264&gt;$R$3,1,0)</f>
        <v>1</v>
      </c>
      <c r="K262" s="37">
        <f>IF('pre-compute all'!J264&gt;$R$3,1,0)</f>
        <v>1</v>
      </c>
    </row>
    <row r="263" spans="1:11" ht="31.5">
      <c r="A263" s="1" t="s">
        <v>217</v>
      </c>
      <c r="B263" s="10" t="s">
        <v>281</v>
      </c>
      <c r="C263" s="10" t="s">
        <v>316</v>
      </c>
      <c r="D263" s="1">
        <v>4</v>
      </c>
      <c r="E263" s="1">
        <v>1</v>
      </c>
      <c r="G263">
        <f>IF('pre-compute all'!E265&gt;$R$3,1,0)</f>
        <v>1</v>
      </c>
      <c r="H263" s="37">
        <f>IF('pre-compute all'!$G$2&gt;$R$3,1,0)</f>
        <v>0</v>
      </c>
      <c r="I263" s="37">
        <f>IF('pre-compute all'!H265&gt;$R$3,1,0)</f>
        <v>0</v>
      </c>
      <c r="J263" s="37">
        <f>IF('pre-compute all'!I265&gt;$R$3,1,0)</f>
        <v>1</v>
      </c>
      <c r="K263" s="37">
        <f>IF('pre-compute all'!J265&gt;$R$3,1,0)</f>
        <v>1</v>
      </c>
    </row>
    <row r="264" spans="1:11" ht="31.5">
      <c r="A264" s="1" t="s">
        <v>219</v>
      </c>
      <c r="B264" s="10" t="s">
        <v>281</v>
      </c>
      <c r="C264" s="10" t="s">
        <v>316</v>
      </c>
      <c r="D264" s="1">
        <v>4</v>
      </c>
      <c r="E264" s="1">
        <v>1</v>
      </c>
      <c r="G264">
        <f>IF('pre-compute all'!E266&gt;$R$3,1,0)</f>
        <v>1</v>
      </c>
      <c r="H264" s="37">
        <f>IF('pre-compute all'!$G$2&gt;$R$3,1,0)</f>
        <v>0</v>
      </c>
      <c r="I264" s="37">
        <f>IF('pre-compute all'!H266&gt;$R$3,1,0)</f>
        <v>0</v>
      </c>
      <c r="J264" s="37">
        <f>IF('pre-compute all'!I266&gt;$R$3,1,0)</f>
        <v>1</v>
      </c>
      <c r="K264" s="37">
        <f>IF('pre-compute all'!J266&gt;$R$3,1,0)</f>
        <v>1</v>
      </c>
    </row>
    <row r="265" spans="1:11" ht="31.5">
      <c r="A265" s="1" t="s">
        <v>187</v>
      </c>
      <c r="B265" s="10" t="s">
        <v>281</v>
      </c>
      <c r="C265" s="10" t="s">
        <v>316</v>
      </c>
      <c r="D265" s="1">
        <v>4</v>
      </c>
      <c r="E265" s="1">
        <v>1</v>
      </c>
      <c r="G265">
        <f>IF('pre-compute all'!E267&gt;$R$3,1,0)</f>
        <v>1</v>
      </c>
      <c r="H265" s="37">
        <f>IF('pre-compute all'!$G$2&gt;$R$3,1,0)</f>
        <v>0</v>
      </c>
      <c r="I265" s="37">
        <f>IF('pre-compute all'!H267&gt;$R$3,1,0)</f>
        <v>0</v>
      </c>
      <c r="J265" s="37">
        <f>IF('pre-compute all'!I267&gt;$R$3,1,0)</f>
        <v>1</v>
      </c>
      <c r="K265" s="37">
        <f>IF('pre-compute all'!J267&gt;$R$3,1,0)</f>
        <v>1</v>
      </c>
    </row>
    <row r="266" spans="1:11" ht="31.5">
      <c r="A266" s="1" t="s">
        <v>211</v>
      </c>
      <c r="B266" s="10" t="s">
        <v>281</v>
      </c>
      <c r="C266" s="10" t="s">
        <v>316</v>
      </c>
      <c r="D266" s="1">
        <v>4</v>
      </c>
      <c r="E266" s="1">
        <v>1</v>
      </c>
      <c r="G266">
        <f>IF('pre-compute all'!E268&gt;$R$3,1,0)</f>
        <v>1</v>
      </c>
      <c r="H266" s="37">
        <f>IF('pre-compute all'!$G$2&gt;$R$3,1,0)</f>
        <v>0</v>
      </c>
      <c r="I266" s="37">
        <f>IF('pre-compute all'!H268&gt;$R$3,1,0)</f>
        <v>0</v>
      </c>
      <c r="J266" s="37">
        <f>IF('pre-compute all'!I268&gt;$R$3,1,0)</f>
        <v>1</v>
      </c>
      <c r="K266" s="37">
        <f>IF('pre-compute all'!J268&gt;$R$3,1,0)</f>
        <v>1</v>
      </c>
    </row>
    <row r="267" spans="1:11" ht="31.5">
      <c r="A267" s="1" t="s">
        <v>218</v>
      </c>
      <c r="B267" s="10" t="s">
        <v>269</v>
      </c>
      <c r="C267" s="10" t="s">
        <v>316</v>
      </c>
      <c r="D267" s="1">
        <v>4</v>
      </c>
      <c r="E267" s="1">
        <v>1</v>
      </c>
      <c r="F267" t="s">
        <v>270</v>
      </c>
      <c r="G267">
        <f>IF('pre-compute all'!E269&gt;$R$3,1,0)</f>
        <v>1</v>
      </c>
      <c r="H267" s="37">
        <f>IF('pre-compute all'!$G$2&gt;$R$3,1,0)</f>
        <v>0</v>
      </c>
      <c r="I267" s="37">
        <f>IF('pre-compute all'!H269&gt;$R$3,1,0)</f>
        <v>0</v>
      </c>
      <c r="J267" s="37">
        <f>IF('pre-compute all'!I269&gt;$R$3,1,0)</f>
        <v>1</v>
      </c>
      <c r="K267" s="37">
        <f>IF('pre-compute all'!J269&gt;$R$3,1,0)</f>
        <v>1</v>
      </c>
    </row>
    <row r="268" spans="1:11" ht="31.5">
      <c r="A268" s="1" t="s">
        <v>217</v>
      </c>
      <c r="B268" s="10" t="s">
        <v>269</v>
      </c>
      <c r="C268" s="10" t="s">
        <v>316</v>
      </c>
      <c r="D268" s="1">
        <v>4</v>
      </c>
      <c r="E268" s="1">
        <v>1</v>
      </c>
      <c r="F268" t="s">
        <v>270</v>
      </c>
      <c r="G268">
        <f>IF('pre-compute all'!E270&gt;$R$3,1,0)</f>
        <v>1</v>
      </c>
      <c r="H268" s="37">
        <f>IF('pre-compute all'!$G$2&gt;$R$3,1,0)</f>
        <v>0</v>
      </c>
      <c r="I268" s="37">
        <f>IF('pre-compute all'!H270&gt;$R$3,1,0)</f>
        <v>0</v>
      </c>
      <c r="J268" s="37">
        <f>IF('pre-compute all'!I270&gt;$R$3,1,0)</f>
        <v>1</v>
      </c>
      <c r="K268" s="37">
        <f>IF('pre-compute all'!J270&gt;$R$3,1,0)</f>
        <v>1</v>
      </c>
    </row>
    <row r="269" spans="1:11" ht="31.5">
      <c r="A269" s="62" t="s">
        <v>219</v>
      </c>
      <c r="B269" s="64" t="s">
        <v>269</v>
      </c>
      <c r="C269" s="64" t="s">
        <v>316</v>
      </c>
      <c r="D269" s="1">
        <v>4</v>
      </c>
      <c r="E269" s="1">
        <v>1</v>
      </c>
      <c r="F269" t="s">
        <v>270</v>
      </c>
      <c r="G269">
        <f>IF('pre-compute all'!E271&gt;$R$3,1,0)</f>
        <v>0</v>
      </c>
      <c r="H269" s="37">
        <f>IF('pre-compute all'!$G$2&gt;$R$3,1,0)</f>
        <v>0</v>
      </c>
      <c r="I269" s="37">
        <f>IF('pre-compute all'!H271&gt;$R$3,1,0)</f>
        <v>0</v>
      </c>
      <c r="J269" s="37">
        <f>IF('pre-compute all'!I271&gt;$R$3,1,0)</f>
        <v>1</v>
      </c>
      <c r="K269" s="37">
        <f>IF('pre-compute all'!J271&gt;$R$3,1,0)</f>
        <v>1</v>
      </c>
    </row>
    <row r="270" spans="1:11" ht="31.5">
      <c r="A270" s="1" t="s">
        <v>187</v>
      </c>
      <c r="B270" s="10" t="s">
        <v>269</v>
      </c>
      <c r="C270" s="10" t="s">
        <v>316</v>
      </c>
      <c r="D270" s="1">
        <v>4</v>
      </c>
      <c r="E270" s="1">
        <v>1</v>
      </c>
      <c r="F270" t="s">
        <v>270</v>
      </c>
      <c r="G270">
        <f>IF('pre-compute all'!E272&gt;$R$3,1,0)</f>
        <v>1</v>
      </c>
      <c r="H270" s="37">
        <f>IF('pre-compute all'!$G$2&gt;$R$3,1,0)</f>
        <v>0</v>
      </c>
      <c r="I270" s="37">
        <f>IF('pre-compute all'!H272&gt;$R$3,1,0)</f>
        <v>0</v>
      </c>
      <c r="J270" s="37">
        <f>IF('pre-compute all'!I272&gt;$R$3,1,0)</f>
        <v>1</v>
      </c>
      <c r="K270" s="37">
        <f>IF('pre-compute all'!J272&gt;$R$3,1,0)</f>
        <v>1</v>
      </c>
    </row>
    <row r="271" spans="1:11" ht="31.5">
      <c r="A271" s="62" t="s">
        <v>211</v>
      </c>
      <c r="B271" s="64" t="s">
        <v>269</v>
      </c>
      <c r="C271" s="64" t="s">
        <v>316</v>
      </c>
      <c r="D271" s="1">
        <v>4</v>
      </c>
      <c r="E271" s="1">
        <v>1</v>
      </c>
      <c r="F271" t="s">
        <v>270</v>
      </c>
      <c r="G271">
        <f>IF('pre-compute all'!E273&gt;$R$3,1,0)</f>
        <v>0</v>
      </c>
      <c r="H271" s="37">
        <f>IF('pre-compute all'!$G$2&gt;$R$3,1,0)</f>
        <v>0</v>
      </c>
      <c r="I271" s="37">
        <f>IF('pre-compute all'!H273&gt;$R$3,1,0)</f>
        <v>0</v>
      </c>
      <c r="J271" s="37">
        <f>IF('pre-compute all'!I273&gt;$R$3,1,0)</f>
        <v>1</v>
      </c>
      <c r="K271" s="37">
        <f>IF('pre-compute all'!J273&gt;$R$3,1,0)</f>
        <v>1</v>
      </c>
    </row>
    <row r="272" spans="1:11" ht="31.5">
      <c r="A272" s="62" t="s">
        <v>218</v>
      </c>
      <c r="B272" s="64" t="s">
        <v>271</v>
      </c>
      <c r="C272" s="64" t="s">
        <v>316</v>
      </c>
      <c r="D272" s="1">
        <v>4</v>
      </c>
      <c r="E272" s="1">
        <v>1</v>
      </c>
      <c r="F272" t="s">
        <v>272</v>
      </c>
      <c r="G272">
        <f>IF('pre-compute all'!E274&gt;$R$3,1,0)</f>
        <v>0</v>
      </c>
      <c r="H272" s="37">
        <f>IF('pre-compute all'!$G$2&gt;$R$3,1,0)</f>
        <v>0</v>
      </c>
      <c r="I272" s="37">
        <f>IF('pre-compute all'!H274&gt;$R$3,1,0)</f>
        <v>0</v>
      </c>
      <c r="J272" s="37">
        <f>IF('pre-compute all'!I274&gt;$R$3,1,0)</f>
        <v>1</v>
      </c>
      <c r="K272" s="37">
        <f>IF('pre-compute all'!J274&gt;$R$3,1,0)</f>
        <v>1</v>
      </c>
    </row>
    <row r="273" spans="1:11" ht="31.5">
      <c r="A273" s="62" t="s">
        <v>217</v>
      </c>
      <c r="B273" s="64" t="s">
        <v>271</v>
      </c>
      <c r="C273" s="64" t="s">
        <v>316</v>
      </c>
      <c r="D273" s="1">
        <v>4</v>
      </c>
      <c r="E273" s="1">
        <v>1</v>
      </c>
      <c r="F273" t="s">
        <v>272</v>
      </c>
      <c r="G273">
        <f>IF('pre-compute all'!E275&gt;$R$3,1,0)</f>
        <v>0</v>
      </c>
      <c r="H273" s="37">
        <f>IF('pre-compute all'!$G$2&gt;$R$3,1,0)</f>
        <v>0</v>
      </c>
      <c r="I273" s="37">
        <f>IF('pre-compute all'!H275&gt;$R$3,1,0)</f>
        <v>0</v>
      </c>
      <c r="J273" s="37">
        <f>IF('pre-compute all'!I275&gt;$R$3,1,0)</f>
        <v>1</v>
      </c>
      <c r="K273" s="37">
        <f>IF('pre-compute all'!J275&gt;$R$3,1,0)</f>
        <v>1</v>
      </c>
    </row>
    <row r="274" spans="1:11" ht="31.5">
      <c r="A274" s="62" t="s">
        <v>219</v>
      </c>
      <c r="B274" s="64" t="s">
        <v>271</v>
      </c>
      <c r="C274" s="64" t="s">
        <v>316</v>
      </c>
      <c r="D274" s="1">
        <v>4</v>
      </c>
      <c r="E274" s="1">
        <v>1</v>
      </c>
      <c r="F274" t="s">
        <v>272</v>
      </c>
      <c r="G274">
        <f>IF('pre-compute all'!E276&gt;$R$3,1,0)</f>
        <v>0</v>
      </c>
      <c r="H274" s="37">
        <f>IF('pre-compute all'!$G$2&gt;$R$3,1,0)</f>
        <v>0</v>
      </c>
      <c r="I274" s="37">
        <f>IF('pre-compute all'!H276&gt;$R$3,1,0)</f>
        <v>0</v>
      </c>
      <c r="J274" s="37">
        <f>IF('pre-compute all'!I276&gt;$R$3,1,0)</f>
        <v>1</v>
      </c>
      <c r="K274" s="37">
        <f>IF('pre-compute all'!J276&gt;$R$3,1,0)</f>
        <v>1</v>
      </c>
    </row>
    <row r="275" spans="1:11" ht="31.5">
      <c r="A275" s="62" t="s">
        <v>187</v>
      </c>
      <c r="B275" s="64" t="s">
        <v>271</v>
      </c>
      <c r="C275" s="64" t="s">
        <v>316</v>
      </c>
      <c r="D275" s="1">
        <v>4</v>
      </c>
      <c r="E275" s="1">
        <v>1</v>
      </c>
      <c r="F275" s="10" t="s">
        <v>272</v>
      </c>
      <c r="G275">
        <f>IF('pre-compute all'!E277&gt;$R$3,1,0)</f>
        <v>0</v>
      </c>
      <c r="H275" s="37">
        <f>IF('pre-compute all'!$G$2&gt;$R$3,1,0)</f>
        <v>0</v>
      </c>
      <c r="I275" s="37">
        <f>IF('pre-compute all'!H277&gt;$R$3,1,0)</f>
        <v>0</v>
      </c>
      <c r="J275" s="37">
        <f>IF('pre-compute all'!I277&gt;$R$3,1,0)</f>
        <v>1</v>
      </c>
      <c r="K275" s="37">
        <f>IF('pre-compute all'!J277&gt;$R$3,1,0)</f>
        <v>1</v>
      </c>
    </row>
    <row r="276" spans="1:11" ht="31.5">
      <c r="A276" s="62" t="s">
        <v>211</v>
      </c>
      <c r="B276" s="64" t="s">
        <v>271</v>
      </c>
      <c r="C276" s="64" t="s">
        <v>316</v>
      </c>
      <c r="D276" s="1">
        <v>4</v>
      </c>
      <c r="E276" s="1">
        <v>1</v>
      </c>
      <c r="F276" t="s">
        <v>272</v>
      </c>
      <c r="G276">
        <f>IF('pre-compute all'!E278&gt;$R$3,1,0)</f>
        <v>0</v>
      </c>
      <c r="H276" s="37">
        <f>IF('pre-compute all'!$G$2&gt;$R$3,1,0)</f>
        <v>0</v>
      </c>
      <c r="I276" s="37">
        <f>IF('pre-compute all'!H278&gt;$R$3,1,0)</f>
        <v>0</v>
      </c>
      <c r="J276" s="37">
        <f>IF('pre-compute all'!I278&gt;$R$3,1,0)</f>
        <v>1</v>
      </c>
      <c r="K276" s="37">
        <f>IF('pre-compute all'!J278&gt;$R$3,1,0)</f>
        <v>1</v>
      </c>
    </row>
    <row r="277" spans="1:11" ht="31.5">
      <c r="A277" s="1" t="s">
        <v>218</v>
      </c>
      <c r="B277" s="10" t="s">
        <v>284</v>
      </c>
      <c r="C277" s="10" t="s">
        <v>316</v>
      </c>
      <c r="D277" s="1">
        <v>4</v>
      </c>
      <c r="E277" s="1">
        <v>1</v>
      </c>
      <c r="F277" t="s">
        <v>268</v>
      </c>
      <c r="G277">
        <f>IF('pre-compute all'!E279&gt;$R$3,1,0)</f>
        <v>1</v>
      </c>
      <c r="H277" s="37">
        <f>IF('pre-compute all'!$G$2&gt;$R$3,1,0)</f>
        <v>0</v>
      </c>
      <c r="I277" s="37">
        <f>IF('pre-compute all'!H279&gt;$R$3,1,0)</f>
        <v>0</v>
      </c>
      <c r="J277" s="37">
        <f>IF('pre-compute all'!I279&gt;$R$3,1,0)</f>
        <v>1</v>
      </c>
      <c r="K277" s="37">
        <f>IF('pre-compute all'!J279&gt;$R$3,1,0)</f>
        <v>1</v>
      </c>
    </row>
    <row r="278" spans="1:11" ht="31.5">
      <c r="A278" s="1" t="s">
        <v>217</v>
      </c>
      <c r="B278" s="10" t="s">
        <v>284</v>
      </c>
      <c r="C278" s="10" t="s">
        <v>316</v>
      </c>
      <c r="D278" s="1">
        <v>4</v>
      </c>
      <c r="E278" s="1">
        <v>1</v>
      </c>
      <c r="F278" s="10" t="s">
        <v>268</v>
      </c>
      <c r="G278">
        <f>IF('pre-compute all'!E280&gt;$R$3,1,0)</f>
        <v>1</v>
      </c>
      <c r="H278" s="37">
        <f>IF('pre-compute all'!$G$2&gt;$R$3,1,0)</f>
        <v>0</v>
      </c>
      <c r="I278" s="37">
        <f>IF('pre-compute all'!H280&gt;$R$3,1,0)</f>
        <v>0</v>
      </c>
      <c r="J278" s="37">
        <f>IF('pre-compute all'!I280&gt;$R$3,1,0)</f>
        <v>1</v>
      </c>
      <c r="K278" s="37">
        <f>IF('pre-compute all'!J280&gt;$R$3,1,0)</f>
        <v>1</v>
      </c>
    </row>
    <row r="279" spans="1:11" ht="31.5">
      <c r="A279" s="1" t="s">
        <v>219</v>
      </c>
      <c r="B279" s="10" t="s">
        <v>284</v>
      </c>
      <c r="C279" s="10" t="s">
        <v>316</v>
      </c>
      <c r="D279" s="1">
        <v>4</v>
      </c>
      <c r="E279" s="1">
        <v>1</v>
      </c>
      <c r="F279" t="s">
        <v>268</v>
      </c>
      <c r="G279">
        <f>IF('pre-compute all'!E281&gt;$R$3,1,0)</f>
        <v>1</v>
      </c>
      <c r="H279" s="37">
        <f>IF('pre-compute all'!$G$2&gt;$R$3,1,0)</f>
        <v>0</v>
      </c>
      <c r="I279" s="37">
        <f>IF('pre-compute all'!H281&gt;$R$3,1,0)</f>
        <v>0</v>
      </c>
      <c r="J279" s="37">
        <f>IF('pre-compute all'!I281&gt;$R$3,1,0)</f>
        <v>1</v>
      </c>
      <c r="K279" s="37">
        <f>IF('pre-compute all'!J281&gt;$R$3,1,0)</f>
        <v>1</v>
      </c>
    </row>
    <row r="280" spans="1:11" ht="31.5">
      <c r="A280" s="1" t="s">
        <v>187</v>
      </c>
      <c r="B280" s="10" t="s">
        <v>284</v>
      </c>
      <c r="C280" s="10" t="s">
        <v>316</v>
      </c>
      <c r="D280" s="1">
        <v>4</v>
      </c>
      <c r="E280" s="1">
        <v>1</v>
      </c>
      <c r="F280" s="10" t="s">
        <v>268</v>
      </c>
      <c r="G280">
        <f>IF('pre-compute all'!E282&gt;$R$3,1,0)</f>
        <v>1</v>
      </c>
      <c r="H280" s="37">
        <f>IF('pre-compute all'!$G$2&gt;$R$3,1,0)</f>
        <v>0</v>
      </c>
      <c r="I280" s="37">
        <f>IF('pre-compute all'!H282&gt;$R$3,1,0)</f>
        <v>0</v>
      </c>
      <c r="J280" s="37">
        <f>IF('pre-compute all'!I282&gt;$R$3,1,0)</f>
        <v>1</v>
      </c>
      <c r="K280" s="37">
        <f>IF('pre-compute all'!J282&gt;$R$3,1,0)</f>
        <v>1</v>
      </c>
    </row>
    <row r="281" spans="1:11" ht="31.5">
      <c r="A281" s="1" t="s">
        <v>211</v>
      </c>
      <c r="B281" s="10" t="s">
        <v>284</v>
      </c>
      <c r="C281" s="10" t="s">
        <v>316</v>
      </c>
      <c r="D281" s="1">
        <v>4</v>
      </c>
      <c r="E281" s="1">
        <v>1</v>
      </c>
      <c r="F281" t="s">
        <v>268</v>
      </c>
      <c r="G281">
        <f>IF('pre-compute all'!E283&gt;$R$3,1,0)</f>
        <v>1</v>
      </c>
      <c r="H281" s="37">
        <f>IF('pre-compute all'!$G$2&gt;$R$3,1,0)</f>
        <v>0</v>
      </c>
      <c r="I281" s="37">
        <f>IF('pre-compute all'!H283&gt;$R$3,1,0)</f>
        <v>0</v>
      </c>
      <c r="J281" s="37">
        <f>IF('pre-compute all'!I283&gt;$R$3,1,0)</f>
        <v>1</v>
      </c>
      <c r="K281" s="37">
        <f>IF('pre-compute all'!J283&gt;$R$3,1,0)</f>
        <v>1</v>
      </c>
    </row>
    <row r="282" spans="1:11" ht="31.5">
      <c r="A282" s="62" t="s">
        <v>218</v>
      </c>
      <c r="B282" s="64" t="s">
        <v>275</v>
      </c>
      <c r="C282" s="64" t="s">
        <v>316</v>
      </c>
      <c r="D282" s="1">
        <v>4</v>
      </c>
      <c r="E282" s="1">
        <v>1</v>
      </c>
      <c r="F282" s="10" t="s">
        <v>270</v>
      </c>
      <c r="G282">
        <f>IF('pre-compute all'!E284&gt;$R$3,1,0)</f>
        <v>0</v>
      </c>
      <c r="H282" s="37">
        <f>IF('pre-compute all'!$G$2&gt;$R$3,1,0)</f>
        <v>0</v>
      </c>
      <c r="I282" s="37">
        <f>IF('pre-compute all'!H284&gt;$R$3,1,0)</f>
        <v>0</v>
      </c>
      <c r="J282" s="37">
        <f>IF('pre-compute all'!I284&gt;$R$3,1,0)</f>
        <v>1</v>
      </c>
      <c r="K282" s="37">
        <f>IF('pre-compute all'!J284&gt;$R$3,1,0)</f>
        <v>1</v>
      </c>
    </row>
    <row r="283" spans="1:11" ht="31.5">
      <c r="A283" s="62" t="s">
        <v>217</v>
      </c>
      <c r="B283" s="64" t="s">
        <v>275</v>
      </c>
      <c r="C283" s="64" t="s">
        <v>316</v>
      </c>
      <c r="D283" s="1">
        <v>4</v>
      </c>
      <c r="E283" s="1">
        <v>1</v>
      </c>
      <c r="F283" t="s">
        <v>270</v>
      </c>
      <c r="G283">
        <f>IF('pre-compute all'!E285&gt;$R$3,1,0)</f>
        <v>0</v>
      </c>
      <c r="H283" s="37">
        <f>IF('pre-compute all'!$G$2&gt;$R$3,1,0)</f>
        <v>0</v>
      </c>
      <c r="I283" s="37">
        <f>IF('pre-compute all'!H285&gt;$R$3,1,0)</f>
        <v>0</v>
      </c>
      <c r="J283" s="37">
        <f>IF('pre-compute all'!I285&gt;$R$3,1,0)</f>
        <v>1</v>
      </c>
      <c r="K283" s="37">
        <f>IF('pre-compute all'!J285&gt;$R$3,1,0)</f>
        <v>1</v>
      </c>
    </row>
    <row r="284" spans="1:11" ht="31.5">
      <c r="A284" s="1" t="s">
        <v>219</v>
      </c>
      <c r="B284" s="10" t="s">
        <v>275</v>
      </c>
      <c r="C284" s="10" t="s">
        <v>316</v>
      </c>
      <c r="D284" s="1">
        <v>4</v>
      </c>
      <c r="E284" s="1">
        <v>1</v>
      </c>
      <c r="F284" t="s">
        <v>270</v>
      </c>
      <c r="G284">
        <f>IF('pre-compute all'!E286&gt;$R$3,1,0)</f>
        <v>1</v>
      </c>
      <c r="H284" s="37">
        <f>IF('pre-compute all'!$G$2&gt;$R$3,1,0)</f>
        <v>0</v>
      </c>
      <c r="I284" s="37">
        <f>IF('pre-compute all'!H286&gt;$R$3,1,0)</f>
        <v>0</v>
      </c>
      <c r="J284" s="37">
        <f>IF('pre-compute all'!I286&gt;$R$3,1,0)</f>
        <v>1</v>
      </c>
      <c r="K284" s="37">
        <f>IF('pre-compute all'!J286&gt;$R$3,1,0)</f>
        <v>1</v>
      </c>
    </row>
    <row r="285" spans="1:11" ht="31.5">
      <c r="A285" s="62" t="s">
        <v>187</v>
      </c>
      <c r="B285" s="64" t="s">
        <v>275</v>
      </c>
      <c r="C285" s="64" t="s">
        <v>316</v>
      </c>
      <c r="D285" s="1">
        <v>4</v>
      </c>
      <c r="E285" s="1">
        <v>1</v>
      </c>
      <c r="F285" s="10" t="s">
        <v>270</v>
      </c>
      <c r="G285">
        <f>IF('pre-compute all'!E287&gt;$R$3,1,0)</f>
        <v>0</v>
      </c>
      <c r="H285" s="37">
        <f>IF('pre-compute all'!$G$2&gt;$R$3,1,0)</f>
        <v>0</v>
      </c>
      <c r="I285" s="37">
        <f>IF('pre-compute all'!H287&gt;$R$3,1,0)</f>
        <v>0</v>
      </c>
      <c r="J285" s="37">
        <f>IF('pre-compute all'!I287&gt;$R$3,1,0)</f>
        <v>1</v>
      </c>
      <c r="K285" s="37">
        <f>IF('pre-compute all'!J287&gt;$R$3,1,0)</f>
        <v>1</v>
      </c>
    </row>
    <row r="286" spans="1:11" ht="31.5">
      <c r="A286" s="62" t="s">
        <v>211</v>
      </c>
      <c r="B286" s="64" t="s">
        <v>275</v>
      </c>
      <c r="C286" s="64" t="s">
        <v>316</v>
      </c>
      <c r="D286" s="1">
        <v>4</v>
      </c>
      <c r="E286" s="1">
        <v>1</v>
      </c>
      <c r="F286" s="10" t="s">
        <v>270</v>
      </c>
      <c r="G286">
        <f>IF('pre-compute all'!E288&gt;$R$3,1,0)</f>
        <v>0</v>
      </c>
      <c r="H286" s="37">
        <f>IF('pre-compute all'!$G$2&gt;$R$3,1,0)</f>
        <v>0</v>
      </c>
      <c r="I286" s="37">
        <f>IF('pre-compute all'!H288&gt;$R$3,1,0)</f>
        <v>0</v>
      </c>
      <c r="J286" s="37">
        <f>IF('pre-compute all'!I288&gt;$R$3,1,0)</f>
        <v>1</v>
      </c>
      <c r="K286" s="37">
        <f>IF('pre-compute all'!J288&gt;$R$3,1,0)</f>
        <v>1</v>
      </c>
    </row>
    <row r="287" spans="1:11" ht="31.5">
      <c r="A287" s="62" t="s">
        <v>218</v>
      </c>
      <c r="B287" s="64" t="s">
        <v>291</v>
      </c>
      <c r="C287" s="64" t="s">
        <v>316</v>
      </c>
      <c r="D287" s="1">
        <v>4</v>
      </c>
      <c r="E287" s="1">
        <v>1</v>
      </c>
      <c r="F287" s="10" t="s">
        <v>272</v>
      </c>
      <c r="G287">
        <f>IF('pre-compute all'!E289&gt;$R$3,1,0)</f>
        <v>0</v>
      </c>
      <c r="H287" s="37">
        <f>IF('pre-compute all'!$G$2&gt;$R$3,1,0)</f>
        <v>0</v>
      </c>
      <c r="I287" s="37">
        <f>IF('pre-compute all'!H289&gt;$R$3,1,0)</f>
        <v>0</v>
      </c>
      <c r="J287" s="37">
        <f>IF('pre-compute all'!I289&gt;$R$3,1,0)</f>
        <v>1</v>
      </c>
      <c r="K287" s="37">
        <f>IF('pre-compute all'!J289&gt;$R$3,1,0)</f>
        <v>1</v>
      </c>
    </row>
    <row r="288" spans="1:11" ht="31.5">
      <c r="A288" s="62" t="s">
        <v>219</v>
      </c>
      <c r="B288" s="64" t="s">
        <v>291</v>
      </c>
      <c r="C288" s="64" t="s">
        <v>316</v>
      </c>
      <c r="D288" s="1">
        <v>4</v>
      </c>
      <c r="E288" s="1">
        <v>1</v>
      </c>
      <c r="F288" s="10" t="s">
        <v>272</v>
      </c>
      <c r="G288">
        <f>IF('pre-compute all'!E290&gt;$R$3,1,0)</f>
        <v>0</v>
      </c>
      <c r="H288" s="37">
        <f>IF('pre-compute all'!$G$2&gt;$R$3,1,0)</f>
        <v>0</v>
      </c>
      <c r="I288" s="37">
        <f>IF('pre-compute all'!H290&gt;$R$3,1,0)</f>
        <v>0</v>
      </c>
      <c r="J288" s="37">
        <f>IF('pre-compute all'!I290&gt;$R$3,1,0)</f>
        <v>1</v>
      </c>
      <c r="K288" s="37">
        <f>IF('pre-compute all'!J290&gt;$R$3,1,0)</f>
        <v>1</v>
      </c>
    </row>
    <row r="289" spans="1:11" ht="31.5">
      <c r="A289" s="62" t="s">
        <v>187</v>
      </c>
      <c r="B289" s="64" t="s">
        <v>291</v>
      </c>
      <c r="C289" s="64" t="s">
        <v>316</v>
      </c>
      <c r="D289" s="1">
        <v>4</v>
      </c>
      <c r="E289" s="1">
        <v>1</v>
      </c>
      <c r="F289" s="10" t="s">
        <v>272</v>
      </c>
      <c r="G289">
        <f>IF('pre-compute all'!E291&gt;$R$3,1,0)</f>
        <v>0</v>
      </c>
      <c r="H289" s="37">
        <f>IF('pre-compute all'!$G$2&gt;$R$3,1,0)</f>
        <v>0</v>
      </c>
      <c r="I289" s="37">
        <f>IF('pre-compute all'!H291&gt;$R$3,1,0)</f>
        <v>0</v>
      </c>
      <c r="J289" s="37">
        <f>IF('pre-compute all'!I291&gt;$R$3,1,0)</f>
        <v>1</v>
      </c>
      <c r="K289" s="37">
        <f>IF('pre-compute all'!J291&gt;$R$3,1,0)</f>
        <v>1</v>
      </c>
    </row>
    <row r="290" spans="1:11" ht="31.5">
      <c r="A290" s="62" t="s">
        <v>211</v>
      </c>
      <c r="B290" s="64" t="s">
        <v>291</v>
      </c>
      <c r="C290" s="64" t="s">
        <v>316</v>
      </c>
      <c r="D290" s="1">
        <v>4</v>
      </c>
      <c r="E290" s="1">
        <v>1</v>
      </c>
      <c r="F290" t="s">
        <v>272</v>
      </c>
      <c r="G290">
        <f>IF('pre-compute all'!E292&gt;$R$3,1,0)</f>
        <v>0</v>
      </c>
      <c r="H290" s="37">
        <f>IF('pre-compute all'!$G$2&gt;$R$3,1,0)</f>
        <v>0</v>
      </c>
      <c r="I290" s="37">
        <f>IF('pre-compute all'!H292&gt;$R$3,1,0)</f>
        <v>0</v>
      </c>
      <c r="J290" s="37">
        <f>IF('pre-compute all'!I292&gt;$R$3,1,0)</f>
        <v>1</v>
      </c>
      <c r="K290" s="37">
        <f>IF('pre-compute all'!J292&gt;$R$3,1,0)</f>
        <v>1</v>
      </c>
    </row>
    <row r="291" spans="1:11" ht="31.5">
      <c r="A291" s="1" t="s">
        <v>218</v>
      </c>
      <c r="B291" s="10" t="s">
        <v>267</v>
      </c>
      <c r="C291" s="10" t="s">
        <v>316</v>
      </c>
      <c r="D291" s="1">
        <v>4</v>
      </c>
      <c r="E291" s="1">
        <v>1</v>
      </c>
      <c r="F291" s="10" t="s">
        <v>268</v>
      </c>
      <c r="G291">
        <f>IF('pre-compute all'!E293&gt;$R$3,1,0)</f>
        <v>1</v>
      </c>
      <c r="H291" s="37">
        <f>IF('pre-compute all'!$G$2&gt;$R$3,1,0)</f>
        <v>0</v>
      </c>
      <c r="I291" s="37">
        <f>IF('pre-compute all'!H293&gt;$R$3,1,0)</f>
        <v>0</v>
      </c>
      <c r="J291" s="37">
        <f>IF('pre-compute all'!I293&gt;$R$3,1,0)</f>
        <v>1</v>
      </c>
      <c r="K291" s="37">
        <f>IF('pre-compute all'!J293&gt;$R$3,1,0)</f>
        <v>1</v>
      </c>
    </row>
    <row r="292" spans="1:11" ht="31.5">
      <c r="A292" s="1" t="s">
        <v>217</v>
      </c>
      <c r="B292" s="10" t="s">
        <v>267</v>
      </c>
      <c r="C292" s="10" t="s">
        <v>316</v>
      </c>
      <c r="D292" s="1">
        <v>4</v>
      </c>
      <c r="E292" s="1">
        <v>1</v>
      </c>
      <c r="F292" t="s">
        <v>268</v>
      </c>
      <c r="G292">
        <f>IF('pre-compute all'!E294&gt;$R$3,1,0)</f>
        <v>1</v>
      </c>
      <c r="H292" s="37">
        <f>IF('pre-compute all'!$G$2&gt;$R$3,1,0)</f>
        <v>0</v>
      </c>
      <c r="I292" s="37">
        <f>IF('pre-compute all'!H294&gt;$R$3,1,0)</f>
        <v>0</v>
      </c>
      <c r="J292" s="37">
        <f>IF('pre-compute all'!I294&gt;$R$3,1,0)</f>
        <v>1</v>
      </c>
      <c r="K292" s="37">
        <f>IF('pre-compute all'!J294&gt;$R$3,1,0)</f>
        <v>1</v>
      </c>
    </row>
    <row r="293" spans="1:11" ht="31.5">
      <c r="A293" s="1" t="s">
        <v>219</v>
      </c>
      <c r="B293" s="10" t="s">
        <v>267</v>
      </c>
      <c r="C293" s="10" t="s">
        <v>316</v>
      </c>
      <c r="D293" s="1">
        <v>4</v>
      </c>
      <c r="E293" s="1">
        <v>1</v>
      </c>
      <c r="F293" s="10" t="s">
        <v>268</v>
      </c>
      <c r="G293">
        <f>IF('pre-compute all'!E295&gt;$R$3,1,0)</f>
        <v>1</v>
      </c>
      <c r="H293" s="37">
        <f>IF('pre-compute all'!$G$2&gt;$R$3,1,0)</f>
        <v>0</v>
      </c>
      <c r="I293" s="37">
        <f>IF('pre-compute all'!H295&gt;$R$3,1,0)</f>
        <v>0</v>
      </c>
      <c r="J293" s="37">
        <f>IF('pre-compute all'!I295&gt;$R$3,1,0)</f>
        <v>1</v>
      </c>
      <c r="K293" s="37">
        <f>IF('pre-compute all'!J295&gt;$R$3,1,0)</f>
        <v>1</v>
      </c>
    </row>
    <row r="294" spans="1:11" ht="31.5">
      <c r="A294" s="1" t="s">
        <v>187</v>
      </c>
      <c r="B294" s="10" t="s">
        <v>267</v>
      </c>
      <c r="C294" s="10" t="s">
        <v>316</v>
      </c>
      <c r="D294" s="1">
        <v>4</v>
      </c>
      <c r="E294" s="1">
        <v>1</v>
      </c>
      <c r="F294" t="s">
        <v>268</v>
      </c>
      <c r="G294">
        <f>IF('pre-compute all'!E296&gt;$R$3,1,0)</f>
        <v>1</v>
      </c>
      <c r="H294" s="37">
        <f>IF('pre-compute all'!$G$2&gt;$R$3,1,0)</f>
        <v>0</v>
      </c>
      <c r="I294" s="37">
        <f>IF('pre-compute all'!H296&gt;$R$3,1,0)</f>
        <v>0</v>
      </c>
      <c r="J294" s="37">
        <f>IF('pre-compute all'!I296&gt;$R$3,1,0)</f>
        <v>1</v>
      </c>
      <c r="K294" s="37">
        <f>IF('pre-compute all'!J296&gt;$R$3,1,0)</f>
        <v>1</v>
      </c>
    </row>
    <row r="295" spans="1:11" ht="31.5">
      <c r="A295" s="1" t="s">
        <v>211</v>
      </c>
      <c r="B295" s="10" t="s">
        <v>267</v>
      </c>
      <c r="C295" s="10" t="s">
        <v>316</v>
      </c>
      <c r="D295" s="1">
        <v>4</v>
      </c>
      <c r="E295" s="1">
        <v>1</v>
      </c>
      <c r="F295" s="10" t="s">
        <v>268</v>
      </c>
      <c r="G295">
        <f>IF('pre-compute all'!E297&gt;$R$3,1,0)</f>
        <v>1</v>
      </c>
      <c r="H295" s="37">
        <f>IF('pre-compute all'!$G$2&gt;$R$3,1,0)</f>
        <v>0</v>
      </c>
      <c r="I295" s="37">
        <f>IF('pre-compute all'!H297&gt;$R$3,1,0)</f>
        <v>0</v>
      </c>
      <c r="J295" s="37">
        <f>IF('pre-compute all'!I297&gt;$R$3,1,0)</f>
        <v>1</v>
      </c>
      <c r="K295" s="37">
        <f>IF('pre-compute all'!J297&gt;$R$3,1,0)</f>
        <v>1</v>
      </c>
    </row>
    <row r="296" spans="1:11" ht="31.5">
      <c r="A296" s="1" t="s">
        <v>218</v>
      </c>
      <c r="B296" s="10" t="s">
        <v>285</v>
      </c>
      <c r="C296" s="10" t="s">
        <v>316</v>
      </c>
      <c r="D296" s="1">
        <v>4</v>
      </c>
      <c r="E296" s="1">
        <v>1</v>
      </c>
      <c r="F296" s="10"/>
      <c r="G296">
        <f>IF('pre-compute all'!E298&gt;$R$3,1,0)</f>
        <v>1</v>
      </c>
      <c r="H296" s="37">
        <f>IF('pre-compute all'!$G$2&gt;$R$3,1,0)</f>
        <v>0</v>
      </c>
      <c r="I296" s="37">
        <f>IF('pre-compute all'!H298&gt;$R$3,1,0)</f>
        <v>0</v>
      </c>
      <c r="J296" s="37">
        <f>IF('pre-compute all'!I298&gt;$R$3,1,0)</f>
        <v>1</v>
      </c>
      <c r="K296" s="37">
        <f>IF('pre-compute all'!J298&gt;$R$3,1,0)</f>
        <v>1</v>
      </c>
    </row>
    <row r="297" spans="1:11" ht="31.5">
      <c r="A297" s="1" t="s">
        <v>217</v>
      </c>
      <c r="B297" s="10" t="s">
        <v>285</v>
      </c>
      <c r="C297" s="10" t="s">
        <v>316</v>
      </c>
      <c r="D297" s="1">
        <v>4</v>
      </c>
      <c r="E297" s="1">
        <v>1</v>
      </c>
      <c r="F297" s="10"/>
      <c r="G297">
        <f>IF('pre-compute all'!E299&gt;$R$3,1,0)</f>
        <v>1</v>
      </c>
      <c r="H297" s="37">
        <f>IF('pre-compute all'!$G$2&gt;$R$3,1,0)</f>
        <v>0</v>
      </c>
      <c r="I297" s="37">
        <f>IF('pre-compute all'!H299&gt;$R$3,1,0)</f>
        <v>0</v>
      </c>
      <c r="J297" s="37">
        <f>IF('pre-compute all'!I299&gt;$R$3,1,0)</f>
        <v>1</v>
      </c>
      <c r="K297" s="37">
        <f>IF('pre-compute all'!J299&gt;$R$3,1,0)</f>
        <v>1</v>
      </c>
    </row>
    <row r="298" spans="1:11" ht="31.5">
      <c r="A298" s="1" t="s">
        <v>219</v>
      </c>
      <c r="B298" s="10" t="s">
        <v>285</v>
      </c>
      <c r="C298" s="10" t="s">
        <v>316</v>
      </c>
      <c r="D298" s="1">
        <v>4</v>
      </c>
      <c r="E298" s="1">
        <v>1</v>
      </c>
      <c r="G298">
        <f>IF('pre-compute all'!E300&gt;$R$3,1,0)</f>
        <v>1</v>
      </c>
      <c r="H298" s="37">
        <f>IF('pre-compute all'!$G$2&gt;$R$3,1,0)</f>
        <v>0</v>
      </c>
      <c r="I298" s="37">
        <f>IF('pre-compute all'!H300&gt;$R$3,1,0)</f>
        <v>0</v>
      </c>
      <c r="J298" s="37">
        <f>IF('pre-compute all'!I300&gt;$R$3,1,0)</f>
        <v>1</v>
      </c>
      <c r="K298" s="37">
        <f>IF('pre-compute all'!J300&gt;$R$3,1,0)</f>
        <v>1</v>
      </c>
    </row>
    <row r="299" spans="1:11" ht="31.5">
      <c r="A299" s="1" t="s">
        <v>187</v>
      </c>
      <c r="B299" s="10" t="s">
        <v>285</v>
      </c>
      <c r="C299" s="10" t="s">
        <v>316</v>
      </c>
      <c r="D299" s="1">
        <v>4</v>
      </c>
      <c r="E299" s="1">
        <v>1</v>
      </c>
      <c r="F299" s="10"/>
      <c r="G299">
        <f>IF('pre-compute all'!E301&gt;$R$3,1,0)</f>
        <v>1</v>
      </c>
      <c r="H299" s="37">
        <f>IF('pre-compute all'!$G$2&gt;$R$3,1,0)</f>
        <v>0</v>
      </c>
      <c r="I299" s="37">
        <f>IF('pre-compute all'!H301&gt;$R$3,1,0)</f>
        <v>0</v>
      </c>
      <c r="J299" s="37">
        <f>IF('pre-compute all'!I301&gt;$R$3,1,0)</f>
        <v>1</v>
      </c>
      <c r="K299" s="37">
        <f>IF('pre-compute all'!J301&gt;$R$3,1,0)</f>
        <v>1</v>
      </c>
    </row>
    <row r="300" spans="1:11" ht="31.5">
      <c r="A300" s="1" t="s">
        <v>216</v>
      </c>
      <c r="B300" s="10" t="s">
        <v>285</v>
      </c>
      <c r="C300" s="10" t="s">
        <v>316</v>
      </c>
      <c r="D300" s="1">
        <v>4</v>
      </c>
      <c r="E300" s="1">
        <v>0</v>
      </c>
      <c r="F300" s="10"/>
      <c r="G300">
        <f>IF('pre-compute all'!E241&gt;$R$3,1,0)</f>
        <v>0</v>
      </c>
      <c r="H300" s="37">
        <f>IF('pre-compute all'!$G$2&gt;$R$3,1,0)</f>
        <v>0</v>
      </c>
      <c r="I300" s="37">
        <f>IF('pre-compute all'!H241&gt;$R$3,1,0)</f>
        <v>0</v>
      </c>
      <c r="J300" s="37">
        <f>IF('pre-compute all'!I241&gt;$R$3,1,0)</f>
        <v>1</v>
      </c>
      <c r="K300" s="37">
        <f>IF('pre-compute all'!J241&gt;$R$3,1,0)</f>
        <v>1</v>
      </c>
    </row>
    <row r="301" spans="1:11" ht="31.5">
      <c r="A301" s="1" t="s">
        <v>211</v>
      </c>
      <c r="B301" s="10" t="s">
        <v>285</v>
      </c>
      <c r="C301" s="10" t="s">
        <v>316</v>
      </c>
      <c r="D301" s="1">
        <v>4</v>
      </c>
      <c r="E301" s="1">
        <v>1</v>
      </c>
      <c r="G301">
        <f>IF('pre-compute all'!E302&gt;$R$3,1,0)</f>
        <v>1</v>
      </c>
      <c r="H301" s="37">
        <f>IF('pre-compute all'!$G$2&gt;$R$3,1,0)</f>
        <v>0</v>
      </c>
      <c r="I301" s="37">
        <f>IF('pre-compute all'!H302&gt;$R$3,1,0)</f>
        <v>0</v>
      </c>
      <c r="J301" s="37">
        <f>IF('pre-compute all'!I302&gt;$R$3,1,0)</f>
        <v>1</v>
      </c>
      <c r="K301" s="37">
        <f>IF('pre-compute all'!J302&gt;$R$3,1,0)</f>
        <v>1</v>
      </c>
    </row>
    <row r="302" spans="1:11" ht="31.5">
      <c r="A302" s="1" t="s">
        <v>218</v>
      </c>
      <c r="B302" s="10" t="s">
        <v>282</v>
      </c>
      <c r="C302" s="10" t="s">
        <v>316</v>
      </c>
      <c r="D302" s="1">
        <v>4</v>
      </c>
      <c r="E302" s="1">
        <v>1</v>
      </c>
      <c r="F302" s="10"/>
      <c r="G302">
        <f>IF('pre-compute all'!E303&gt;$R$3,1,0)</f>
        <v>1</v>
      </c>
      <c r="H302" s="37">
        <f>IF('pre-compute all'!$G$2&gt;$R$3,1,0)</f>
        <v>0</v>
      </c>
      <c r="I302" s="37">
        <f>IF('pre-compute all'!H303&gt;$R$3,1,0)</f>
        <v>0</v>
      </c>
      <c r="J302" s="37">
        <f>IF('pre-compute all'!I303&gt;$R$3,1,0)</f>
        <v>1</v>
      </c>
      <c r="K302" s="37">
        <f>IF('pre-compute all'!J303&gt;$R$3,1,0)</f>
        <v>1</v>
      </c>
    </row>
    <row r="303" spans="1:11" ht="31.5">
      <c r="A303" s="1" t="s">
        <v>217</v>
      </c>
      <c r="B303" s="10" t="s">
        <v>282</v>
      </c>
      <c r="C303" s="10" t="s">
        <v>316</v>
      </c>
      <c r="D303" s="1">
        <v>4</v>
      </c>
      <c r="E303" s="1">
        <v>1</v>
      </c>
      <c r="G303">
        <f>IF('pre-compute all'!E304&gt;$R$3,1,0)</f>
        <v>1</v>
      </c>
      <c r="H303" s="37">
        <f>IF('pre-compute all'!$G$2&gt;$R$3,1,0)</f>
        <v>0</v>
      </c>
      <c r="I303" s="37">
        <f>IF('pre-compute all'!H304&gt;$R$3,1,0)</f>
        <v>0</v>
      </c>
      <c r="J303" s="37">
        <f>IF('pre-compute all'!I304&gt;$R$3,1,0)</f>
        <v>1</v>
      </c>
      <c r="K303" s="37">
        <f>IF('pre-compute all'!J304&gt;$R$3,1,0)</f>
        <v>1</v>
      </c>
    </row>
    <row r="304" spans="1:11" ht="31.5">
      <c r="A304" s="1" t="s">
        <v>219</v>
      </c>
      <c r="B304" s="10" t="s">
        <v>282</v>
      </c>
      <c r="C304" s="10" t="s">
        <v>316</v>
      </c>
      <c r="D304" s="1">
        <v>4</v>
      </c>
      <c r="E304" s="1">
        <v>1</v>
      </c>
      <c r="F304" s="10"/>
      <c r="G304">
        <f>IF('pre-compute all'!E305&gt;$R$3,1,0)</f>
        <v>1</v>
      </c>
      <c r="H304" s="37">
        <f>IF('pre-compute all'!$G$2&gt;$R$3,1,0)</f>
        <v>0</v>
      </c>
      <c r="I304" s="37">
        <f>IF('pre-compute all'!H305&gt;$R$3,1,0)</f>
        <v>0</v>
      </c>
      <c r="J304" s="37">
        <f>IF('pre-compute all'!I305&gt;$R$3,1,0)</f>
        <v>1</v>
      </c>
      <c r="K304" s="37">
        <f>IF('pre-compute all'!J305&gt;$R$3,1,0)</f>
        <v>1</v>
      </c>
    </row>
    <row r="305" spans="1:11" ht="31.5">
      <c r="A305" s="1" t="s">
        <v>187</v>
      </c>
      <c r="B305" s="10" t="s">
        <v>282</v>
      </c>
      <c r="C305" s="10" t="s">
        <v>316</v>
      </c>
      <c r="D305" s="1">
        <v>4</v>
      </c>
      <c r="E305" s="1">
        <v>1</v>
      </c>
      <c r="F305" s="10"/>
      <c r="G305">
        <f>IF('pre-compute all'!E306&gt;$R$3,1,0)</f>
        <v>1</v>
      </c>
      <c r="H305" s="37">
        <f>IF('pre-compute all'!$G$2&gt;$R$3,1,0)</f>
        <v>0</v>
      </c>
      <c r="I305" s="37">
        <f>IF('pre-compute all'!H306&gt;$R$3,1,0)</f>
        <v>0</v>
      </c>
      <c r="J305" s="37">
        <f>IF('pre-compute all'!I306&gt;$R$3,1,0)</f>
        <v>1</v>
      </c>
      <c r="K305" s="37">
        <f>IF('pre-compute all'!J306&gt;$R$3,1,0)</f>
        <v>1</v>
      </c>
    </row>
    <row r="306" spans="1:11" ht="31.5">
      <c r="A306" s="1" t="s">
        <v>211</v>
      </c>
      <c r="B306" s="10" t="s">
        <v>282</v>
      </c>
      <c r="C306" s="10" t="s">
        <v>316</v>
      </c>
      <c r="D306" s="1">
        <v>4</v>
      </c>
      <c r="E306" s="1">
        <v>1</v>
      </c>
      <c r="G306">
        <f>IF('pre-compute all'!E307&gt;$R$3,1,0)</f>
        <v>1</v>
      </c>
      <c r="H306" s="37">
        <f>IF('pre-compute all'!$G$2&gt;$R$3,1,0)</f>
        <v>0</v>
      </c>
      <c r="I306" s="37">
        <f>IF('pre-compute all'!H307&gt;$R$3,1,0)</f>
        <v>0</v>
      </c>
      <c r="J306" s="37">
        <f>IF('pre-compute all'!I307&gt;$R$3,1,0)</f>
        <v>1</v>
      </c>
      <c r="K306" s="37">
        <f>IF('pre-compute all'!J307&gt;$R$3,1,0)</f>
        <v>1</v>
      </c>
    </row>
    <row r="307" spans="1:11" ht="31.5">
      <c r="A307" s="1" t="s">
        <v>218</v>
      </c>
      <c r="B307" s="10" t="s">
        <v>280</v>
      </c>
      <c r="C307" s="10" t="s">
        <v>316</v>
      </c>
      <c r="D307" s="1">
        <v>4</v>
      </c>
      <c r="E307" s="1">
        <v>1</v>
      </c>
      <c r="F307" s="10"/>
      <c r="G307">
        <f>IF('pre-compute all'!E308&gt;$R$3,1,0)</f>
        <v>1</v>
      </c>
      <c r="H307" s="37">
        <f>IF('pre-compute all'!$G$2&gt;$R$3,1,0)</f>
        <v>0</v>
      </c>
      <c r="I307" s="37">
        <f>IF('pre-compute all'!H308&gt;$R$3,1,0)</f>
        <v>0</v>
      </c>
      <c r="J307" s="37">
        <f>IF('pre-compute all'!I308&gt;$R$3,1,0)</f>
        <v>1</v>
      </c>
      <c r="K307" s="37">
        <f>IF('pre-compute all'!J308&gt;$R$3,1,0)</f>
        <v>1</v>
      </c>
    </row>
    <row r="308" spans="1:11" ht="31.5">
      <c r="A308" s="1" t="s">
        <v>217</v>
      </c>
      <c r="B308" s="10" t="s">
        <v>280</v>
      </c>
      <c r="C308" s="10" t="s">
        <v>316</v>
      </c>
      <c r="D308" s="1">
        <v>4</v>
      </c>
      <c r="E308" s="1">
        <v>1</v>
      </c>
      <c r="G308">
        <f>IF('pre-compute all'!E309&gt;$R$3,1,0)</f>
        <v>1</v>
      </c>
      <c r="H308" s="37">
        <f>IF('pre-compute all'!$G$2&gt;$R$3,1,0)</f>
        <v>0</v>
      </c>
      <c r="I308" s="37">
        <f>IF('pre-compute all'!H309&gt;$R$3,1,0)</f>
        <v>0</v>
      </c>
      <c r="J308" s="37">
        <f>IF('pre-compute all'!I309&gt;$R$3,1,0)</f>
        <v>1</v>
      </c>
      <c r="K308" s="37">
        <f>IF('pre-compute all'!J309&gt;$R$3,1,0)</f>
        <v>1</v>
      </c>
    </row>
    <row r="309" spans="1:11" ht="31.5">
      <c r="A309" s="1" t="s">
        <v>187</v>
      </c>
      <c r="B309" s="10" t="s">
        <v>280</v>
      </c>
      <c r="C309" s="10" t="s">
        <v>316</v>
      </c>
      <c r="D309" s="1">
        <v>4</v>
      </c>
      <c r="E309" s="1">
        <v>1</v>
      </c>
      <c r="F309" s="10"/>
      <c r="G309">
        <f>IF('pre-compute all'!E310&gt;$R$3,1,0)</f>
        <v>1</v>
      </c>
      <c r="H309" s="37">
        <f>IF('pre-compute all'!$G$2&gt;$R$3,1,0)</f>
        <v>0</v>
      </c>
      <c r="I309" s="37">
        <f>IF('pre-compute all'!H310&gt;$R$3,1,0)</f>
        <v>0</v>
      </c>
      <c r="J309" s="37">
        <f>IF('pre-compute all'!I310&gt;$R$3,1,0)</f>
        <v>1</v>
      </c>
      <c r="K309" s="37">
        <f>IF('pre-compute all'!J310&gt;$R$3,1,0)</f>
        <v>1</v>
      </c>
    </row>
    <row r="310" spans="1:11" ht="31.5">
      <c r="A310" s="62" t="s">
        <v>211</v>
      </c>
      <c r="B310" s="64" t="s">
        <v>280</v>
      </c>
      <c r="C310" s="64" t="s">
        <v>316</v>
      </c>
      <c r="D310" s="1">
        <v>4</v>
      </c>
      <c r="E310" s="1">
        <v>1</v>
      </c>
      <c r="G310">
        <f>IF('pre-compute all'!E311&gt;$R$3,1,0)</f>
        <v>0</v>
      </c>
      <c r="H310" s="37">
        <f>IF('pre-compute all'!$G$2&gt;$R$3,1,0)</f>
        <v>0</v>
      </c>
      <c r="I310" s="37">
        <f>IF('pre-compute all'!H311&gt;$R$3,1,0)</f>
        <v>0</v>
      </c>
      <c r="J310" s="37">
        <f>IF('pre-compute all'!I311&gt;$R$3,1,0)</f>
        <v>1</v>
      </c>
      <c r="K310" s="37">
        <f>IF('pre-compute all'!J311&gt;$R$3,1,0)</f>
        <v>1</v>
      </c>
    </row>
    <row r="311" spans="1:11" ht="31.5">
      <c r="A311" s="1" t="s">
        <v>218</v>
      </c>
      <c r="B311" s="10" t="s">
        <v>286</v>
      </c>
      <c r="C311" s="10" t="s">
        <v>316</v>
      </c>
      <c r="D311" s="1">
        <v>4</v>
      </c>
      <c r="E311" s="1">
        <v>1</v>
      </c>
      <c r="G311">
        <f>IF('pre-compute all'!E312&gt;$R$3,1,0)</f>
        <v>1</v>
      </c>
      <c r="H311" s="37">
        <f>IF('pre-compute all'!$G$2&gt;$R$3,1,0)</f>
        <v>0</v>
      </c>
      <c r="I311" s="37">
        <f>IF('pre-compute all'!H312&gt;$R$3,1,0)</f>
        <v>0</v>
      </c>
      <c r="J311" s="37">
        <f>IF('pre-compute all'!I312&gt;$R$3,1,0)</f>
        <v>1</v>
      </c>
      <c r="K311" s="37">
        <f>IF('pre-compute all'!J312&gt;$R$3,1,0)</f>
        <v>1</v>
      </c>
    </row>
    <row r="312" spans="1:11" ht="31.5">
      <c r="A312" s="1" t="s">
        <v>217</v>
      </c>
      <c r="B312" s="10" t="s">
        <v>286</v>
      </c>
      <c r="C312" s="10" t="s">
        <v>316</v>
      </c>
      <c r="D312" s="1">
        <v>4</v>
      </c>
      <c r="E312" s="1">
        <v>1</v>
      </c>
      <c r="G312">
        <f>IF('pre-compute all'!E313&gt;$R$3,1,0)</f>
        <v>1</v>
      </c>
      <c r="H312" s="37">
        <f>IF('pre-compute all'!$G$2&gt;$R$3,1,0)</f>
        <v>0</v>
      </c>
      <c r="I312" s="37">
        <f>IF('pre-compute all'!H313&gt;$R$3,1,0)</f>
        <v>0</v>
      </c>
      <c r="J312" s="37">
        <f>IF('pre-compute all'!I313&gt;$R$3,1,0)</f>
        <v>1</v>
      </c>
      <c r="K312" s="37">
        <f>IF('pre-compute all'!J313&gt;$R$3,1,0)</f>
        <v>1</v>
      </c>
    </row>
    <row r="313" spans="1:11" ht="31.5">
      <c r="A313" s="1" t="s">
        <v>219</v>
      </c>
      <c r="B313" s="10" t="s">
        <v>286</v>
      </c>
      <c r="C313" s="10" t="s">
        <v>316</v>
      </c>
      <c r="D313" s="1">
        <v>4</v>
      </c>
      <c r="E313" s="1">
        <v>1</v>
      </c>
      <c r="F313" s="10"/>
      <c r="G313">
        <f>IF('pre-compute all'!E314&gt;$R$3,1,0)</f>
        <v>1</v>
      </c>
      <c r="H313" s="37">
        <f>IF('pre-compute all'!$G$2&gt;$R$3,1,0)</f>
        <v>0</v>
      </c>
      <c r="I313" s="37">
        <f>IF('pre-compute all'!H314&gt;$R$3,1,0)</f>
        <v>0</v>
      </c>
      <c r="J313" s="37">
        <f>IF('pre-compute all'!I314&gt;$R$3,1,0)</f>
        <v>1</v>
      </c>
      <c r="K313" s="37">
        <f>IF('pre-compute all'!J314&gt;$R$3,1,0)</f>
        <v>1</v>
      </c>
    </row>
    <row r="314" spans="1:11" ht="31.5">
      <c r="A314" s="1" t="s">
        <v>187</v>
      </c>
      <c r="B314" s="10" t="s">
        <v>286</v>
      </c>
      <c r="C314" s="10" t="s">
        <v>316</v>
      </c>
      <c r="D314" s="1">
        <v>4</v>
      </c>
      <c r="E314" s="1">
        <v>1</v>
      </c>
      <c r="F314" s="10"/>
      <c r="G314">
        <f>IF('pre-compute all'!E315&gt;$R$3,1,0)</f>
        <v>1</v>
      </c>
      <c r="H314" s="37">
        <f>IF('pre-compute all'!$G$2&gt;$R$3,1,0)</f>
        <v>0</v>
      </c>
      <c r="I314" s="37">
        <f>IF('pre-compute all'!H315&gt;$R$3,1,0)</f>
        <v>0</v>
      </c>
      <c r="J314" s="37">
        <f>IF('pre-compute all'!I315&gt;$R$3,1,0)</f>
        <v>1</v>
      </c>
      <c r="K314" s="37">
        <f>IF('pre-compute all'!J315&gt;$R$3,1,0)</f>
        <v>1</v>
      </c>
    </row>
    <row r="315" spans="1:11" ht="31.5">
      <c r="A315" s="62" t="s">
        <v>211</v>
      </c>
      <c r="B315" s="64" t="s">
        <v>286</v>
      </c>
      <c r="C315" s="64" t="s">
        <v>316</v>
      </c>
      <c r="D315" s="1">
        <v>4</v>
      </c>
      <c r="E315" s="1">
        <v>1</v>
      </c>
      <c r="G315">
        <f>IF('pre-compute all'!E316&gt;$R$3,1,0)</f>
        <v>0</v>
      </c>
      <c r="H315" s="37">
        <f>IF('pre-compute all'!$G$2&gt;$R$3,1,0)</f>
        <v>0</v>
      </c>
      <c r="I315" s="37">
        <f>IF('pre-compute all'!H316&gt;$R$3,1,0)</f>
        <v>0</v>
      </c>
      <c r="J315" s="37">
        <f>IF('pre-compute all'!I316&gt;$R$3,1,0)</f>
        <v>1</v>
      </c>
      <c r="K315" s="37">
        <f>IF('pre-compute all'!J316&gt;$R$3,1,0)</f>
        <v>1</v>
      </c>
    </row>
    <row r="316" spans="1:11" ht="31.5">
      <c r="A316" s="1" t="s">
        <v>218</v>
      </c>
      <c r="B316" s="10" t="s">
        <v>288</v>
      </c>
      <c r="C316" s="10" t="s">
        <v>316</v>
      </c>
      <c r="D316" s="1">
        <v>4</v>
      </c>
      <c r="E316" s="1">
        <v>1</v>
      </c>
      <c r="F316" s="10" t="s">
        <v>270</v>
      </c>
      <c r="G316">
        <f>IF('pre-compute all'!E317&gt;$R$3,1,0)</f>
        <v>1</v>
      </c>
      <c r="H316" s="37">
        <f>IF('pre-compute all'!$G$2&gt;$R$3,1,0)</f>
        <v>0</v>
      </c>
      <c r="I316" s="37">
        <f>IF('pre-compute all'!H317&gt;$R$3,1,0)</f>
        <v>0</v>
      </c>
      <c r="J316" s="37">
        <f>IF('pre-compute all'!I317&gt;$R$3,1,0)</f>
        <v>1</v>
      </c>
      <c r="K316" s="37">
        <f>IF('pre-compute all'!J317&gt;$R$3,1,0)</f>
        <v>1</v>
      </c>
    </row>
    <row r="317" spans="1:11" ht="31.5">
      <c r="A317" s="1" t="s">
        <v>217</v>
      </c>
      <c r="B317" s="10" t="s">
        <v>288</v>
      </c>
      <c r="C317" s="10" t="s">
        <v>316</v>
      </c>
      <c r="D317" s="1">
        <v>4</v>
      </c>
      <c r="E317" s="1">
        <v>1</v>
      </c>
      <c r="F317" s="10" t="s">
        <v>270</v>
      </c>
      <c r="G317">
        <f>IF('pre-compute all'!E318&gt;$R$3,1,0)</f>
        <v>1</v>
      </c>
      <c r="H317" s="37">
        <f>IF('pre-compute all'!$G$2&gt;$R$3,1,0)</f>
        <v>0</v>
      </c>
      <c r="I317" s="37">
        <f>IF('pre-compute all'!H318&gt;$R$3,1,0)</f>
        <v>0</v>
      </c>
      <c r="J317" s="37">
        <f>IF('pre-compute all'!I318&gt;$R$3,1,0)</f>
        <v>1</v>
      </c>
      <c r="K317" s="37">
        <f>IF('pre-compute all'!J318&gt;$R$3,1,0)</f>
        <v>1</v>
      </c>
    </row>
    <row r="318" spans="1:11" ht="31.5">
      <c r="A318" s="1" t="s">
        <v>219</v>
      </c>
      <c r="B318" s="10" t="s">
        <v>288</v>
      </c>
      <c r="C318" s="10" t="s">
        <v>316</v>
      </c>
      <c r="D318" s="1">
        <v>4</v>
      </c>
      <c r="E318" s="1">
        <v>1</v>
      </c>
      <c r="F318" t="s">
        <v>270</v>
      </c>
      <c r="G318">
        <f>IF('pre-compute all'!E319&gt;$R$3,1,0)</f>
        <v>1</v>
      </c>
      <c r="H318" s="37">
        <f>IF('pre-compute all'!$G$2&gt;$R$3,1,0)</f>
        <v>0</v>
      </c>
      <c r="I318" s="37">
        <f>IF('pre-compute all'!H319&gt;$R$3,1,0)</f>
        <v>0</v>
      </c>
      <c r="J318" s="37">
        <f>IF('pre-compute all'!I319&gt;$R$3,1,0)</f>
        <v>1</v>
      </c>
      <c r="K318" s="37">
        <f>IF('pre-compute all'!J319&gt;$R$3,1,0)</f>
        <v>1</v>
      </c>
    </row>
    <row r="319" spans="1:11" ht="31.5">
      <c r="A319" s="62" t="s">
        <v>187</v>
      </c>
      <c r="B319" s="64" t="s">
        <v>288</v>
      </c>
      <c r="C319" s="64" t="s">
        <v>316</v>
      </c>
      <c r="D319" s="1">
        <v>4</v>
      </c>
      <c r="E319" s="1">
        <v>1</v>
      </c>
      <c r="F319" s="10" t="s">
        <v>270</v>
      </c>
      <c r="G319">
        <f>IF('pre-compute all'!E320&gt;$R$3,1,0)</f>
        <v>0</v>
      </c>
      <c r="H319" s="37">
        <f>IF('pre-compute all'!$G$2&gt;$R$3,1,0)</f>
        <v>0</v>
      </c>
      <c r="I319" s="37">
        <f>IF('pre-compute all'!H320&gt;$R$3,1,0)</f>
        <v>0</v>
      </c>
      <c r="J319" s="37">
        <f>IF('pre-compute all'!I320&gt;$R$3,1,0)</f>
        <v>1</v>
      </c>
      <c r="K319" s="37">
        <f>IF('pre-compute all'!J320&gt;$R$3,1,0)</f>
        <v>1</v>
      </c>
    </row>
    <row r="320" spans="1:11" ht="31.5">
      <c r="A320" s="62" t="s">
        <v>211</v>
      </c>
      <c r="B320" s="64" t="s">
        <v>288</v>
      </c>
      <c r="C320" s="64" t="s">
        <v>316</v>
      </c>
      <c r="D320" s="1">
        <v>4</v>
      </c>
      <c r="E320" s="1">
        <v>1</v>
      </c>
      <c r="F320" t="s">
        <v>270</v>
      </c>
      <c r="G320">
        <f>IF('pre-compute all'!E321&gt;$R$3,1,0)</f>
        <v>0</v>
      </c>
      <c r="H320" s="37">
        <f>IF('pre-compute all'!$G$2&gt;$R$3,1,0)</f>
        <v>0</v>
      </c>
      <c r="I320" s="37">
        <f>IF('pre-compute all'!H321&gt;$R$3,1,0)</f>
        <v>0</v>
      </c>
      <c r="J320" s="37">
        <f>IF('pre-compute all'!I321&gt;$R$3,1,0)</f>
        <v>1</v>
      </c>
      <c r="K320" s="37">
        <f>IF('pre-compute all'!J321&gt;$R$3,1,0)</f>
        <v>1</v>
      </c>
    </row>
    <row r="321" spans="1:11" ht="31.5">
      <c r="A321" s="62" t="s">
        <v>218</v>
      </c>
      <c r="B321" s="64" t="s">
        <v>274</v>
      </c>
      <c r="C321" s="64" t="s">
        <v>316</v>
      </c>
      <c r="D321" s="1">
        <v>4</v>
      </c>
      <c r="E321" s="1">
        <v>1</v>
      </c>
      <c r="F321" t="s">
        <v>272</v>
      </c>
      <c r="G321">
        <f>IF('pre-compute all'!E322&gt;$R$3,1,0)</f>
        <v>0</v>
      </c>
      <c r="H321" s="37">
        <f>IF('pre-compute all'!$G$2&gt;$R$3,1,0)</f>
        <v>0</v>
      </c>
      <c r="I321" s="37">
        <f>IF('pre-compute all'!H322&gt;$R$3,1,0)</f>
        <v>0</v>
      </c>
      <c r="J321" s="37">
        <f>IF('pre-compute all'!I322&gt;$R$3,1,0)</f>
        <v>1</v>
      </c>
      <c r="K321" s="37">
        <f>IF('pre-compute all'!J322&gt;$R$3,1,0)</f>
        <v>1</v>
      </c>
    </row>
    <row r="322" spans="1:11" ht="31.5">
      <c r="A322" s="62" t="s">
        <v>217</v>
      </c>
      <c r="B322" s="64" t="s">
        <v>274</v>
      </c>
      <c r="C322" s="64" t="s">
        <v>316</v>
      </c>
      <c r="D322" s="1">
        <v>4</v>
      </c>
      <c r="E322" s="1">
        <v>1</v>
      </c>
      <c r="F322" t="s">
        <v>272</v>
      </c>
      <c r="G322">
        <f>IF('pre-compute all'!E323&gt;$R$3,1,0)</f>
        <v>0</v>
      </c>
      <c r="H322" s="37">
        <f>IF('pre-compute all'!$G$2&gt;$R$3,1,0)</f>
        <v>0</v>
      </c>
      <c r="I322" s="37">
        <f>IF('pre-compute all'!H323&gt;$R$3,1,0)</f>
        <v>0</v>
      </c>
      <c r="J322" s="37">
        <f>IF('pre-compute all'!I323&gt;$R$3,1,0)</f>
        <v>1</v>
      </c>
      <c r="K322" s="37">
        <f>IF('pre-compute all'!J323&gt;$R$3,1,0)</f>
        <v>1</v>
      </c>
    </row>
    <row r="323" spans="1:11" ht="31.5">
      <c r="A323" s="62" t="s">
        <v>219</v>
      </c>
      <c r="B323" s="64" t="s">
        <v>274</v>
      </c>
      <c r="C323" s="64" t="s">
        <v>316</v>
      </c>
      <c r="D323" s="1">
        <v>4</v>
      </c>
      <c r="E323" s="1">
        <v>1</v>
      </c>
      <c r="F323" s="10" t="s">
        <v>272</v>
      </c>
      <c r="G323">
        <f>IF('pre-compute all'!E324&gt;$R$3,1,0)</f>
        <v>0</v>
      </c>
      <c r="H323" s="37">
        <f>IF('pre-compute all'!$G$2&gt;$R$3,1,0)</f>
        <v>0</v>
      </c>
      <c r="I323" s="37">
        <f>IF('pre-compute all'!H324&gt;$R$3,1,0)</f>
        <v>0</v>
      </c>
      <c r="J323" s="37">
        <f>IF('pre-compute all'!I324&gt;$R$3,1,0)</f>
        <v>1</v>
      </c>
      <c r="K323" s="37">
        <f>IF('pre-compute all'!J324&gt;$R$3,1,0)</f>
        <v>1</v>
      </c>
    </row>
    <row r="324" spans="1:11" ht="31.5">
      <c r="A324" s="62" t="s">
        <v>187</v>
      </c>
      <c r="B324" s="64" t="s">
        <v>274</v>
      </c>
      <c r="C324" s="64" t="s">
        <v>316</v>
      </c>
      <c r="D324" s="1">
        <v>4</v>
      </c>
      <c r="E324" s="1">
        <v>1</v>
      </c>
      <c r="F324" s="10" t="s">
        <v>272</v>
      </c>
      <c r="G324">
        <f>IF('pre-compute all'!E325&gt;$R$3,1,0)</f>
        <v>0</v>
      </c>
      <c r="H324" s="37">
        <f>IF('pre-compute all'!$G$2&gt;$R$3,1,0)</f>
        <v>0</v>
      </c>
      <c r="I324" s="37">
        <f>IF('pre-compute all'!H325&gt;$R$3,1,0)</f>
        <v>0</v>
      </c>
      <c r="J324" s="37">
        <f>IF('pre-compute all'!I325&gt;$R$3,1,0)</f>
        <v>1</v>
      </c>
      <c r="K324" s="37">
        <f>IF('pre-compute all'!J325&gt;$R$3,1,0)</f>
        <v>1</v>
      </c>
    </row>
    <row r="325" spans="1:11" ht="31.5">
      <c r="A325" s="62" t="s">
        <v>211</v>
      </c>
      <c r="B325" s="64" t="s">
        <v>274</v>
      </c>
      <c r="C325" s="64" t="s">
        <v>316</v>
      </c>
      <c r="D325" s="1">
        <v>4</v>
      </c>
      <c r="E325" s="1">
        <v>1</v>
      </c>
      <c r="F325" t="s">
        <v>272</v>
      </c>
      <c r="G325">
        <f>IF('pre-compute all'!E326&gt;$R$3,1,0)</f>
        <v>0</v>
      </c>
      <c r="H325" s="37">
        <f>IF('pre-compute all'!$G$2&gt;$R$3,1,0)</f>
        <v>0</v>
      </c>
      <c r="I325" s="37">
        <f>IF('pre-compute all'!H326&gt;$R$3,1,0)</f>
        <v>0</v>
      </c>
      <c r="J325" s="37">
        <f>IF('pre-compute all'!I326&gt;$R$3,1,0)</f>
        <v>1</v>
      </c>
      <c r="K325" s="37">
        <f>IF('pre-compute all'!J326&gt;$R$3,1,0)</f>
        <v>1</v>
      </c>
    </row>
    <row r="326" spans="1:11" ht="31.5">
      <c r="A326" s="1" t="s">
        <v>218</v>
      </c>
      <c r="B326" s="10" t="s">
        <v>287</v>
      </c>
      <c r="C326" s="10" t="s">
        <v>316</v>
      </c>
      <c r="D326" s="1">
        <v>4</v>
      </c>
      <c r="E326" s="1">
        <v>1</v>
      </c>
      <c r="F326" t="s">
        <v>268</v>
      </c>
      <c r="G326">
        <f>IF('pre-compute all'!E327&gt;$R$3,1,0)</f>
        <v>1</v>
      </c>
      <c r="H326" s="37">
        <f>IF('pre-compute all'!$G$2&gt;$R$3,1,0)</f>
        <v>0</v>
      </c>
      <c r="I326" s="37">
        <f>IF('pre-compute all'!H327&gt;$R$3,1,0)</f>
        <v>0</v>
      </c>
      <c r="J326" s="37">
        <f>IF('pre-compute all'!I327&gt;$R$3,1,0)</f>
        <v>1</v>
      </c>
      <c r="K326" s="37">
        <f>IF('pre-compute all'!J327&gt;$R$3,1,0)</f>
        <v>1</v>
      </c>
    </row>
    <row r="327" spans="1:11" ht="31.5">
      <c r="A327" s="1" t="s">
        <v>217</v>
      </c>
      <c r="B327" s="10" t="s">
        <v>287</v>
      </c>
      <c r="C327" s="10" t="s">
        <v>316</v>
      </c>
      <c r="D327" s="1">
        <v>4</v>
      </c>
      <c r="E327" s="1">
        <v>1</v>
      </c>
      <c r="F327" s="10" t="s">
        <v>268</v>
      </c>
      <c r="G327">
        <f>IF('pre-compute all'!E328&gt;$R$3,1,0)</f>
        <v>1</v>
      </c>
      <c r="H327" s="37">
        <f>IF('pre-compute all'!$G$2&gt;$R$3,1,0)</f>
        <v>0</v>
      </c>
      <c r="I327" s="37">
        <f>IF('pre-compute all'!H328&gt;$R$3,1,0)</f>
        <v>0</v>
      </c>
      <c r="J327" s="37">
        <f>IF('pre-compute all'!I328&gt;$R$3,1,0)</f>
        <v>1</v>
      </c>
      <c r="K327" s="37">
        <f>IF('pre-compute all'!J328&gt;$R$3,1,0)</f>
        <v>1</v>
      </c>
    </row>
    <row r="328" spans="1:11" ht="31.5">
      <c r="A328" s="1" t="s">
        <v>219</v>
      </c>
      <c r="B328" s="10" t="s">
        <v>287</v>
      </c>
      <c r="C328" s="10" t="s">
        <v>316</v>
      </c>
      <c r="D328" s="1">
        <v>4</v>
      </c>
      <c r="E328" s="1">
        <v>1</v>
      </c>
      <c r="F328" s="10" t="s">
        <v>268</v>
      </c>
      <c r="G328">
        <f>IF('pre-compute all'!E329&gt;$R$3,1,0)</f>
        <v>1</v>
      </c>
      <c r="H328" s="37">
        <f>IF('pre-compute all'!$G$2&gt;$R$3,1,0)</f>
        <v>0</v>
      </c>
      <c r="I328" s="37">
        <f>IF('pre-compute all'!H329&gt;$R$3,1,0)</f>
        <v>0</v>
      </c>
      <c r="J328" s="37">
        <f>IF('pre-compute all'!I329&gt;$R$3,1,0)</f>
        <v>1</v>
      </c>
      <c r="K328" s="37">
        <f>IF('pre-compute all'!J329&gt;$R$3,1,0)</f>
        <v>1</v>
      </c>
    </row>
    <row r="329" spans="1:11" ht="31.5">
      <c r="A329" s="1" t="s">
        <v>187</v>
      </c>
      <c r="B329" s="10" t="s">
        <v>287</v>
      </c>
      <c r="C329" s="10" t="s">
        <v>316</v>
      </c>
      <c r="D329" s="1">
        <v>4</v>
      </c>
      <c r="E329" s="1">
        <v>1</v>
      </c>
      <c r="F329" s="10" t="s">
        <v>268</v>
      </c>
      <c r="G329">
        <f>IF('pre-compute all'!E330&gt;$R$3,1,0)</f>
        <v>1</v>
      </c>
      <c r="H329" s="37">
        <f>IF('pre-compute all'!$G$2&gt;$R$3,1,0)</f>
        <v>0</v>
      </c>
      <c r="I329" s="37">
        <f>IF('pre-compute all'!H330&gt;$R$3,1,0)</f>
        <v>0</v>
      </c>
      <c r="J329" s="37">
        <f>IF('pre-compute all'!I330&gt;$R$3,1,0)</f>
        <v>1</v>
      </c>
      <c r="K329" s="37">
        <f>IF('pre-compute all'!J330&gt;$R$3,1,0)</f>
        <v>1</v>
      </c>
    </row>
    <row r="330" spans="1:11" ht="31.5">
      <c r="A330" s="62" t="s">
        <v>211</v>
      </c>
      <c r="B330" s="64" t="s">
        <v>287</v>
      </c>
      <c r="C330" s="64" t="s">
        <v>316</v>
      </c>
      <c r="D330" s="1">
        <v>4</v>
      </c>
      <c r="E330" s="1">
        <v>1</v>
      </c>
      <c r="F330" t="s">
        <v>268</v>
      </c>
      <c r="G330">
        <f>IF('pre-compute all'!E331&gt;$R$3,1,0)</f>
        <v>0</v>
      </c>
      <c r="H330" s="37">
        <f>IF('pre-compute all'!$G$2&gt;$R$3,1,0)</f>
        <v>0</v>
      </c>
      <c r="I330" s="37">
        <f>IF('pre-compute all'!H331&gt;$R$3,1,0)</f>
        <v>0</v>
      </c>
      <c r="J330" s="37">
        <f>IF('pre-compute all'!I331&gt;$R$3,1,0)</f>
        <v>1</v>
      </c>
      <c r="K330" s="37">
        <f>IF('pre-compute all'!J331&gt;$R$3,1,0)</f>
        <v>1</v>
      </c>
    </row>
    <row r="331" spans="1:11" ht="15.75">
      <c r="A331" s="1" t="s">
        <v>216</v>
      </c>
      <c r="B331" s="10" t="s">
        <v>293</v>
      </c>
      <c r="C331" s="10" t="s">
        <v>316</v>
      </c>
      <c r="D331" s="1">
        <v>4</v>
      </c>
      <c r="E331" s="1">
        <v>0</v>
      </c>
      <c r="F331" s="10"/>
      <c r="G331">
        <f>IF('pre-compute all'!E242&gt;$R$3,1,0)</f>
        <v>0</v>
      </c>
      <c r="H331" s="37">
        <f>IF('pre-compute all'!$G$2&gt;$R$3,1,0)</f>
        <v>0</v>
      </c>
      <c r="I331" s="37">
        <f>IF('pre-compute all'!H242&gt;$R$3,1,0)</f>
        <v>0</v>
      </c>
      <c r="J331" s="37">
        <f>IF('pre-compute all'!I242&gt;$R$3,1,0)</f>
        <v>1</v>
      </c>
      <c r="K331" s="37">
        <f>IF('pre-compute all'!J242&gt;$R$3,1,0)</f>
        <v>1</v>
      </c>
    </row>
    <row r="332" spans="1:11" ht="31.5">
      <c r="A332" s="1" t="s">
        <v>218</v>
      </c>
      <c r="B332" s="10" t="s">
        <v>279</v>
      </c>
      <c r="C332" s="10" t="s">
        <v>316</v>
      </c>
      <c r="D332" s="1">
        <v>4</v>
      </c>
      <c r="E332" s="1">
        <v>1</v>
      </c>
      <c r="F332" s="10"/>
      <c r="G332">
        <f>IF('pre-compute all'!E332&gt;$R$3,1,0)</f>
        <v>1</v>
      </c>
      <c r="H332" s="37">
        <f>IF('pre-compute all'!$G$2&gt;$R$3,1,0)</f>
        <v>0</v>
      </c>
      <c r="I332" s="37">
        <f>IF('pre-compute all'!H332&gt;$R$3,1,0)</f>
        <v>0</v>
      </c>
      <c r="J332" s="37">
        <f>IF('pre-compute all'!I332&gt;$R$3,1,0)</f>
        <v>1</v>
      </c>
      <c r="K332" s="37">
        <f>IF('pre-compute all'!J332&gt;$R$3,1,0)</f>
        <v>1</v>
      </c>
    </row>
    <row r="333" spans="1:11" ht="31.5">
      <c r="A333" s="1" t="s">
        <v>217</v>
      </c>
      <c r="B333" s="10" t="s">
        <v>279</v>
      </c>
      <c r="C333" s="10" t="s">
        <v>316</v>
      </c>
      <c r="D333" s="1">
        <v>4</v>
      </c>
      <c r="E333" s="1">
        <v>1</v>
      </c>
      <c r="G333">
        <f>IF('pre-compute all'!E333&gt;$R$3,1,0)</f>
        <v>1</v>
      </c>
      <c r="H333" s="37">
        <f>IF('pre-compute all'!$G$2&gt;$R$3,1,0)</f>
        <v>0</v>
      </c>
      <c r="I333" s="37">
        <f>IF('pre-compute all'!H333&gt;$R$3,1,0)</f>
        <v>0</v>
      </c>
      <c r="J333" s="37">
        <f>IF('pre-compute all'!I333&gt;$R$3,1,0)</f>
        <v>1</v>
      </c>
      <c r="K333" s="37">
        <f>IF('pre-compute all'!J333&gt;$R$3,1,0)</f>
        <v>1</v>
      </c>
    </row>
    <row r="334" spans="1:11" ht="31.5">
      <c r="A334" s="1" t="s">
        <v>219</v>
      </c>
      <c r="B334" s="10" t="s">
        <v>279</v>
      </c>
      <c r="C334" s="10" t="s">
        <v>316</v>
      </c>
      <c r="D334" s="1">
        <v>4</v>
      </c>
      <c r="E334" s="1">
        <v>1</v>
      </c>
      <c r="F334" s="10"/>
      <c r="G334">
        <f>IF('pre-compute all'!E334&gt;$R$3,1,0)</f>
        <v>1</v>
      </c>
      <c r="H334" s="37">
        <f>IF('pre-compute all'!$G$2&gt;$R$3,1,0)</f>
        <v>0</v>
      </c>
      <c r="I334" s="37">
        <f>IF('pre-compute all'!H334&gt;$R$3,1,0)</f>
        <v>0</v>
      </c>
      <c r="J334" s="37">
        <f>IF('pre-compute all'!I334&gt;$R$3,1,0)</f>
        <v>1</v>
      </c>
      <c r="K334" s="37">
        <f>IF('pre-compute all'!J334&gt;$R$3,1,0)</f>
        <v>1</v>
      </c>
    </row>
    <row r="335" spans="1:11" ht="31.5">
      <c r="A335" s="1" t="s">
        <v>187</v>
      </c>
      <c r="B335" s="10" t="s">
        <v>279</v>
      </c>
      <c r="C335" s="10" t="s">
        <v>316</v>
      </c>
      <c r="D335" s="1">
        <v>4</v>
      </c>
      <c r="E335" s="1">
        <v>1</v>
      </c>
      <c r="F335" s="10"/>
      <c r="G335">
        <f>IF('pre-compute all'!E335&gt;$R$3,1,0)</f>
        <v>1</v>
      </c>
      <c r="H335" s="37">
        <f>IF('pre-compute all'!$G$2&gt;$R$3,1,0)</f>
        <v>0</v>
      </c>
      <c r="I335" s="37">
        <f>IF('pre-compute all'!H335&gt;$R$3,1,0)</f>
        <v>0</v>
      </c>
      <c r="J335" s="37">
        <f>IF('pre-compute all'!I335&gt;$R$3,1,0)</f>
        <v>1</v>
      </c>
      <c r="K335" s="37">
        <f>IF('pre-compute all'!J335&gt;$R$3,1,0)</f>
        <v>1</v>
      </c>
    </row>
    <row r="336" spans="1:11" ht="31.5">
      <c r="A336" s="1" t="s">
        <v>211</v>
      </c>
      <c r="B336" s="10" t="s">
        <v>279</v>
      </c>
      <c r="C336" s="10" t="s">
        <v>316</v>
      </c>
      <c r="D336" s="1">
        <v>4</v>
      </c>
      <c r="E336" s="1">
        <v>1</v>
      </c>
      <c r="G336">
        <f>IF('pre-compute all'!E336&gt;$R$3,1,0)</f>
        <v>1</v>
      </c>
      <c r="H336" s="37">
        <f>IF('pre-compute all'!$G$2&gt;$R$3,1,0)</f>
        <v>0</v>
      </c>
      <c r="I336" s="37">
        <f>IF('pre-compute all'!H336&gt;$R$3,1,0)</f>
        <v>0</v>
      </c>
      <c r="J336" s="37">
        <f>IF('pre-compute all'!I336&gt;$R$3,1,0)</f>
        <v>1</v>
      </c>
      <c r="K336" s="37">
        <f>IF('pre-compute all'!J336&gt;$R$3,1,0)</f>
        <v>1</v>
      </c>
    </row>
    <row r="337" spans="1:11" ht="15.75">
      <c r="A337" s="1" t="s">
        <v>216</v>
      </c>
      <c r="B337" s="10" t="s">
        <v>294</v>
      </c>
      <c r="C337" s="8" t="s">
        <v>323</v>
      </c>
      <c r="D337" s="1">
        <v>4</v>
      </c>
      <c r="E337" s="1">
        <v>1</v>
      </c>
      <c r="F337" s="10"/>
      <c r="G337">
        <f>IF('pre-compute all'!E337&gt;$R$3,1,0)</f>
        <v>1</v>
      </c>
      <c r="H337" s="37">
        <f>IF('pre-compute all'!$G$2&gt;$R$3,1,0)</f>
        <v>0</v>
      </c>
      <c r="I337" s="37">
        <f>IF('pre-compute all'!H337&gt;$R$3,1,0)</f>
        <v>0</v>
      </c>
      <c r="J337" s="37">
        <f>IF('pre-compute all'!I337&gt;$R$3,1,0)</f>
        <v>1</v>
      </c>
      <c r="K337" s="37">
        <f>IF('pre-compute all'!J337&gt;$R$3,1,0)</f>
        <v>1</v>
      </c>
    </row>
  </sheetData>
  <autoFilter ref="A1:K337" xr:uid="{00000000-0009-0000-0000-000002000000}">
    <sortState xmlns:xlrd2="http://schemas.microsoft.com/office/spreadsheetml/2017/richdata2" ref="A2:K337">
      <sortCondition ref="D1:D337"/>
    </sortState>
  </autoFilter>
  <phoneticPr fontId="3" type="noConversion"/>
  <conditionalFormatting sqref="E1:E337">
    <cfRule type="colorScale" priority="35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">
      <colorScale>
        <cfvo type="min"/>
        <cfvo type="max"/>
        <color theme="6" tint="-0.499984740745262"/>
        <color theme="9" tint="0.59999389629810485"/>
      </colorScale>
    </cfRule>
  </conditionalFormatting>
  <conditionalFormatting sqref="G2:I337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3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33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8"/>
  <sheetViews>
    <sheetView zoomScale="70" zoomScaleNormal="70" workbookViewId="0"/>
  </sheetViews>
  <sheetFormatPr defaultRowHeight="15"/>
  <cols>
    <col min="1" max="1" width="15.85546875" customWidth="1"/>
    <col min="2" max="2" width="29.140625" customWidth="1"/>
    <col min="4" max="4" width="13.28515625" customWidth="1"/>
    <col min="5" max="6" width="16.85546875" customWidth="1"/>
    <col min="7" max="7" width="17.140625" customWidth="1"/>
    <col min="8" max="8" width="17.85546875" customWidth="1"/>
    <col min="9" max="9" width="11.42578125" customWidth="1"/>
    <col min="10" max="10" width="11.7109375" customWidth="1"/>
    <col min="11" max="11" width="13" style="98" customWidth="1"/>
    <col min="12" max="12" width="14.28515625" customWidth="1"/>
    <col min="15" max="15" width="20.85546875" customWidth="1"/>
    <col min="16" max="16" width="17.140625" customWidth="1"/>
    <col min="17" max="17" width="15.5703125" customWidth="1"/>
    <col min="18" max="18" width="10.140625" customWidth="1"/>
    <col min="19" max="19" width="15.42578125" customWidth="1"/>
    <col min="20" max="20" width="26.140625" customWidth="1"/>
    <col min="21" max="21" width="22.5703125" customWidth="1"/>
    <col min="22" max="23" width="16" customWidth="1"/>
    <col min="24" max="24" width="24.5703125" customWidth="1"/>
    <col min="25" max="25" width="24.42578125" customWidth="1"/>
    <col min="26" max="26" width="19.85546875" customWidth="1"/>
  </cols>
  <sheetData>
    <row r="1" spans="1:30" ht="97.5" customHeight="1">
      <c r="A1" s="7" t="s">
        <v>500</v>
      </c>
      <c r="B1" s="6" t="s">
        <v>0</v>
      </c>
      <c r="C1" s="6" t="s">
        <v>1</v>
      </c>
      <c r="D1" s="7" t="s">
        <v>2</v>
      </c>
      <c r="E1" s="10" t="s">
        <v>181</v>
      </c>
      <c r="F1" s="10" t="s">
        <v>350</v>
      </c>
      <c r="G1" s="10" t="s">
        <v>368</v>
      </c>
      <c r="H1" s="7" t="s">
        <v>8</v>
      </c>
      <c r="I1" s="9" t="s">
        <v>4</v>
      </c>
      <c r="J1" s="7" t="s">
        <v>310</v>
      </c>
      <c r="K1" s="10" t="s">
        <v>179</v>
      </c>
      <c r="L1" s="11" t="s">
        <v>7</v>
      </c>
      <c r="M1" s="8" t="s">
        <v>3</v>
      </c>
      <c r="N1" s="10" t="s">
        <v>473</v>
      </c>
      <c r="O1" s="7"/>
      <c r="P1" s="10" t="s">
        <v>181</v>
      </c>
      <c r="Q1" s="10" t="s">
        <v>368</v>
      </c>
      <c r="R1" s="10"/>
      <c r="S1" s="10"/>
      <c r="U1" s="10" t="s">
        <v>181</v>
      </c>
      <c r="V1" s="10" t="s">
        <v>181</v>
      </c>
      <c r="W1" s="10" t="s">
        <v>181</v>
      </c>
      <c r="X1" s="10" t="s">
        <v>181</v>
      </c>
    </row>
    <row r="2" spans="1:30" ht="15.75">
      <c r="A2" s="1" t="s">
        <v>122</v>
      </c>
      <c r="B2" s="8" t="s">
        <v>109</v>
      </c>
      <c r="C2" s="1">
        <v>1</v>
      </c>
      <c r="D2" s="1">
        <v>1</v>
      </c>
      <c r="E2" s="31">
        <v>1</v>
      </c>
      <c r="F2" s="31">
        <f t="shared" ref="F2:F33" si="0">E2*E2</f>
        <v>1</v>
      </c>
      <c r="G2" s="31">
        <v>0.43097064206335728</v>
      </c>
      <c r="H2" s="30">
        <v>1.752559782488004E-3</v>
      </c>
      <c r="I2" s="29">
        <v>1</v>
      </c>
      <c r="J2" s="30">
        <v>3903.4896042216355</v>
      </c>
      <c r="K2" s="31">
        <v>365470</v>
      </c>
      <c r="L2" s="32">
        <v>7.8119999999999995E-2</v>
      </c>
      <c r="M2" s="31">
        <v>175899.56997519717</v>
      </c>
      <c r="N2" s="145" t="s">
        <v>474</v>
      </c>
      <c r="O2" s="97">
        <f>K2/1000</f>
        <v>365.47</v>
      </c>
      <c r="P2">
        <f t="shared" ref="P2:P11" si="1">IF(E2&gt;$U$7,1,0)</f>
        <v>1</v>
      </c>
      <c r="Q2">
        <f t="shared" ref="Q2:Q11" si="2">IF(F2&gt;$U$18,1,0)</f>
        <v>1</v>
      </c>
      <c r="U2" s="58"/>
      <c r="V2" s="58"/>
      <c r="W2" s="58"/>
      <c r="X2" s="58"/>
      <c r="Z2" t="s">
        <v>476</v>
      </c>
      <c r="AA2">
        <v>1</v>
      </c>
      <c r="AB2">
        <v>2</v>
      </c>
      <c r="AC2">
        <v>3</v>
      </c>
      <c r="AD2">
        <v>4</v>
      </c>
    </row>
    <row r="3" spans="1:30" ht="16.5" thickBot="1">
      <c r="A3" s="1" t="s">
        <v>122</v>
      </c>
      <c r="B3" s="8" t="s">
        <v>40</v>
      </c>
      <c r="C3" s="1">
        <v>1</v>
      </c>
      <c r="D3" s="1">
        <v>1</v>
      </c>
      <c r="E3" s="31">
        <v>0.66828467452868912</v>
      </c>
      <c r="F3" s="31">
        <f t="shared" si="0"/>
        <v>0.44660440620991593</v>
      </c>
      <c r="G3" s="31">
        <v>0.2880110752627309</v>
      </c>
      <c r="H3" s="30">
        <v>1.1711951602989153E-3</v>
      </c>
      <c r="I3" s="29">
        <v>1</v>
      </c>
      <c r="J3" s="30">
        <v>2617.2346455584875</v>
      </c>
      <c r="K3" s="31">
        <v>244238</v>
      </c>
      <c r="L3" s="32">
        <v>4.9575000000000001E-2</v>
      </c>
      <c r="M3" s="31">
        <v>175898.61438880165</v>
      </c>
      <c r="N3" s="145">
        <v>29.55</v>
      </c>
      <c r="O3" s="1"/>
      <c r="P3">
        <f t="shared" si="1"/>
        <v>1</v>
      </c>
      <c r="Q3">
        <f t="shared" si="2"/>
        <v>1</v>
      </c>
      <c r="Z3" t="s">
        <v>477</v>
      </c>
      <c r="AA3" s="82">
        <f>AVERAGE(N3:N9)</f>
        <v>67.210000000000008</v>
      </c>
      <c r="AB3" s="82">
        <f>AVERAGE(N12:N25)</f>
        <v>83.020769230769233</v>
      </c>
      <c r="AC3" s="82">
        <f>AVERAGE(N28:N49)</f>
        <v>56.152499999999996</v>
      </c>
      <c r="AD3" s="82">
        <f>AVERAGE(N50:N58)</f>
        <v>99.204999999999998</v>
      </c>
    </row>
    <row r="4" spans="1:30" ht="15.75">
      <c r="A4" s="1" t="s">
        <v>122</v>
      </c>
      <c r="B4" s="8" t="s">
        <v>107</v>
      </c>
      <c r="C4" s="1">
        <v>1</v>
      </c>
      <c r="D4" s="1">
        <v>1</v>
      </c>
      <c r="E4" s="31">
        <v>0.56487536596711085</v>
      </c>
      <c r="F4" s="31">
        <f t="shared" si="0"/>
        <v>0.3190841790764774</v>
      </c>
      <c r="G4" s="31">
        <v>0.24344469915661968</v>
      </c>
      <c r="H4" s="30">
        <v>9.8998599386278903E-4</v>
      </c>
      <c r="I4" s="29">
        <v>1</v>
      </c>
      <c r="J4" s="30">
        <v>2372.7557255936676</v>
      </c>
      <c r="K4" s="31">
        <v>206445</v>
      </c>
      <c r="L4" s="32">
        <v>2.9013000000000001E-2</v>
      </c>
      <c r="M4" s="31">
        <v>175900.64311667669</v>
      </c>
      <c r="N4" s="145">
        <v>28.29</v>
      </c>
      <c r="O4" s="1"/>
      <c r="P4">
        <f t="shared" si="1"/>
        <v>1</v>
      </c>
      <c r="Q4">
        <f t="shared" si="2"/>
        <v>1</v>
      </c>
      <c r="S4" s="56"/>
      <c r="T4" s="57" t="s">
        <v>301</v>
      </c>
      <c r="Z4" t="s">
        <v>351</v>
      </c>
      <c r="AA4">
        <f>STDEV(N3:N9)</f>
        <v>33.192490114482204</v>
      </c>
      <c r="AB4">
        <f>STDEV(N12:N25)</f>
        <v>26.215356651378503</v>
      </c>
      <c r="AC4">
        <f>STDEV(N28:N49)</f>
        <v>25.813637031967858</v>
      </c>
      <c r="AD4">
        <f>STDEV(N50:N58)</f>
        <v>1.5900000000000032</v>
      </c>
    </row>
    <row r="5" spans="1:30" ht="15.75">
      <c r="A5" s="1" t="s">
        <v>122</v>
      </c>
      <c r="B5" s="8" t="s">
        <v>108</v>
      </c>
      <c r="C5" s="1">
        <v>1</v>
      </c>
      <c r="D5" s="1">
        <v>1</v>
      </c>
      <c r="E5" s="31">
        <v>8.7183626563055797E-2</v>
      </c>
      <c r="F5" s="31">
        <f t="shared" si="0"/>
        <v>7.600984740686368E-3</v>
      </c>
      <c r="G5" s="31">
        <v>3.7573583517292126E-2</v>
      </c>
      <c r="H5" s="30">
        <v>1.5279971384336534E-4</v>
      </c>
      <c r="I5" s="29">
        <v>1</v>
      </c>
      <c r="J5" s="30">
        <v>339.53571503957784</v>
      </c>
      <c r="K5" s="31">
        <v>31863</v>
      </c>
      <c r="L5" s="32">
        <v>6.5209999999999999E-3</v>
      </c>
      <c r="M5" s="31">
        <v>175862.85975429535</v>
      </c>
      <c r="N5" s="145">
        <v>45.96</v>
      </c>
      <c r="O5" s="1"/>
      <c r="P5">
        <f t="shared" si="1"/>
        <v>1</v>
      </c>
      <c r="Q5">
        <f t="shared" si="2"/>
        <v>1</v>
      </c>
      <c r="S5" s="49"/>
      <c r="T5" s="50" t="s">
        <v>185</v>
      </c>
      <c r="U5" s="10" t="s">
        <v>303</v>
      </c>
      <c r="V5" s="10" t="s">
        <v>304</v>
      </c>
      <c r="W5" s="10" t="s">
        <v>305</v>
      </c>
      <c r="X5" s="10" t="s">
        <v>306</v>
      </c>
      <c r="Z5" s="10" t="s">
        <v>478</v>
      </c>
      <c r="AA5">
        <f>MEDIAN(N3:N9)</f>
        <v>66.67</v>
      </c>
      <c r="AB5">
        <f>MEDIAN(N12:N25)</f>
        <v>93.65</v>
      </c>
      <c r="AC5">
        <f>MEDIAN(N28:N49)</f>
        <v>60</v>
      </c>
      <c r="AD5">
        <f>MEDIAN(N50:N58)</f>
        <v>100</v>
      </c>
    </row>
    <row r="6" spans="1:30" ht="15.75">
      <c r="A6" s="1" t="s">
        <v>122</v>
      </c>
      <c r="B6" s="8" t="s">
        <v>103</v>
      </c>
      <c r="C6" s="1">
        <v>1</v>
      </c>
      <c r="D6" s="1">
        <v>0</v>
      </c>
      <c r="E6" s="24">
        <v>1.641721618737516E-5</v>
      </c>
      <c r="F6" s="24">
        <f t="shared" si="0"/>
        <v>2.6952498734301296E-10</v>
      </c>
      <c r="G6" s="24">
        <v>7.0753382011660157E-6</v>
      </c>
      <c r="H6" s="23">
        <v>4.1048705960729235E-8</v>
      </c>
      <c r="I6" s="22">
        <v>3.5200000000000002E-2</v>
      </c>
      <c r="J6" s="23">
        <v>6.6163588390501293E-2</v>
      </c>
      <c r="K6" s="24">
        <v>6</v>
      </c>
      <c r="L6" s="25">
        <v>9.9999999999999995E-7</v>
      </c>
      <c r="M6" s="24">
        <v>14262.283391570991</v>
      </c>
      <c r="N6" s="145">
        <v>66.67</v>
      </c>
      <c r="O6" s="62">
        <f>AVERAGE(E6:E11)</f>
        <v>1.36810134894793E-5</v>
      </c>
      <c r="P6">
        <f t="shared" si="1"/>
        <v>1</v>
      </c>
      <c r="Q6">
        <f t="shared" si="2"/>
        <v>0</v>
      </c>
      <c r="S6" s="49"/>
      <c r="T6" s="51">
        <f>COUNTIF($D$2:$D$58,0)</f>
        <v>48</v>
      </c>
      <c r="U6" s="36" t="s">
        <v>366</v>
      </c>
      <c r="V6" s="36" t="s">
        <v>366</v>
      </c>
      <c r="W6" s="36" t="s">
        <v>366</v>
      </c>
      <c r="X6" s="36" t="s">
        <v>366</v>
      </c>
    </row>
    <row r="7" spans="1:30" ht="15.75">
      <c r="A7" s="1" t="s">
        <v>122</v>
      </c>
      <c r="B7" s="8" t="s">
        <v>17</v>
      </c>
      <c r="C7" s="1">
        <v>1</v>
      </c>
      <c r="D7" s="1">
        <v>0</v>
      </c>
      <c r="E7" s="24">
        <v>1.641721618737516E-5</v>
      </c>
      <c r="F7" s="24">
        <f t="shared" si="0"/>
        <v>2.6952498734301296E-10</v>
      </c>
      <c r="G7" s="24">
        <v>7.0753382011660157E-6</v>
      </c>
      <c r="H7" s="23">
        <v>3.8365291586095425E-8</v>
      </c>
      <c r="I7" s="22">
        <v>0.05</v>
      </c>
      <c r="J7" s="23">
        <v>6.6174142480211084E-2</v>
      </c>
      <c r="K7" s="24">
        <v>6</v>
      </c>
      <c r="L7" s="25">
        <v>9.9999999999999995E-7</v>
      </c>
      <c r="M7" s="24">
        <v>990.06470072819263</v>
      </c>
      <c r="N7" s="145">
        <v>100</v>
      </c>
      <c r="O7" s="62">
        <f>STDEV(E6:E11)</f>
        <v>4.5785428436483181E-6</v>
      </c>
      <c r="P7">
        <f t="shared" si="1"/>
        <v>1</v>
      </c>
      <c r="Q7">
        <f t="shared" si="2"/>
        <v>0</v>
      </c>
      <c r="S7" s="49"/>
      <c r="T7" s="50" t="s">
        <v>186</v>
      </c>
      <c r="U7">
        <f>O4</f>
        <v>0</v>
      </c>
      <c r="V7">
        <f>O10</f>
        <v>1.1821884313614973E-10</v>
      </c>
      <c r="W7" s="74">
        <f>O23</f>
        <v>0</v>
      </c>
      <c r="X7">
        <f>O44</f>
        <v>0</v>
      </c>
    </row>
    <row r="8" spans="1:30" ht="16.5" thickBot="1">
      <c r="A8" s="1" t="s">
        <v>122</v>
      </c>
      <c r="B8" s="8" t="s">
        <v>37</v>
      </c>
      <c r="C8" s="1">
        <v>1</v>
      </c>
      <c r="D8" s="1">
        <v>0</v>
      </c>
      <c r="E8" s="24">
        <v>1.641721618737516E-5</v>
      </c>
      <c r="F8" s="24">
        <f t="shared" si="0"/>
        <v>2.6952498734301296E-10</v>
      </c>
      <c r="G8" s="24">
        <v>7.0753382011660157E-6</v>
      </c>
      <c r="H8" s="23">
        <v>3.8756635137141986E-8</v>
      </c>
      <c r="I8" s="22">
        <v>5.1799999999999999E-2</v>
      </c>
      <c r="J8" s="23">
        <v>6.5868073878627961E-2</v>
      </c>
      <c r="K8" s="24">
        <v>6</v>
      </c>
      <c r="L8" s="25">
        <v>9.9999999999999995E-7</v>
      </c>
      <c r="M8" s="24">
        <v>4290.2803698221678</v>
      </c>
      <c r="N8" s="145">
        <v>100</v>
      </c>
      <c r="O8" s="62">
        <f>(O6+3*O7)*10</f>
        <v>2.7416642020424255E-4</v>
      </c>
      <c r="P8">
        <f t="shared" si="1"/>
        <v>1</v>
      </c>
      <c r="Q8">
        <f t="shared" si="2"/>
        <v>0</v>
      </c>
      <c r="S8" s="52"/>
      <c r="T8" s="53">
        <f>COUNTIF($D$2:$D$58,1)</f>
        <v>9</v>
      </c>
      <c r="U8">
        <f>COUNTIFS($D$2:$D$58,"=0",$P$2:$P$58,"=0",$C$2:$C$58,$T$9)</f>
        <v>0</v>
      </c>
      <c r="V8">
        <f>COUNTIFS($D$2:$D$58,"=0",$P$2:$P$58,"=0",$C$2:$C$58,$T$14)</f>
        <v>0</v>
      </c>
      <c r="W8">
        <f>COUNTIFS($D$2:$D$58,"=0",$P$2:$P$58,"=0",$C$2:$C$58,$T$19)</f>
        <v>0</v>
      </c>
      <c r="X8">
        <f>COUNTIFS($D$2:$D$58,"=0",$P$2:$P$58,"=0",$C$2:$C$58,$T$24)</f>
        <v>0</v>
      </c>
    </row>
    <row r="9" spans="1:30" ht="15.75">
      <c r="A9" s="1" t="s">
        <v>122</v>
      </c>
      <c r="B9" s="8" t="s">
        <v>38</v>
      </c>
      <c r="C9" s="1">
        <v>1</v>
      </c>
      <c r="D9" s="1">
        <v>0</v>
      </c>
      <c r="E9" s="24">
        <v>1.641721618737516E-5</v>
      </c>
      <c r="F9" s="24">
        <f t="shared" si="0"/>
        <v>2.6952498734301296E-10</v>
      </c>
      <c r="G9" s="24">
        <v>7.0753382011660157E-6</v>
      </c>
      <c r="H9" s="23">
        <v>3.8066584566793128E-8</v>
      </c>
      <c r="I9" s="22">
        <v>5.1799999999999999E-2</v>
      </c>
      <c r="J9" s="23">
        <v>6.6047493403693938E-2</v>
      </c>
      <c r="K9" s="24">
        <v>6</v>
      </c>
      <c r="L9" s="25">
        <v>9.9999999999999995E-7</v>
      </c>
      <c r="M9" s="24">
        <v>7036.059806508355</v>
      </c>
      <c r="N9" s="145">
        <v>100</v>
      </c>
      <c r="O9" s="62">
        <f>AVERAGE(F6:F11)</f>
        <v>2.0463934224191724E-10</v>
      </c>
      <c r="P9">
        <f t="shared" si="1"/>
        <v>1</v>
      </c>
      <c r="Q9">
        <f t="shared" si="2"/>
        <v>0</v>
      </c>
      <c r="S9" s="54" t="s">
        <v>302</v>
      </c>
      <c r="T9" s="55">
        <v>1</v>
      </c>
      <c r="U9">
        <f>U8/T11*100</f>
        <v>0</v>
      </c>
      <c r="V9">
        <f>V8/T16*100</f>
        <v>0</v>
      </c>
      <c r="W9">
        <f>W8/T21*100</f>
        <v>0</v>
      </c>
      <c r="X9">
        <f>X8/T26*100</f>
        <v>0</v>
      </c>
    </row>
    <row r="10" spans="1:30" ht="15.75">
      <c r="A10" s="1" t="s">
        <v>122</v>
      </c>
      <c r="B10" s="8" t="s">
        <v>101</v>
      </c>
      <c r="C10" s="1">
        <v>1</v>
      </c>
      <c r="D10" s="1">
        <v>0</v>
      </c>
      <c r="E10" s="24">
        <v>1.0944810791583441E-5</v>
      </c>
      <c r="F10" s="24">
        <f t="shared" si="0"/>
        <v>1.1978888326356134E-10</v>
      </c>
      <c r="G10" s="24">
        <v>4.7168921341106769E-6</v>
      </c>
      <c r="H10" s="23">
        <v>3.9478128804014657E-8</v>
      </c>
      <c r="I10" s="22">
        <v>4.4400000000000002E-2</v>
      </c>
      <c r="J10" s="23">
        <v>4.393315743183817E-2</v>
      </c>
      <c r="K10" s="24">
        <v>4</v>
      </c>
      <c r="L10" s="25">
        <v>9.9999999999999995E-7</v>
      </c>
      <c r="M10" s="24">
        <v>341.05961253070069</v>
      </c>
      <c r="N10" s="145" t="s">
        <v>475</v>
      </c>
      <c r="O10" s="62">
        <f>STDEV(F8:F11)</f>
        <v>1.1821884313614973E-10</v>
      </c>
      <c r="P10">
        <f t="shared" si="1"/>
        <v>1</v>
      </c>
      <c r="Q10">
        <f t="shared" si="2"/>
        <v>0</v>
      </c>
      <c r="S10" s="49"/>
      <c r="T10" s="50" t="s">
        <v>185</v>
      </c>
      <c r="U10" s="36" t="s">
        <v>367</v>
      </c>
      <c r="V10" s="36" t="s">
        <v>367</v>
      </c>
      <c r="W10" s="36" t="s">
        <v>367</v>
      </c>
      <c r="X10" s="36" t="s">
        <v>367</v>
      </c>
    </row>
    <row r="11" spans="1:30" ht="15.75">
      <c r="A11" s="1" t="s">
        <v>122</v>
      </c>
      <c r="B11" s="8" t="s">
        <v>33</v>
      </c>
      <c r="C11" s="1">
        <v>1</v>
      </c>
      <c r="D11" s="1">
        <v>0</v>
      </c>
      <c r="E11" s="24">
        <v>5.4724053957917205E-6</v>
      </c>
      <c r="F11" s="24">
        <f t="shared" si="0"/>
        <v>2.9947220815890336E-11</v>
      </c>
      <c r="G11" s="24">
        <v>2.3584460670553384E-6</v>
      </c>
      <c r="H11" s="23">
        <v>4.0282380585849675E-8</v>
      </c>
      <c r="I11" s="22">
        <v>2.64E-2</v>
      </c>
      <c r="J11" s="23">
        <v>2.6578715919085311E-2</v>
      </c>
      <c r="K11" s="24">
        <v>2</v>
      </c>
      <c r="L11" s="25">
        <v>9.9999999999999995E-7</v>
      </c>
      <c r="M11" s="24">
        <v>2284.4350021131022</v>
      </c>
      <c r="N11" s="145" t="s">
        <v>475</v>
      </c>
      <c r="O11" s="62" t="e">
        <f>(#REF!+O10*3)*10</f>
        <v>#REF!</v>
      </c>
      <c r="P11">
        <f t="shared" si="1"/>
        <v>1</v>
      </c>
      <c r="Q11">
        <f t="shared" si="2"/>
        <v>0</v>
      </c>
      <c r="S11" s="49"/>
      <c r="T11" s="51">
        <f>COUNTIFS($D$2:$D$58,"=0",$C$2:$C$58,$T$9)</f>
        <v>6</v>
      </c>
      <c r="U11">
        <f t="shared" ref="U11:X11" si="3">U7</f>
        <v>0</v>
      </c>
      <c r="V11">
        <f t="shared" si="3"/>
        <v>1.1821884313614973E-10</v>
      </c>
      <c r="W11">
        <f t="shared" si="3"/>
        <v>0</v>
      </c>
      <c r="X11">
        <f t="shared" si="3"/>
        <v>0</v>
      </c>
    </row>
    <row r="12" spans="1:30" ht="15.75">
      <c r="A12" s="1" t="s">
        <v>122</v>
      </c>
      <c r="B12" s="8" t="s">
        <v>48</v>
      </c>
      <c r="C12" s="1">
        <v>2</v>
      </c>
      <c r="D12" s="1">
        <v>1</v>
      </c>
      <c r="E12" s="31">
        <v>1</v>
      </c>
      <c r="F12" s="31">
        <f t="shared" si="0"/>
        <v>1</v>
      </c>
      <c r="G12" s="31">
        <v>8.7982657738333192E-2</v>
      </c>
      <c r="H12" s="33">
        <v>4.1370245264867175E-3</v>
      </c>
      <c r="I12" s="29">
        <v>1</v>
      </c>
      <c r="J12" s="34">
        <v>21125.065963060686</v>
      </c>
      <c r="K12" s="41">
        <v>800000</v>
      </c>
      <c r="L12" s="32">
        <v>7.2222999999999996E-2</v>
      </c>
      <c r="M12" s="34">
        <v>175769.00927197014</v>
      </c>
      <c r="N12" s="145">
        <v>48.24</v>
      </c>
      <c r="O12" s="16"/>
      <c r="P12">
        <f t="shared" ref="P12:P27" si="4">IF(E12&gt;$V$7,1,0)</f>
        <v>1</v>
      </c>
      <c r="Q12">
        <f t="shared" ref="Q12:Q27" si="5">IF(F12&gt;$V$18,1,0)</f>
        <v>1</v>
      </c>
      <c r="S12" s="49"/>
      <c r="T12" s="50" t="s">
        <v>186</v>
      </c>
      <c r="U12">
        <f>COUNTIFS($D$2:$D$58,"=1",$P$2:$P$58,"=1",$C$2:$C$58,$T$9)</f>
        <v>4</v>
      </c>
      <c r="V12">
        <f>COUNTIFS($D$2:$D$58,"=1",$P$2:$P$58,"=1",$C$2:$C$58,$T$14)</f>
        <v>3</v>
      </c>
      <c r="W12">
        <f>COUNTIFS($D$2:$D$58,"=1",$P$2:$P$58,"=1",$C$2:$C$58,$T$19)</f>
        <v>1</v>
      </c>
      <c r="X12">
        <f>COUNTIFS($D$2:$D$58,"=1",$P$2:$P$58,"=1",$C$2:$C$58,$T$24)</f>
        <v>1</v>
      </c>
    </row>
    <row r="13" spans="1:30" ht="16.5" thickBot="1">
      <c r="A13" s="1" t="s">
        <v>122</v>
      </c>
      <c r="B13" s="8" t="s">
        <v>164</v>
      </c>
      <c r="C13" s="1">
        <v>2</v>
      </c>
      <c r="D13" s="1">
        <v>1</v>
      </c>
      <c r="E13" s="31">
        <v>0.89500000000000002</v>
      </c>
      <c r="F13" s="31">
        <f t="shared" si="0"/>
        <v>0.80102499999999999</v>
      </c>
      <c r="G13" s="31">
        <v>7.8744478675808208E-2</v>
      </c>
      <c r="H13" s="33">
        <v>3.7026518050678192E-3</v>
      </c>
      <c r="I13" s="29">
        <v>1</v>
      </c>
      <c r="J13" s="34">
        <v>19692.833773087073</v>
      </c>
      <c r="K13" s="41">
        <v>716000</v>
      </c>
      <c r="L13" s="32">
        <v>6.7978999999999998E-2</v>
      </c>
      <c r="M13" s="34">
        <v>175900.26680889039</v>
      </c>
      <c r="N13" s="145" t="s">
        <v>474</v>
      </c>
      <c r="O13" s="16"/>
      <c r="P13">
        <f t="shared" si="4"/>
        <v>1</v>
      </c>
      <c r="Q13">
        <f t="shared" si="5"/>
        <v>1</v>
      </c>
      <c r="S13" s="52"/>
      <c r="T13" s="53">
        <f>COUNTIFS($D$2:$D$58,"=1",$C$2:$C$58,$T$9)</f>
        <v>4</v>
      </c>
      <c r="U13">
        <f>U12/T13*100</f>
        <v>100</v>
      </c>
      <c r="V13">
        <f>V12/T18*100</f>
        <v>100</v>
      </c>
      <c r="W13">
        <f>W12/T23*100</f>
        <v>100</v>
      </c>
      <c r="X13">
        <f>X12/T28*100</f>
        <v>100</v>
      </c>
    </row>
    <row r="14" spans="1:30" ht="15.75">
      <c r="A14" s="1" t="s">
        <v>122</v>
      </c>
      <c r="B14" s="8" t="s">
        <v>163</v>
      </c>
      <c r="C14" s="1">
        <v>2</v>
      </c>
      <c r="D14" s="1">
        <v>1</v>
      </c>
      <c r="E14" s="31">
        <v>0.47087625</v>
      </c>
      <c r="F14" s="31">
        <f t="shared" si="0"/>
        <v>0.22172444281406251</v>
      </c>
      <c r="G14" s="31">
        <v>4.1428943940859816E-2</v>
      </c>
      <c r="H14" s="33">
        <v>1.9480426399911494E-3</v>
      </c>
      <c r="I14" s="29">
        <v>0.87950747581354438</v>
      </c>
      <c r="J14" s="34">
        <v>9367.4969868073895</v>
      </c>
      <c r="K14" s="41">
        <v>376701</v>
      </c>
      <c r="L14" s="32">
        <v>5.4682000000000001E-2</v>
      </c>
      <c r="M14" s="34">
        <v>175901.49516270889</v>
      </c>
      <c r="N14" s="145">
        <v>10.76</v>
      </c>
      <c r="O14" s="16"/>
      <c r="P14">
        <f t="shared" si="4"/>
        <v>1</v>
      </c>
      <c r="Q14">
        <f t="shared" si="5"/>
        <v>1</v>
      </c>
      <c r="S14" s="54" t="s">
        <v>302</v>
      </c>
      <c r="T14" s="55">
        <v>2</v>
      </c>
    </row>
    <row r="15" spans="1:30" ht="15.75">
      <c r="A15" s="1" t="s">
        <v>122</v>
      </c>
      <c r="B15" s="8" t="s">
        <v>45</v>
      </c>
      <c r="C15" s="1">
        <v>2</v>
      </c>
      <c r="D15" s="1">
        <v>0</v>
      </c>
      <c r="E15" s="24">
        <v>3.0249999999999998E-4</v>
      </c>
      <c r="F15" s="24">
        <f t="shared" si="0"/>
        <v>9.1506249999999993E-8</v>
      </c>
      <c r="G15" s="24">
        <v>2.6614753965845791E-5</v>
      </c>
      <c r="H15" s="26">
        <v>1.235755273735046E-6</v>
      </c>
      <c r="I15" s="22">
        <v>0.52770448548812665</v>
      </c>
      <c r="J15" s="24">
        <v>7.076531222515392</v>
      </c>
      <c r="K15" s="40">
        <v>242</v>
      </c>
      <c r="L15" s="25">
        <v>2.0999999999999999E-5</v>
      </c>
      <c r="M15" s="24">
        <v>2203.4350550947538</v>
      </c>
      <c r="N15" s="145">
        <v>90.54</v>
      </c>
      <c r="O15" s="67">
        <f>STDEV(F5:F16)</f>
        <v>0.34997838969775202</v>
      </c>
      <c r="P15">
        <f t="shared" si="4"/>
        <v>1</v>
      </c>
      <c r="Q15">
        <f t="shared" si="5"/>
        <v>1</v>
      </c>
      <c r="S15" s="49"/>
      <c r="T15" s="50" t="s">
        <v>185</v>
      </c>
    </row>
    <row r="16" spans="1:30" ht="15.75">
      <c r="A16" s="1" t="s">
        <v>122</v>
      </c>
      <c r="B16" s="8" t="s">
        <v>46</v>
      </c>
      <c r="C16" s="1">
        <v>2</v>
      </c>
      <c r="D16" s="1">
        <v>0</v>
      </c>
      <c r="E16" s="24">
        <v>1.8875000000000001E-4</v>
      </c>
      <c r="F16" s="24">
        <f t="shared" si="0"/>
        <v>3.56265625E-8</v>
      </c>
      <c r="G16" s="24">
        <v>1.6606726648110389E-5</v>
      </c>
      <c r="H16" s="26">
        <v>7.8616305269184804E-7</v>
      </c>
      <c r="I16" s="22">
        <v>0.38698328935795956</v>
      </c>
      <c r="J16" s="24">
        <v>4.2699665787159189</v>
      </c>
      <c r="K16" s="40">
        <v>151</v>
      </c>
      <c r="L16" s="25">
        <v>1.5E-5</v>
      </c>
      <c r="M16" s="24">
        <v>134828.04959172104</v>
      </c>
      <c r="N16" s="145">
        <v>93.65</v>
      </c>
      <c r="O16" s="67">
        <f>(O14+O15*3)*10</f>
        <v>10.499351690932562</v>
      </c>
      <c r="P16">
        <f t="shared" si="4"/>
        <v>1</v>
      </c>
      <c r="Q16">
        <f t="shared" si="5"/>
        <v>1</v>
      </c>
      <c r="S16" s="49"/>
      <c r="T16" s="51">
        <f>COUNTIFS($D$2:$D$58,"=0",$C$2:$C$58,$T$14)</f>
        <v>13</v>
      </c>
      <c r="U16" s="10" t="s">
        <v>347</v>
      </c>
      <c r="V16" s="10" t="s">
        <v>311</v>
      </c>
      <c r="W16" s="10" t="s">
        <v>348</v>
      </c>
      <c r="X16" s="10" t="s">
        <v>349</v>
      </c>
    </row>
    <row r="17" spans="1:26" ht="15.75">
      <c r="A17" s="1" t="s">
        <v>122</v>
      </c>
      <c r="B17" s="8" t="s">
        <v>49</v>
      </c>
      <c r="C17" s="1">
        <v>2</v>
      </c>
      <c r="D17" s="1">
        <v>0</v>
      </c>
      <c r="E17" s="24">
        <v>8.3750000000000003E-5</v>
      </c>
      <c r="F17" s="24">
        <f t="shared" si="0"/>
        <v>7.0140625000000009E-9</v>
      </c>
      <c r="G17" s="24">
        <v>7.3685475855854056E-6</v>
      </c>
      <c r="H17" s="26">
        <v>3.6106004356786881E-7</v>
      </c>
      <c r="I17" s="22">
        <v>0.24626209322779244</v>
      </c>
      <c r="J17" s="24">
        <v>1.9068777484608619</v>
      </c>
      <c r="K17" s="40">
        <v>67</v>
      </c>
      <c r="L17" s="25">
        <v>6.9999999999999999E-6</v>
      </c>
      <c r="M17" s="24">
        <v>4356.8947045846562</v>
      </c>
      <c r="N17" s="145">
        <v>82.14</v>
      </c>
      <c r="O17" s="67">
        <f>AVERAGE(E17:E29)</f>
        <v>7.7007685245006188E-2</v>
      </c>
      <c r="P17">
        <f t="shared" si="4"/>
        <v>1</v>
      </c>
      <c r="Q17">
        <f t="shared" si="5"/>
        <v>1</v>
      </c>
      <c r="S17" s="49"/>
      <c r="T17" s="50" t="s">
        <v>186</v>
      </c>
      <c r="U17" s="36" t="s">
        <v>366</v>
      </c>
      <c r="V17" s="36" t="s">
        <v>366</v>
      </c>
      <c r="W17" s="36" t="s">
        <v>366</v>
      </c>
      <c r="X17" s="36" t="s">
        <v>366</v>
      </c>
    </row>
    <row r="18" spans="1:26" ht="16.5" thickBot="1">
      <c r="A18" s="1" t="s">
        <v>122</v>
      </c>
      <c r="B18" s="8" t="s">
        <v>125</v>
      </c>
      <c r="C18" s="1">
        <v>2</v>
      </c>
      <c r="D18" s="1">
        <v>0</v>
      </c>
      <c r="E18" s="24">
        <v>7.1249999999999997E-5</v>
      </c>
      <c r="F18" s="24">
        <f t="shared" si="0"/>
        <v>5.0765624999999992E-9</v>
      </c>
      <c r="G18" s="24">
        <v>6.2687643638562406E-6</v>
      </c>
      <c r="H18" s="26">
        <v>3.093404740429791E-7</v>
      </c>
      <c r="I18" s="22">
        <v>0.17590149516270889</v>
      </c>
      <c r="J18" s="24">
        <v>1.5998100263852242</v>
      </c>
      <c r="K18" s="40">
        <v>57</v>
      </c>
      <c r="L18" s="25">
        <v>6.0000000000000002E-6</v>
      </c>
      <c r="M18" s="24">
        <v>438.08210880737562</v>
      </c>
      <c r="N18" s="145">
        <v>100</v>
      </c>
      <c r="O18" s="66">
        <f>STDEV(E17:E29)</f>
        <v>0.27732473482693903</v>
      </c>
      <c r="P18">
        <f t="shared" si="4"/>
        <v>1</v>
      </c>
      <c r="Q18">
        <f t="shared" si="5"/>
        <v>1</v>
      </c>
      <c r="S18" s="52"/>
      <c r="T18" s="53">
        <f>COUNTIFS($D$2:$D$58,"=1",$C$2:$C$58,$T$14)</f>
        <v>3</v>
      </c>
      <c r="U18">
        <f>O7</f>
        <v>4.5785428436483181E-6</v>
      </c>
      <c r="V18">
        <f>O20</f>
        <v>0</v>
      </c>
      <c r="W18" s="74">
        <f>O41</f>
        <v>0</v>
      </c>
      <c r="X18">
        <v>1.4834687606612358E-8</v>
      </c>
    </row>
    <row r="19" spans="1:26" ht="15.75">
      <c r="A19" s="1" t="s">
        <v>122</v>
      </c>
      <c r="B19" s="8" t="s">
        <v>50</v>
      </c>
      <c r="C19" s="1">
        <v>2</v>
      </c>
      <c r="D19" s="1">
        <v>0</v>
      </c>
      <c r="E19" s="24">
        <v>6.3750000000000005E-5</v>
      </c>
      <c r="F19" s="24">
        <f t="shared" si="0"/>
        <v>4.0640625000000009E-9</v>
      </c>
      <c r="G19" s="24">
        <v>5.6088944308187413E-6</v>
      </c>
      <c r="H19" s="26">
        <v>2.7820755669185088E-7</v>
      </c>
      <c r="I19" s="22">
        <v>0.52770448548812665</v>
      </c>
      <c r="J19" s="24">
        <v>1.4548232189973616</v>
      </c>
      <c r="K19" s="40">
        <v>51</v>
      </c>
      <c r="L19" s="25">
        <v>5.0000000000000004E-6</v>
      </c>
      <c r="M19" s="24">
        <v>31257.756980132937</v>
      </c>
      <c r="N19" s="145">
        <v>95.65</v>
      </c>
      <c r="O19" s="67">
        <f>(O17+O18*3)*10</f>
        <v>9.0898188972582332</v>
      </c>
      <c r="P19">
        <f t="shared" si="4"/>
        <v>1</v>
      </c>
      <c r="Q19">
        <f t="shared" si="5"/>
        <v>1</v>
      </c>
      <c r="S19" s="54" t="s">
        <v>302</v>
      </c>
      <c r="T19" s="55">
        <v>3</v>
      </c>
      <c r="U19">
        <f>COUNTIFS($D$2:$D$58,"=0",$Q$2:$Q$58,"=0",$C$2:$C$58,$T$9)</f>
        <v>6</v>
      </c>
      <c r="V19">
        <f>COUNTIFS($D$2:$D$58,"=0",$Q$2:$Q$58,"=0",$C$2:$C$58,$T$14)</f>
        <v>0</v>
      </c>
      <c r="W19">
        <f>COUNTIFS($D$2:$D$58,"=0",$Q$2:$Q$58,"=0",$C$2:$C$58,$T$19)</f>
        <v>0</v>
      </c>
      <c r="X19">
        <f>COUNTIFS($D$2:$D$58,"=0",$Q$2:$Q$58,"=0",$C$2:$C$58,$T$24)</f>
        <v>8</v>
      </c>
    </row>
    <row r="20" spans="1:26" ht="15.75">
      <c r="A20" s="1" t="s">
        <v>122</v>
      </c>
      <c r="B20" s="8" t="s">
        <v>111</v>
      </c>
      <c r="C20" s="1">
        <v>2</v>
      </c>
      <c r="D20" s="1">
        <v>0</v>
      </c>
      <c r="E20" s="24">
        <v>5.0000000000000002E-5</v>
      </c>
      <c r="F20" s="24">
        <f t="shared" si="0"/>
        <v>2.5000000000000001E-9</v>
      </c>
      <c r="G20" s="24">
        <v>4.3991328869166599E-6</v>
      </c>
      <c r="H20" s="26">
        <v>2.1106691468680753E-7</v>
      </c>
      <c r="I20" s="22">
        <v>0.15831134564643801</v>
      </c>
      <c r="J20" s="24">
        <v>1.140193491644679</v>
      </c>
      <c r="K20" s="40">
        <v>40</v>
      </c>
      <c r="L20" s="25">
        <v>3.9999999999999998E-6</v>
      </c>
      <c r="M20" s="24">
        <v>114.01999394753368</v>
      </c>
      <c r="N20" s="145">
        <v>100</v>
      </c>
      <c r="O20" s="67"/>
      <c r="P20">
        <f t="shared" si="4"/>
        <v>1</v>
      </c>
      <c r="Q20">
        <f t="shared" si="5"/>
        <v>1</v>
      </c>
      <c r="S20" s="49"/>
      <c r="T20" s="50" t="s">
        <v>185</v>
      </c>
      <c r="U20">
        <f>U19/T11*100</f>
        <v>100</v>
      </c>
      <c r="V20">
        <f>V19/T16*100</f>
        <v>0</v>
      </c>
      <c r="W20">
        <f>W19/T21*100</f>
        <v>0</v>
      </c>
      <c r="X20">
        <f>X19/T26*100</f>
        <v>100</v>
      </c>
    </row>
    <row r="21" spans="1:26" ht="15.75">
      <c r="A21" s="1" t="s">
        <v>122</v>
      </c>
      <c r="B21" s="8" t="s">
        <v>41</v>
      </c>
      <c r="C21" s="1">
        <v>2</v>
      </c>
      <c r="D21" s="1">
        <v>0</v>
      </c>
      <c r="E21" s="24">
        <v>4.2500000000000003E-5</v>
      </c>
      <c r="F21" s="24">
        <f t="shared" si="0"/>
        <v>1.8062500000000003E-9</v>
      </c>
      <c r="G21" s="24">
        <v>3.739262953879161E-6</v>
      </c>
      <c r="H21" s="26">
        <v>1.615003061053235E-7</v>
      </c>
      <c r="I21" s="22">
        <v>0.17590149516270889</v>
      </c>
      <c r="J21" s="24">
        <v>0.95367458223394908</v>
      </c>
      <c r="K21" s="40">
        <v>34</v>
      </c>
      <c r="L21" s="25">
        <v>3.0000000000000001E-6</v>
      </c>
      <c r="M21" s="24">
        <v>86.435582661754282</v>
      </c>
      <c r="N21" s="145">
        <v>100</v>
      </c>
      <c r="O21" s="133"/>
      <c r="P21">
        <f t="shared" si="4"/>
        <v>1</v>
      </c>
      <c r="Q21">
        <f t="shared" si="5"/>
        <v>1</v>
      </c>
      <c r="S21" s="49"/>
      <c r="T21" s="51">
        <f>COUNTIFS($D$2:$D$58,"=0",$C$2:$C$58,$T$19)</f>
        <v>21</v>
      </c>
      <c r="U21" s="36" t="s">
        <v>367</v>
      </c>
      <c r="V21" s="36" t="s">
        <v>367</v>
      </c>
      <c r="W21" s="36" t="s">
        <v>367</v>
      </c>
      <c r="X21" s="36" t="s">
        <v>367</v>
      </c>
    </row>
    <row r="22" spans="1:26" ht="15.75">
      <c r="A22" s="1" t="s">
        <v>122</v>
      </c>
      <c r="B22" s="8" t="s">
        <v>47</v>
      </c>
      <c r="C22" s="1">
        <v>2</v>
      </c>
      <c r="D22" s="1">
        <v>0</v>
      </c>
      <c r="E22" s="24">
        <v>3.7499999999999997E-5</v>
      </c>
      <c r="F22" s="24">
        <f t="shared" si="0"/>
        <v>1.4062499999999998E-9</v>
      </c>
      <c r="G22" s="24">
        <v>3.2993496651874949E-6</v>
      </c>
      <c r="H22" s="26">
        <v>1.4939444637972084E-7</v>
      </c>
      <c r="I22" s="22">
        <v>0.35180299032541779</v>
      </c>
      <c r="J22" s="24">
        <v>0.85693931398416878</v>
      </c>
      <c r="K22" s="40">
        <v>30</v>
      </c>
      <c r="L22" s="25">
        <v>3.0000000000000001E-6</v>
      </c>
      <c r="M22" s="24">
        <v>25370.407956159936</v>
      </c>
      <c r="N22" s="145">
        <v>100</v>
      </c>
      <c r="O22" s="67"/>
      <c r="P22">
        <f t="shared" si="4"/>
        <v>1</v>
      </c>
      <c r="Q22">
        <f t="shared" si="5"/>
        <v>1</v>
      </c>
      <c r="S22" s="49"/>
      <c r="T22" s="50" t="s">
        <v>186</v>
      </c>
      <c r="U22">
        <f>U18</f>
        <v>4.5785428436483181E-6</v>
      </c>
      <c r="V22">
        <f>V18</f>
        <v>0</v>
      </c>
      <c r="W22">
        <f>W18</f>
        <v>0</v>
      </c>
      <c r="X22">
        <f>O49</f>
        <v>0</v>
      </c>
    </row>
    <row r="23" spans="1:26" ht="16.5" thickBot="1">
      <c r="A23" s="1" t="s">
        <v>122</v>
      </c>
      <c r="B23" s="8" t="s">
        <v>126</v>
      </c>
      <c r="C23" s="1">
        <v>2</v>
      </c>
      <c r="D23" s="1">
        <v>0</v>
      </c>
      <c r="E23" s="24">
        <v>3.2499999999999997E-5</v>
      </c>
      <c r="F23" s="24">
        <f t="shared" si="0"/>
        <v>1.0562499999999997E-9</v>
      </c>
      <c r="G23" s="24">
        <v>2.8594363764958289E-6</v>
      </c>
      <c r="H23" s="26">
        <v>1.0743091422680921E-7</v>
      </c>
      <c r="I23" s="22">
        <v>0.22867194371152155</v>
      </c>
      <c r="J23" s="24">
        <v>0.73582058047493393</v>
      </c>
      <c r="K23" s="40">
        <v>26</v>
      </c>
      <c r="L23" s="25">
        <v>1.9999999999999999E-6</v>
      </c>
      <c r="M23" s="24">
        <v>175901.49516270889</v>
      </c>
      <c r="N23" s="145">
        <v>76.47</v>
      </c>
      <c r="O23" s="67"/>
      <c r="P23">
        <f t="shared" si="4"/>
        <v>1</v>
      </c>
      <c r="Q23">
        <f t="shared" si="5"/>
        <v>1</v>
      </c>
      <c r="S23" s="52"/>
      <c r="T23" s="53">
        <f>COUNTIFS($D$2:$D$58,"=1",$C$2:$C$58,$T$19)</f>
        <v>1</v>
      </c>
      <c r="U23">
        <f>COUNTIFS($D$2:$D$58,"=1",$Q$2:$Q$58,"=1",$C$2:$C$58,$T$9)</f>
        <v>4</v>
      </c>
      <c r="V23">
        <f>COUNTIFS($D$2:$D$58,"=1",$Q$2:$Q$58,"=1",$C$2:$C$58,$T$14)</f>
        <v>3</v>
      </c>
      <c r="W23">
        <f>COUNTIFS($D$2:$D$58,"=1",$Q$2:$Q$58,"=1",$C$2:$C$58,$T$19)</f>
        <v>1</v>
      </c>
      <c r="X23">
        <f>COUNTIFS($D$2:$D$58,"=1",$Q$2:$Q$58,"=1",$C$2:$C$58,$T$24)</f>
        <v>1</v>
      </c>
    </row>
    <row r="24" spans="1:26" ht="15.75">
      <c r="A24" s="1" t="s">
        <v>122</v>
      </c>
      <c r="B24" s="8" t="s">
        <v>20</v>
      </c>
      <c r="C24" s="1">
        <v>2</v>
      </c>
      <c r="D24" s="1">
        <v>0</v>
      </c>
      <c r="E24" s="24">
        <v>2.1250000000000002E-5</v>
      </c>
      <c r="F24" s="24">
        <f t="shared" si="0"/>
        <v>4.5156250000000006E-10</v>
      </c>
      <c r="G24" s="24">
        <v>1.8696314769395805E-6</v>
      </c>
      <c r="H24" s="26">
        <v>1.1107645988989102E-7</v>
      </c>
      <c r="I24" s="22">
        <v>8.7950747581354446E-2</v>
      </c>
      <c r="J24" s="24">
        <v>0.48398416886543533</v>
      </c>
      <c r="K24" s="40">
        <v>17</v>
      </c>
      <c r="L24" s="25">
        <v>1.9999999999999999E-6</v>
      </c>
      <c r="M24" s="24">
        <v>142396.44846505005</v>
      </c>
      <c r="N24" s="145">
        <v>81.819999999999993</v>
      </c>
      <c r="O24" s="67"/>
      <c r="P24">
        <f t="shared" si="4"/>
        <v>1</v>
      </c>
      <c r="Q24">
        <f t="shared" si="5"/>
        <v>1</v>
      </c>
      <c r="S24" s="54" t="s">
        <v>302</v>
      </c>
      <c r="T24" s="55">
        <v>4</v>
      </c>
      <c r="U24">
        <f>U23/T13*100</f>
        <v>100</v>
      </c>
      <c r="V24">
        <f>V23/T18*100</f>
        <v>100</v>
      </c>
      <c r="W24">
        <f>W23/T23*100</f>
        <v>100</v>
      </c>
      <c r="X24">
        <f>X23/T28*100</f>
        <v>100</v>
      </c>
    </row>
    <row r="25" spans="1:26" ht="15.75">
      <c r="A25" s="1" t="s">
        <v>122</v>
      </c>
      <c r="B25" s="8" t="s">
        <v>43</v>
      </c>
      <c r="C25" s="1">
        <v>2</v>
      </c>
      <c r="D25" s="1">
        <v>0</v>
      </c>
      <c r="E25" s="24">
        <v>1.1250000000000001E-5</v>
      </c>
      <c r="F25" s="24">
        <f t="shared" si="0"/>
        <v>1.2656250000000002E-10</v>
      </c>
      <c r="G25" s="24">
        <v>9.8980489955624857E-7</v>
      </c>
      <c r="H25" s="26">
        <v>4.6652778391008894E-8</v>
      </c>
      <c r="I25" s="22">
        <v>0.11785400175901495</v>
      </c>
      <c r="J25" s="24">
        <v>0.25163588390501318</v>
      </c>
      <c r="K25" s="40">
        <v>9</v>
      </c>
      <c r="L25" s="25">
        <v>8.9999999999999996E-7</v>
      </c>
      <c r="M25" s="24">
        <v>27295.059594213446</v>
      </c>
      <c r="N25" s="145">
        <v>100</v>
      </c>
      <c r="O25" s="67"/>
      <c r="P25">
        <f t="shared" si="4"/>
        <v>1</v>
      </c>
      <c r="Q25">
        <f t="shared" si="5"/>
        <v>1</v>
      </c>
      <c r="S25" s="49"/>
      <c r="T25" s="50" t="s">
        <v>185</v>
      </c>
    </row>
    <row r="26" spans="1:26" ht="15.75">
      <c r="A26" s="1" t="s">
        <v>122</v>
      </c>
      <c r="B26" s="8" t="s">
        <v>77</v>
      </c>
      <c r="C26" s="1">
        <v>2</v>
      </c>
      <c r="D26" s="1">
        <v>0</v>
      </c>
      <c r="E26" s="24">
        <v>2.5000000000000002E-6</v>
      </c>
      <c r="F26" s="24">
        <f t="shared" si="0"/>
        <v>6.250000000000001E-12</v>
      </c>
      <c r="G26" s="24">
        <v>2.1995664434583299E-7</v>
      </c>
      <c r="H26" s="26">
        <v>1.0265510647317736E-8</v>
      </c>
      <c r="I26" s="22">
        <v>5.7167985927880388E-2</v>
      </c>
      <c r="J26" s="24">
        <v>5.7428320140721197E-2</v>
      </c>
      <c r="K26" s="40">
        <v>2</v>
      </c>
      <c r="L26" s="25">
        <v>1.9999999999999999E-7</v>
      </c>
      <c r="M26" s="24">
        <v>86.268511605055849</v>
      </c>
      <c r="N26" s="145" t="s">
        <v>475</v>
      </c>
      <c r="O26" s="67"/>
      <c r="P26">
        <f t="shared" si="4"/>
        <v>1</v>
      </c>
      <c r="Q26">
        <f t="shared" si="5"/>
        <v>1</v>
      </c>
      <c r="S26" s="49"/>
      <c r="T26" s="51">
        <f>COUNTIFS($D$2:$D$58,"=0",$C$2:$C$58,$T$24)</f>
        <v>8</v>
      </c>
    </row>
    <row r="27" spans="1:26" ht="15.75">
      <c r="A27" s="1" t="s">
        <v>122</v>
      </c>
      <c r="B27" s="8" t="s">
        <v>75</v>
      </c>
      <c r="C27" s="1">
        <v>2</v>
      </c>
      <c r="D27" s="1">
        <v>0</v>
      </c>
      <c r="E27" s="24">
        <v>1.2500000000000001E-6</v>
      </c>
      <c r="F27" s="24">
        <f t="shared" si="0"/>
        <v>1.5625000000000003E-12</v>
      </c>
      <c r="G27" s="24">
        <v>1.0997832217291649E-7</v>
      </c>
      <c r="H27" s="26">
        <v>5.5644758920739022E-9</v>
      </c>
      <c r="I27" s="22">
        <v>3.518029903254178E-2</v>
      </c>
      <c r="J27" s="24">
        <v>2.9393139841688655E-2</v>
      </c>
      <c r="K27" s="40">
        <v>1</v>
      </c>
      <c r="L27" s="25">
        <v>9.9999999999999995E-8</v>
      </c>
      <c r="M27" s="24">
        <v>5.1278749719473193</v>
      </c>
      <c r="N27" s="145" t="s">
        <v>475</v>
      </c>
      <c r="O27" s="67">
        <f>AVERAGE(F26:F29)</f>
        <v>0.25000011642218589</v>
      </c>
      <c r="P27">
        <f t="shared" si="4"/>
        <v>1</v>
      </c>
      <c r="Q27">
        <f t="shared" si="5"/>
        <v>1</v>
      </c>
      <c r="S27" s="49"/>
      <c r="T27" s="50" t="s">
        <v>186</v>
      </c>
    </row>
    <row r="28" spans="1:26" ht="16.5" thickBot="1">
      <c r="A28" s="1" t="s">
        <v>127</v>
      </c>
      <c r="B28" s="8" t="s">
        <v>94</v>
      </c>
      <c r="C28" s="1">
        <v>3</v>
      </c>
      <c r="D28" s="1">
        <v>1</v>
      </c>
      <c r="E28" s="31">
        <v>1</v>
      </c>
      <c r="F28" s="31">
        <f t="shared" si="0"/>
        <v>1</v>
      </c>
      <c r="G28" s="31">
        <v>1</v>
      </c>
      <c r="H28" s="30">
        <v>8.062024107346285E-4</v>
      </c>
      <c r="I28" s="29">
        <v>1</v>
      </c>
      <c r="J28" s="35">
        <v>5940</v>
      </c>
      <c r="K28" s="31">
        <v>209552</v>
      </c>
      <c r="L28" s="32">
        <v>2.2953000000000001E-2</v>
      </c>
      <c r="M28" s="31">
        <v>175900.65574979101</v>
      </c>
      <c r="N28" s="145" t="s">
        <v>474</v>
      </c>
      <c r="O28" s="13"/>
      <c r="P28">
        <f t="shared" ref="P28:P49" si="6">IF(E28&gt;$W$7,1,0)</f>
        <v>1</v>
      </c>
      <c r="Q28">
        <f t="shared" ref="Q28:Q49" si="7">IF(F28&gt;$W$18,1,0)</f>
        <v>1</v>
      </c>
      <c r="S28" s="52"/>
      <c r="T28" s="53">
        <f>COUNTIFS($D$2:$D$58,"=1",$C$2:$C$58,$T$24)</f>
        <v>1</v>
      </c>
    </row>
    <row r="29" spans="1:26" ht="15.75">
      <c r="A29" s="1" t="s">
        <v>127</v>
      </c>
      <c r="B29" s="8" t="s">
        <v>131</v>
      </c>
      <c r="C29" s="1">
        <v>3</v>
      </c>
      <c r="D29" s="1">
        <v>0</v>
      </c>
      <c r="E29" s="24">
        <v>6.8240818508055279E-4</v>
      </c>
      <c r="F29" s="24">
        <f t="shared" si="0"/>
        <v>4.6568093106493398E-7</v>
      </c>
      <c r="G29" s="24">
        <v>6.8240818508055279E-4</v>
      </c>
      <c r="H29" s="26">
        <v>5.6884234430032563E-7</v>
      </c>
      <c r="I29" s="22">
        <v>0.74898856640281442</v>
      </c>
      <c r="J29" s="28">
        <v>4.2329006156552333</v>
      </c>
      <c r="K29" s="24">
        <v>143</v>
      </c>
      <c r="L29" s="25" t="s">
        <v>132</v>
      </c>
      <c r="M29" s="28">
        <v>7479.6056521758464</v>
      </c>
      <c r="N29" s="145">
        <v>68.42</v>
      </c>
      <c r="O29" s="70">
        <f>(O27+O28/2)*10</f>
        <v>2.5000011642218589</v>
      </c>
      <c r="P29">
        <f t="shared" si="6"/>
        <v>1</v>
      </c>
      <c r="Q29">
        <f t="shared" si="7"/>
        <v>1</v>
      </c>
    </row>
    <row r="30" spans="1:26" ht="15.75">
      <c r="A30" s="1" t="s">
        <v>127</v>
      </c>
      <c r="B30" s="8" t="s">
        <v>63</v>
      </c>
      <c r="C30" s="1">
        <v>3</v>
      </c>
      <c r="D30" s="1">
        <v>0</v>
      </c>
      <c r="E30" s="24">
        <v>1.7179506757272658E-4</v>
      </c>
      <c r="F30" s="24">
        <f t="shared" si="0"/>
        <v>2.9513545242317693E-8</v>
      </c>
      <c r="G30" s="24">
        <v>1.7179506757272658E-4</v>
      </c>
      <c r="H30" s="26">
        <v>1.2131274730211156E-7</v>
      </c>
      <c r="I30" s="22">
        <v>0.3760773966578716</v>
      </c>
      <c r="J30" s="24">
        <v>1.0471978891820579</v>
      </c>
      <c r="K30" s="24">
        <v>36</v>
      </c>
      <c r="L30" s="25">
        <v>3.0000000000000001E-6</v>
      </c>
      <c r="M30" s="24">
        <v>2798.2562199989038</v>
      </c>
      <c r="N30" s="145">
        <v>92.31</v>
      </c>
      <c r="O30" s="68"/>
      <c r="P30">
        <f t="shared" si="6"/>
        <v>1</v>
      </c>
      <c r="Q30">
        <f t="shared" si="7"/>
        <v>1</v>
      </c>
      <c r="S30" s="94" t="s">
        <v>302</v>
      </c>
      <c r="T30" s="94">
        <v>1</v>
      </c>
      <c r="W30" s="94" t="s">
        <v>302</v>
      </c>
      <c r="X30" s="94">
        <v>3</v>
      </c>
    </row>
    <row r="31" spans="1:26" ht="94.5">
      <c r="A31" s="1" t="s">
        <v>127</v>
      </c>
      <c r="B31" s="8" t="s">
        <v>65</v>
      </c>
      <c r="C31" s="1">
        <v>3</v>
      </c>
      <c r="D31" s="1">
        <v>0</v>
      </c>
      <c r="E31" s="24">
        <v>1.6225089715201954E-4</v>
      </c>
      <c r="F31" s="24">
        <f t="shared" si="0"/>
        <v>2.6325353626635225E-8</v>
      </c>
      <c r="G31" s="24">
        <v>1.6225089715201954E-4</v>
      </c>
      <c r="H31" s="26">
        <v>1.4814207790291117E-7</v>
      </c>
      <c r="I31" s="22">
        <v>0.38962181178540017</v>
      </c>
      <c r="J31" s="24">
        <v>0.97723834652594554</v>
      </c>
      <c r="K31" s="24">
        <v>34</v>
      </c>
      <c r="L31" s="25">
        <v>3.9999999999999998E-6</v>
      </c>
      <c r="M31" s="24">
        <v>8642.5590108845408</v>
      </c>
      <c r="N31" s="145">
        <v>90.91</v>
      </c>
      <c r="O31" s="68"/>
      <c r="P31">
        <f t="shared" si="6"/>
        <v>1</v>
      </c>
      <c r="Q31">
        <f t="shared" si="7"/>
        <v>1</v>
      </c>
      <c r="T31" s="10" t="s">
        <v>181</v>
      </c>
      <c r="U31" s="10" t="s">
        <v>354</v>
      </c>
      <c r="V31" s="10" t="s">
        <v>360</v>
      </c>
      <c r="X31" s="10" t="s">
        <v>181</v>
      </c>
      <c r="Y31" s="10" t="s">
        <v>354</v>
      </c>
      <c r="Z31" s="10" t="s">
        <v>360</v>
      </c>
    </row>
    <row r="32" spans="1:26" ht="15.75">
      <c r="A32" s="1" t="s">
        <v>127</v>
      </c>
      <c r="B32" s="8" t="s">
        <v>66</v>
      </c>
      <c r="C32" s="1">
        <v>3</v>
      </c>
      <c r="D32" s="1">
        <v>0</v>
      </c>
      <c r="E32" s="24">
        <v>7.1581278155302737E-5</v>
      </c>
      <c r="F32" s="24">
        <f t="shared" si="0"/>
        <v>5.1238793823468206E-9</v>
      </c>
      <c r="G32" s="24">
        <v>7.1581278155302737E-5</v>
      </c>
      <c r="H32" s="26">
        <v>3.9462851522665018E-8</v>
      </c>
      <c r="I32" s="22">
        <v>0.12172383465259455</v>
      </c>
      <c r="J32" s="24">
        <v>0.42791556728232194</v>
      </c>
      <c r="K32" s="24">
        <v>15</v>
      </c>
      <c r="L32" s="25">
        <v>9.9999999999999995E-7</v>
      </c>
      <c r="M32" s="24">
        <v>105540.89709762533</v>
      </c>
      <c r="N32" s="145">
        <v>56.8</v>
      </c>
      <c r="O32" s="68"/>
      <c r="P32">
        <f t="shared" si="6"/>
        <v>1</v>
      </c>
      <c r="Q32">
        <f t="shared" si="7"/>
        <v>1</v>
      </c>
      <c r="S32" t="s">
        <v>352</v>
      </c>
      <c r="T32" s="82">
        <f>AVERAGE(E2:E7)</f>
        <v>0.38672941691520513</v>
      </c>
      <c r="U32">
        <f>AVERAGE(F2:F7)</f>
        <v>0.29554826176102161</v>
      </c>
      <c r="V32" s="82"/>
      <c r="W32" t="s">
        <v>352</v>
      </c>
      <c r="X32" s="82">
        <f>AVERAGE(E21:E41)</f>
        <v>4.7690894965950047E-2</v>
      </c>
      <c r="Y32" s="82">
        <f>AVERAGE(F21:F41)</f>
        <v>4.7619073345996368E-2</v>
      </c>
      <c r="Z32" s="82">
        <f>AVERAGE(G38:G41)</f>
        <v>2.2667404749179205E-5</v>
      </c>
    </row>
    <row r="33" spans="1:26" ht="15.75">
      <c r="A33" s="1" t="s">
        <v>127</v>
      </c>
      <c r="B33" s="8" t="s">
        <v>86</v>
      </c>
      <c r="C33" s="1">
        <v>3</v>
      </c>
      <c r="D33" s="1">
        <v>0</v>
      </c>
      <c r="E33" s="24">
        <v>4.2948766893181598E-5</v>
      </c>
      <c r="F33" s="24">
        <f t="shared" si="0"/>
        <v>1.8445965776448517E-9</v>
      </c>
      <c r="G33" s="24">
        <v>4.2948766893181645E-5</v>
      </c>
      <c r="H33" s="26">
        <v>3.480768424307885E-8</v>
      </c>
      <c r="I33" s="22">
        <v>0.13157431838170625</v>
      </c>
      <c r="J33" s="28">
        <v>0.26906596306068603</v>
      </c>
      <c r="K33" s="24">
        <v>9</v>
      </c>
      <c r="L33" s="25" t="s">
        <v>133</v>
      </c>
      <c r="M33" s="28">
        <v>403.03295734836558</v>
      </c>
      <c r="N33" s="145">
        <v>44.44</v>
      </c>
      <c r="O33" s="68">
        <f>AVERAGE(E33:E53)</f>
        <v>4.7644448430634645E-2</v>
      </c>
      <c r="P33">
        <f t="shared" si="6"/>
        <v>1</v>
      </c>
      <c r="Q33">
        <f t="shared" si="7"/>
        <v>1</v>
      </c>
      <c r="S33" t="s">
        <v>351</v>
      </c>
      <c r="T33">
        <f>STDEV(E2:E7)</f>
        <v>0.41855267747815983</v>
      </c>
      <c r="U33">
        <f>STDEV(F2:F7)</f>
        <v>0.39426776022705212</v>
      </c>
      <c r="W33" t="s">
        <v>351</v>
      </c>
      <c r="X33">
        <f>STDEV(E21:E41)</f>
        <v>0.21820147679956303</v>
      </c>
      <c r="Y33">
        <f>STDEV(F21:F41)</f>
        <v>0.21821788434123124</v>
      </c>
      <c r="Z33">
        <f>STDEV(G38:G41)</f>
        <v>2.3860426051767588E-6</v>
      </c>
    </row>
    <row r="34" spans="1:26" ht="15.75">
      <c r="A34" s="1" t="s">
        <v>127</v>
      </c>
      <c r="B34" s="8" t="s">
        <v>135</v>
      </c>
      <c r="C34" s="1">
        <v>3</v>
      </c>
      <c r="D34" s="1">
        <v>0</v>
      </c>
      <c r="E34" s="24">
        <v>3.8176681682828127E-5</v>
      </c>
      <c r="F34" s="24">
        <f t="shared" ref="F34:F58" si="8">E34*E34</f>
        <v>1.4574590243119846E-9</v>
      </c>
      <c r="G34" s="24">
        <v>3.8176681682828127E-5</v>
      </c>
      <c r="H34" s="26">
        <v>3.1933446121909689E-8</v>
      </c>
      <c r="I34" s="22">
        <v>0.13649956024626209</v>
      </c>
      <c r="J34" s="24">
        <v>0.23846613896218119</v>
      </c>
      <c r="K34" s="24">
        <v>8</v>
      </c>
      <c r="L34" s="25">
        <v>6.9999999999999997E-7</v>
      </c>
      <c r="M34" s="24">
        <v>39.796718362603819</v>
      </c>
      <c r="N34" s="145">
        <v>25</v>
      </c>
      <c r="O34" s="68"/>
      <c r="P34">
        <f t="shared" si="6"/>
        <v>1</v>
      </c>
      <c r="Q34">
        <f t="shared" si="7"/>
        <v>1</v>
      </c>
      <c r="S34" t="s">
        <v>357</v>
      </c>
      <c r="T34">
        <f>(T32+3*T33)/2</f>
        <v>0.82119372467484231</v>
      </c>
      <c r="U34">
        <f>(U32+3*U33)/2</f>
        <v>0.73917577122108902</v>
      </c>
      <c r="W34" t="s">
        <v>357</v>
      </c>
      <c r="X34">
        <f>(X32+3*X33)/2</f>
        <v>0.35114766268231956</v>
      </c>
      <c r="Y34">
        <f>(Y32+3*Y33)/2</f>
        <v>0.35113636318484504</v>
      </c>
      <c r="Z34">
        <f>(Z32+3*Z33)/2</f>
        <v>1.4912766282354741E-5</v>
      </c>
    </row>
    <row r="35" spans="1:26" ht="15.75">
      <c r="A35" s="1" t="s">
        <v>127</v>
      </c>
      <c r="B35" s="8" t="s">
        <v>54</v>
      </c>
      <c r="C35" s="1">
        <v>3</v>
      </c>
      <c r="D35" s="1">
        <v>0</v>
      </c>
      <c r="E35" s="24">
        <v>3.8176681682828127E-5</v>
      </c>
      <c r="F35" s="24">
        <f t="shared" si="8"/>
        <v>1.4574590243119846E-9</v>
      </c>
      <c r="G35" s="24">
        <v>3.8176681682828127E-5</v>
      </c>
      <c r="H35" s="26">
        <v>4.0319723065494699E-8</v>
      </c>
      <c r="I35" s="22">
        <v>0.17660510114335973</v>
      </c>
      <c r="J35" s="28">
        <v>0.23313280562884783</v>
      </c>
      <c r="K35" s="24">
        <v>8</v>
      </c>
      <c r="L35" s="25" t="s">
        <v>129</v>
      </c>
      <c r="M35" s="28">
        <v>4078.8752501497711</v>
      </c>
      <c r="N35" s="145">
        <v>75</v>
      </c>
      <c r="O35" s="69">
        <f>STDEV(E34:E54)</f>
        <v>0.21821217330166887</v>
      </c>
      <c r="P35">
        <f t="shared" si="6"/>
        <v>1</v>
      </c>
      <c r="Q35">
        <f t="shared" si="7"/>
        <v>1</v>
      </c>
      <c r="S35" t="s">
        <v>353</v>
      </c>
      <c r="T35">
        <f>(T32+3*T33)</f>
        <v>1.6423874493496846</v>
      </c>
      <c r="U35">
        <f>(U32+3*U33)</f>
        <v>1.478351542442178</v>
      </c>
      <c r="W35" t="s">
        <v>353</v>
      </c>
      <c r="X35">
        <f>(X32+3*X33)</f>
        <v>0.70229532536463912</v>
      </c>
      <c r="Y35">
        <f>(Y32+3*Y33)</f>
        <v>0.70227272636969007</v>
      </c>
      <c r="Z35">
        <f>(Z32+3*Z33)</f>
        <v>2.9825532564709482E-5</v>
      </c>
    </row>
    <row r="36" spans="1:26" ht="15.75">
      <c r="A36" s="1" t="s">
        <v>127</v>
      </c>
      <c r="B36" s="8" t="s">
        <v>93</v>
      </c>
      <c r="C36" s="1">
        <v>3</v>
      </c>
      <c r="D36" s="1">
        <v>0</v>
      </c>
      <c r="E36" s="24">
        <v>3.340459647247461E-5</v>
      </c>
      <c r="F36" s="24">
        <f t="shared" si="8"/>
        <v>1.1158670654888632E-9</v>
      </c>
      <c r="G36" s="24">
        <v>3.340459647247461E-5</v>
      </c>
      <c r="H36" s="26">
        <v>2.7727208616622487E-8</v>
      </c>
      <c r="I36" s="22">
        <v>9.006156552330695E-2</v>
      </c>
      <c r="J36" s="24">
        <v>0.20338786279683377</v>
      </c>
      <c r="K36" s="24">
        <v>7</v>
      </c>
      <c r="L36" s="25">
        <v>7.9999999999999996E-7</v>
      </c>
      <c r="M36" s="24">
        <v>182.33532743061784</v>
      </c>
      <c r="N36" s="145">
        <v>14.28</v>
      </c>
      <c r="O36" s="68"/>
      <c r="P36">
        <f t="shared" si="6"/>
        <v>1</v>
      </c>
      <c r="Q36">
        <f t="shared" si="7"/>
        <v>1</v>
      </c>
      <c r="S36" t="s">
        <v>364</v>
      </c>
      <c r="T36">
        <f>(T32+3*T33)*10</f>
        <v>16.423874493496847</v>
      </c>
      <c r="U36">
        <f>(U32+3*U33)*10</f>
        <v>14.783515424421781</v>
      </c>
      <c r="W36" t="s">
        <v>364</v>
      </c>
      <c r="X36">
        <f>(X32+3*X33)*10</f>
        <v>7.0229532536463912</v>
      </c>
      <c r="Y36">
        <f>(Y32+3*Y33)*10</f>
        <v>7.0227272636969005</v>
      </c>
      <c r="Z36">
        <f>(Z32+3*Z33)*10</f>
        <v>2.9825532564709483E-4</v>
      </c>
    </row>
    <row r="37" spans="1:26" ht="15.75">
      <c r="A37" s="1" t="s">
        <v>127</v>
      </c>
      <c r="B37" s="8" t="s">
        <v>52</v>
      </c>
      <c r="C37" s="1">
        <v>3</v>
      </c>
      <c r="D37" s="1">
        <v>0</v>
      </c>
      <c r="E37" s="24">
        <v>2.8632511262121096E-5</v>
      </c>
      <c r="F37" s="24">
        <f t="shared" si="8"/>
        <v>8.1982070117549136E-10</v>
      </c>
      <c r="G37" s="24">
        <v>2.8632511262121096E-5</v>
      </c>
      <c r="H37" s="26">
        <v>2.3679641508073601E-8</v>
      </c>
      <c r="I37" s="22">
        <v>9.0589270008795075E-2</v>
      </c>
      <c r="J37" s="28">
        <v>0.17223218997361478</v>
      </c>
      <c r="K37" s="24">
        <v>6</v>
      </c>
      <c r="L37" s="25" t="s">
        <v>90</v>
      </c>
      <c r="M37" s="28">
        <v>7179.6528637840356</v>
      </c>
      <c r="N37" s="145">
        <v>66.67</v>
      </c>
      <c r="O37" s="70">
        <f>(O35+O36*3)*10</f>
        <v>2.1821217330166887</v>
      </c>
      <c r="P37">
        <f t="shared" si="6"/>
        <v>1</v>
      </c>
      <c r="Q37">
        <f t="shared" si="7"/>
        <v>1</v>
      </c>
      <c r="S37" t="s">
        <v>365</v>
      </c>
      <c r="T37">
        <f>(T32+3*T33)*100</f>
        <v>164.23874493496845</v>
      </c>
      <c r="U37">
        <f>(U32+3*U33)*100</f>
        <v>147.83515424421779</v>
      </c>
      <c r="W37" t="s">
        <v>365</v>
      </c>
      <c r="X37">
        <f>(X32+3*X33)*100</f>
        <v>70.229532536463907</v>
      </c>
      <c r="Y37">
        <f>(Y32+3*Y33)*100</f>
        <v>70.227272636969005</v>
      </c>
      <c r="Z37">
        <f>(Z32+3*Z33)*100</f>
        <v>2.982553256470948E-3</v>
      </c>
    </row>
    <row r="38" spans="1:26" ht="15.75">
      <c r="A38" s="1" t="s">
        <v>127</v>
      </c>
      <c r="B38" s="8" t="s">
        <v>134</v>
      </c>
      <c r="C38" s="1">
        <v>3</v>
      </c>
      <c r="D38" s="1">
        <v>0</v>
      </c>
      <c r="E38" s="24">
        <v>2.3860426051767581E-5</v>
      </c>
      <c r="F38" s="24">
        <f t="shared" si="8"/>
        <v>5.6931993137186907E-10</v>
      </c>
      <c r="G38" s="24">
        <v>2.3860426051767581E-5</v>
      </c>
      <c r="H38" s="26">
        <v>2.0909949425196077E-8</v>
      </c>
      <c r="I38" s="22">
        <v>8.0035180299032546E-2</v>
      </c>
      <c r="J38" s="24">
        <v>0.14700967458223396</v>
      </c>
      <c r="K38" s="24">
        <v>5</v>
      </c>
      <c r="L38" s="25">
        <v>5.9999999999999997E-7</v>
      </c>
      <c r="M38" s="24">
        <v>18.116618448380834</v>
      </c>
      <c r="N38" s="145">
        <v>60</v>
      </c>
      <c r="O38" s="68"/>
      <c r="P38">
        <f t="shared" si="6"/>
        <v>1</v>
      </c>
      <c r="Q38">
        <f t="shared" si="7"/>
        <v>1</v>
      </c>
    </row>
    <row r="39" spans="1:26" ht="15.75">
      <c r="A39" s="1" t="s">
        <v>127</v>
      </c>
      <c r="B39" s="8" t="s">
        <v>64</v>
      </c>
      <c r="C39" s="1">
        <v>3</v>
      </c>
      <c r="D39" s="1">
        <v>0</v>
      </c>
      <c r="E39" s="24">
        <v>2.3860426051767581E-5</v>
      </c>
      <c r="F39" s="24">
        <f t="shared" si="8"/>
        <v>5.6931993137186907E-10</v>
      </c>
      <c r="G39" s="24">
        <v>2.3860426051767581E-5</v>
      </c>
      <c r="H39" s="26">
        <v>2.060280253988978E-8</v>
      </c>
      <c r="I39" s="22">
        <v>0.10782761653474054</v>
      </c>
      <c r="J39" s="24">
        <v>0.14343887423043097</v>
      </c>
      <c r="K39" s="24">
        <v>5</v>
      </c>
      <c r="L39" s="25">
        <v>5.9999999999999997E-7</v>
      </c>
      <c r="M39" s="24">
        <v>115.48154882005572</v>
      </c>
      <c r="N39" s="145">
        <v>60</v>
      </c>
      <c r="O39" s="68">
        <f>AVERAGE(F28:F41)</f>
        <v>7.1428609672231164E-2</v>
      </c>
      <c r="P39">
        <f t="shared" si="6"/>
        <v>1</v>
      </c>
      <c r="Q39">
        <f t="shared" si="7"/>
        <v>1</v>
      </c>
      <c r="S39" s="94" t="s">
        <v>302</v>
      </c>
      <c r="T39" s="94">
        <v>2</v>
      </c>
      <c r="W39" s="94" t="s">
        <v>302</v>
      </c>
      <c r="X39" s="94">
        <v>4</v>
      </c>
    </row>
    <row r="40" spans="1:26" ht="94.5">
      <c r="A40" s="1" t="s">
        <v>127</v>
      </c>
      <c r="B40" s="8" t="s">
        <v>88</v>
      </c>
      <c r="C40" s="1">
        <v>3</v>
      </c>
      <c r="D40" s="1">
        <v>0</v>
      </c>
      <c r="E40" s="24">
        <v>2.3860426051767581E-5</v>
      </c>
      <c r="F40" s="24">
        <f t="shared" si="8"/>
        <v>5.6931993137186907E-10</v>
      </c>
      <c r="G40" s="24">
        <v>2.3860426051767581E-5</v>
      </c>
      <c r="H40" s="26">
        <v>1.9254582776527263E-8</v>
      </c>
      <c r="I40" s="22">
        <v>6.9656992084432712E-2</v>
      </c>
      <c r="J40" s="28">
        <v>0.143570800351803</v>
      </c>
      <c r="K40" s="24">
        <v>5</v>
      </c>
      <c r="L40" s="25" t="s">
        <v>90</v>
      </c>
      <c r="M40" s="28">
        <v>36.989842108489064</v>
      </c>
      <c r="N40" s="145">
        <v>20</v>
      </c>
      <c r="O40" s="71"/>
      <c r="P40">
        <f t="shared" si="6"/>
        <v>1</v>
      </c>
      <c r="Q40">
        <f t="shared" si="7"/>
        <v>1</v>
      </c>
      <c r="T40" s="10" t="s">
        <v>181</v>
      </c>
      <c r="U40" s="10" t="s">
        <v>354</v>
      </c>
      <c r="V40" s="10" t="s">
        <v>360</v>
      </c>
      <c r="X40" s="10" t="s">
        <v>181</v>
      </c>
      <c r="Y40" s="10" t="s">
        <v>354</v>
      </c>
      <c r="Z40" s="10" t="s">
        <v>360</v>
      </c>
    </row>
    <row r="41" spans="1:26" ht="15.75">
      <c r="A41" s="1" t="s">
        <v>127</v>
      </c>
      <c r="B41" s="8" t="s">
        <v>22</v>
      </c>
      <c r="C41" s="1">
        <v>3</v>
      </c>
      <c r="D41" s="1">
        <v>0</v>
      </c>
      <c r="E41" s="24">
        <v>1.9088340841414064E-5</v>
      </c>
      <c r="F41" s="24">
        <f t="shared" si="8"/>
        <v>3.6436475607799615E-10</v>
      </c>
      <c r="G41" s="24">
        <v>1.9088340841414064E-5</v>
      </c>
      <c r="H41" s="26">
        <v>1.625902037373508E-8</v>
      </c>
      <c r="I41" s="22">
        <v>7.6517150395778361E-2</v>
      </c>
      <c r="J41" s="28">
        <v>0.11565875109938434</v>
      </c>
      <c r="K41" s="24">
        <v>4</v>
      </c>
      <c r="L41" s="25" t="s">
        <v>130</v>
      </c>
      <c r="M41" s="28">
        <v>880.60823610868022</v>
      </c>
      <c r="N41" s="145" t="s">
        <v>475</v>
      </c>
      <c r="O41" s="71"/>
      <c r="P41">
        <f t="shared" si="6"/>
        <v>1</v>
      </c>
      <c r="Q41">
        <f t="shared" si="7"/>
        <v>1</v>
      </c>
      <c r="S41" t="s">
        <v>352</v>
      </c>
      <c r="T41" s="82">
        <f>AVERAGE(E8:E20)</f>
        <v>0.18205273089604321</v>
      </c>
      <c r="U41" s="82">
        <f>AVERAGE(F8:F20)</f>
        <v>0.15559612225310374</v>
      </c>
      <c r="V41" s="82">
        <f>AVERAGE(G11:G20)</f>
        <v>2.0822530562094939E-2</v>
      </c>
      <c r="W41" t="s">
        <v>352</v>
      </c>
      <c r="X41" s="82">
        <f>AVERAGE(E42:E49)</f>
        <v>8.3511491181186541E-6</v>
      </c>
      <c r="Y41" s="82">
        <f>AVERAGE(F42:F49)</f>
        <v>9.1091189019499038E-11</v>
      </c>
      <c r="Z41" s="82">
        <f>AVERAGE(G46:G49)</f>
        <v>4.7720852103535159E-6</v>
      </c>
    </row>
    <row r="42" spans="1:26" ht="15.75">
      <c r="A42" s="1" t="s">
        <v>127</v>
      </c>
      <c r="B42" s="8" t="s">
        <v>61</v>
      </c>
      <c r="C42" s="1">
        <v>3</v>
      </c>
      <c r="D42" s="1">
        <v>0</v>
      </c>
      <c r="E42" s="24">
        <v>1.9088340841414064E-5</v>
      </c>
      <c r="F42" s="24">
        <f t="shared" si="8"/>
        <v>3.6436475607799615E-10</v>
      </c>
      <c r="G42" s="24">
        <v>1.9088340841414064E-5</v>
      </c>
      <c r="H42" s="26">
        <v>1.5150708329649507E-8</v>
      </c>
      <c r="I42" s="22">
        <v>8.1090589270008798E-2</v>
      </c>
      <c r="J42" s="28">
        <v>0.11515919085312225</v>
      </c>
      <c r="K42" s="24">
        <v>4</v>
      </c>
      <c r="L42" s="25" t="s">
        <v>117</v>
      </c>
      <c r="M42" s="28">
        <v>1.2852541911074822</v>
      </c>
      <c r="N42" s="145" t="s">
        <v>475</v>
      </c>
      <c r="O42" s="71"/>
      <c r="P42">
        <f t="shared" si="6"/>
        <v>1</v>
      </c>
      <c r="Q42">
        <f t="shared" si="7"/>
        <v>1</v>
      </c>
      <c r="S42" t="s">
        <v>351</v>
      </c>
      <c r="T42">
        <f>STDEV(E8:E20)</f>
        <v>0.36422154779556404</v>
      </c>
      <c r="U42">
        <f>STDEV(F8:F20)</f>
        <v>0.33863337928399545</v>
      </c>
      <c r="V42">
        <f>STDEV(G11:G20)</f>
        <v>3.5468642997383157E-2</v>
      </c>
      <c r="W42" t="s">
        <v>351</v>
      </c>
      <c r="X42">
        <f>STDEV(E42:E49)</f>
        <v>4.9395774748679626E-6</v>
      </c>
      <c r="Y42">
        <f>STDEV(F42:F49)</f>
        <v>1.1547915895216369E-10</v>
      </c>
      <c r="Z42">
        <f>STDEV(G46:G49)</f>
        <v>0</v>
      </c>
    </row>
    <row r="43" spans="1:26" ht="15.75">
      <c r="A43" s="1" t="s">
        <v>127</v>
      </c>
      <c r="B43" s="8" t="s">
        <v>62</v>
      </c>
      <c r="C43" s="1">
        <v>3</v>
      </c>
      <c r="D43" s="1">
        <v>0</v>
      </c>
      <c r="E43" s="24">
        <v>9.5441704207070318E-6</v>
      </c>
      <c r="F43" s="24">
        <f t="shared" si="8"/>
        <v>9.1091189019499038E-11</v>
      </c>
      <c r="G43" s="24">
        <v>9.5441704207070318E-6</v>
      </c>
      <c r="H43" s="26">
        <v>8.431451623142111E-9</v>
      </c>
      <c r="I43" s="22">
        <v>2.6561125769569042E-2</v>
      </c>
      <c r="J43" s="24">
        <v>5.7720316622691288E-2</v>
      </c>
      <c r="K43" s="24">
        <v>2</v>
      </c>
      <c r="L43" s="25">
        <v>1.9999999999999999E-7</v>
      </c>
      <c r="M43" s="24">
        <v>75.043299984090822</v>
      </c>
      <c r="N43" s="145" t="s">
        <v>475</v>
      </c>
      <c r="O43" s="68">
        <f>STDEV(F36:F44)</f>
        <v>3.2917875157449245E-10</v>
      </c>
      <c r="P43">
        <f t="shared" si="6"/>
        <v>1</v>
      </c>
      <c r="Q43">
        <f t="shared" si="7"/>
        <v>1</v>
      </c>
      <c r="S43" t="s">
        <v>357</v>
      </c>
      <c r="T43">
        <f>(T41+3*T42)/2</f>
        <v>0.63735868714136756</v>
      </c>
      <c r="U43">
        <f>(U41+3*U42)/2</f>
        <v>0.585748130052545</v>
      </c>
      <c r="V43">
        <f>(V41+3*V42)/2</f>
        <v>6.3614229777122208E-2</v>
      </c>
      <c r="W43" t="s">
        <v>357</v>
      </c>
      <c r="X43">
        <f>(X41+3*X42)/2</f>
        <v>1.1584940771361271E-5</v>
      </c>
      <c r="Y43">
        <f>(Y41+3*Y42)/2</f>
        <v>2.1876433293799507E-10</v>
      </c>
      <c r="Z43">
        <f>(Z41+3*Z42)/2</f>
        <v>2.386042605176758E-6</v>
      </c>
    </row>
    <row r="44" spans="1:26" ht="15.75">
      <c r="A44" s="1" t="s">
        <v>127</v>
      </c>
      <c r="B44" s="8" t="s">
        <v>89</v>
      </c>
      <c r="C44" s="1">
        <v>3</v>
      </c>
      <c r="D44" s="1">
        <v>0</v>
      </c>
      <c r="E44" s="24">
        <v>9.5441704207070318E-6</v>
      </c>
      <c r="F44" s="24">
        <f t="shared" si="8"/>
        <v>9.1091189019499038E-11</v>
      </c>
      <c r="G44" s="24">
        <v>9.5441704207070318E-6</v>
      </c>
      <c r="H44" s="26">
        <v>8.74057450151766E-9</v>
      </c>
      <c r="I44" s="22">
        <v>2.6561125769569042E-2</v>
      </c>
      <c r="J44" s="28">
        <v>5.6664907651715037E-2</v>
      </c>
      <c r="K44" s="24">
        <v>2</v>
      </c>
      <c r="L44" s="25" t="s">
        <v>85</v>
      </c>
      <c r="M44" s="28">
        <v>90.136559140511849</v>
      </c>
      <c r="N44" s="145" t="s">
        <v>475</v>
      </c>
      <c r="O44" s="71"/>
      <c r="P44">
        <f t="shared" si="6"/>
        <v>1</v>
      </c>
      <c r="Q44">
        <f t="shared" si="7"/>
        <v>1</v>
      </c>
      <c r="S44" t="s">
        <v>353</v>
      </c>
      <c r="T44">
        <f>(T41+3*T42)</f>
        <v>1.2747173742827351</v>
      </c>
      <c r="U44">
        <f>(U41+3*U42)</f>
        <v>1.17149626010509</v>
      </c>
      <c r="V44">
        <f>(V41+3*V42)</f>
        <v>0.12722845955424442</v>
      </c>
      <c r="W44" t="s">
        <v>353</v>
      </c>
      <c r="X44">
        <f>(X41+3*X42)</f>
        <v>2.3169881542722542E-5</v>
      </c>
      <c r="Y44">
        <f>(Y41+3*Y42)</f>
        <v>4.3752866587599015E-10</v>
      </c>
      <c r="Z44">
        <f>(Z41+3*Z42)</f>
        <v>4.7720852103535159E-6</v>
      </c>
    </row>
    <row r="45" spans="1:26" ht="15.75">
      <c r="A45" s="1" t="s">
        <v>127</v>
      </c>
      <c r="B45" s="8" t="s">
        <v>81</v>
      </c>
      <c r="C45" s="1">
        <v>3</v>
      </c>
      <c r="D45" s="1">
        <v>0</v>
      </c>
      <c r="E45" s="24">
        <v>9.5441704207070318E-6</v>
      </c>
      <c r="F45" s="24">
        <f t="shared" si="8"/>
        <v>9.1091189019499038E-11</v>
      </c>
      <c r="G45" s="24">
        <v>9.5441704207070318E-6</v>
      </c>
      <c r="H45" s="26">
        <v>6.8231148406697844E-9</v>
      </c>
      <c r="I45" s="22">
        <v>5.1715039577836415E-2</v>
      </c>
      <c r="J45" s="28">
        <v>5.8979771328056291E-2</v>
      </c>
      <c r="K45" s="24">
        <v>2</v>
      </c>
      <c r="L45" s="25" t="s">
        <v>82</v>
      </c>
      <c r="M45" s="28">
        <v>54.467098672459784</v>
      </c>
      <c r="N45" s="145" t="s">
        <v>475</v>
      </c>
      <c r="O45" s="71"/>
      <c r="P45">
        <f t="shared" si="6"/>
        <v>1</v>
      </c>
      <c r="Q45">
        <f t="shared" si="7"/>
        <v>1</v>
      </c>
      <c r="S45" t="s">
        <v>364</v>
      </c>
      <c r="T45">
        <f>(T41+3*T42)*10</f>
        <v>12.747173742827352</v>
      </c>
      <c r="U45">
        <f>(U41+3*U42)*10</f>
        <v>11.7149626010509</v>
      </c>
      <c r="V45">
        <f>(V41+3*V42)*10</f>
        <v>1.2722845955424442</v>
      </c>
      <c r="W45" t="s">
        <v>364</v>
      </c>
      <c r="X45">
        <f>(X41+3*X42)*10</f>
        <v>2.3169881542722543E-4</v>
      </c>
      <c r="Y45">
        <f>(Y41+3*Y42)*10</f>
        <v>4.3752866587599013E-9</v>
      </c>
      <c r="Z45">
        <f>(Z41+3*Z42)*10</f>
        <v>4.7720852103535163E-5</v>
      </c>
    </row>
    <row r="46" spans="1:26" ht="15.75">
      <c r="A46" s="1" t="s">
        <v>127</v>
      </c>
      <c r="B46" s="8" t="s">
        <v>60</v>
      </c>
      <c r="C46" s="1">
        <v>3</v>
      </c>
      <c r="D46" s="1">
        <v>0</v>
      </c>
      <c r="E46" s="24">
        <v>4.7720852103535159E-6</v>
      </c>
      <c r="F46" s="24">
        <f t="shared" si="8"/>
        <v>2.277279725487476E-11</v>
      </c>
      <c r="G46" s="24">
        <v>4.7720852103535159E-6</v>
      </c>
      <c r="H46" s="26">
        <v>3.7652555629244916E-9</v>
      </c>
      <c r="I46" s="22">
        <v>2.1459982409850482E-2</v>
      </c>
      <c r="J46" s="28">
        <v>2.9169744942832015E-2</v>
      </c>
      <c r="K46" s="24">
        <v>1</v>
      </c>
      <c r="L46" s="25" t="s">
        <v>87</v>
      </c>
      <c r="M46" s="28">
        <v>2171.6233970704802</v>
      </c>
      <c r="N46" s="145" t="s">
        <v>475</v>
      </c>
      <c r="O46" s="71"/>
      <c r="P46">
        <f t="shared" si="6"/>
        <v>1</v>
      </c>
      <c r="Q46">
        <f t="shared" si="7"/>
        <v>1</v>
      </c>
      <c r="S46" t="s">
        <v>365</v>
      </c>
      <c r="T46">
        <f>(T41+3*T42)*100</f>
        <v>127.47173742827351</v>
      </c>
      <c r="U46">
        <f>(U41+3*U42)*100</f>
        <v>117.149626010509</v>
      </c>
      <c r="V46">
        <f>(V41+3*V42)*100</f>
        <v>12.722845955424441</v>
      </c>
      <c r="W46" t="s">
        <v>365</v>
      </c>
      <c r="X46">
        <f>(X41+3*X42)*100</f>
        <v>2.3169881542722541E-3</v>
      </c>
      <c r="Y46">
        <f>(Y41+3*Y42)*100</f>
        <v>4.3752866587599016E-8</v>
      </c>
      <c r="Z46">
        <f>(Z41+3*Z42)*100</f>
        <v>4.772085210353516E-4</v>
      </c>
    </row>
    <row r="47" spans="1:26" ht="15.75">
      <c r="A47" s="1" t="s">
        <v>127</v>
      </c>
      <c r="B47" s="8" t="s">
        <v>59</v>
      </c>
      <c r="C47" s="1">
        <v>3</v>
      </c>
      <c r="D47" s="1">
        <v>0</v>
      </c>
      <c r="E47" s="24">
        <v>4.7720852103535159E-6</v>
      </c>
      <c r="F47" s="24">
        <f t="shared" si="8"/>
        <v>2.277279725487476E-11</v>
      </c>
      <c r="G47" s="24">
        <v>4.7720852103535159E-6</v>
      </c>
      <c r="H47" s="26">
        <v>3.5338304556395323E-9</v>
      </c>
      <c r="I47" s="22">
        <v>2.6385224274406333E-2</v>
      </c>
      <c r="J47" s="28">
        <v>2.9213720316622692E-2</v>
      </c>
      <c r="K47" s="24">
        <v>1</v>
      </c>
      <c r="L47" s="25" t="s">
        <v>87</v>
      </c>
      <c r="M47" s="28">
        <v>6282.1962558110317</v>
      </c>
      <c r="N47" s="145" t="s">
        <v>475</v>
      </c>
      <c r="O47" s="71"/>
      <c r="P47">
        <f t="shared" si="6"/>
        <v>1</v>
      </c>
      <c r="Q47">
        <f t="shared" si="7"/>
        <v>1</v>
      </c>
    </row>
    <row r="48" spans="1:26" ht="15.75">
      <c r="A48" s="1" t="s">
        <v>127</v>
      </c>
      <c r="B48" s="8" t="s">
        <v>91</v>
      </c>
      <c r="C48" s="1">
        <v>3</v>
      </c>
      <c r="D48" s="1">
        <v>0</v>
      </c>
      <c r="E48" s="24">
        <v>4.7720852103535159E-6</v>
      </c>
      <c r="F48" s="24">
        <f t="shared" si="8"/>
        <v>2.277279725487476E-11</v>
      </c>
      <c r="G48" s="24">
        <v>4.7720852103535159E-6</v>
      </c>
      <c r="H48" s="26">
        <v>4.5088399143213099E-9</v>
      </c>
      <c r="I48" s="22">
        <v>2.6385224274406333E-2</v>
      </c>
      <c r="J48" s="28">
        <v>2.8694810905892699E-2</v>
      </c>
      <c r="K48" s="24">
        <v>1</v>
      </c>
      <c r="L48" s="25" t="s">
        <v>87</v>
      </c>
      <c r="M48" s="28">
        <v>37.537664353971167</v>
      </c>
      <c r="N48" s="145" t="s">
        <v>475</v>
      </c>
      <c r="O48" s="71"/>
      <c r="P48">
        <f t="shared" si="6"/>
        <v>1</v>
      </c>
      <c r="Q48">
        <f t="shared" si="7"/>
        <v>1</v>
      </c>
    </row>
    <row r="49" spans="1:17" ht="15.75">
      <c r="A49" s="1" t="s">
        <v>127</v>
      </c>
      <c r="B49" s="8" t="s">
        <v>55</v>
      </c>
      <c r="C49" s="1">
        <v>3</v>
      </c>
      <c r="D49" s="1">
        <v>0</v>
      </c>
      <c r="E49" s="24">
        <v>4.7720852103535159E-6</v>
      </c>
      <c r="F49" s="24">
        <f t="shared" si="8"/>
        <v>2.277279725487476E-11</v>
      </c>
      <c r="G49" s="24">
        <v>4.7720852103535159E-6</v>
      </c>
      <c r="H49" s="26">
        <v>2.731597275684197E-9</v>
      </c>
      <c r="I49" s="22">
        <v>5.0659630606860157E-2</v>
      </c>
      <c r="J49" s="28">
        <v>2.8978012313104665E-2</v>
      </c>
      <c r="K49" s="24">
        <v>1</v>
      </c>
      <c r="L49" s="25" t="s">
        <v>87</v>
      </c>
      <c r="M49" s="28">
        <v>247.05266174537763</v>
      </c>
      <c r="N49" s="145" t="s">
        <v>475</v>
      </c>
      <c r="O49" s="71"/>
      <c r="P49">
        <f t="shared" si="6"/>
        <v>1</v>
      </c>
      <c r="Q49">
        <f t="shared" si="7"/>
        <v>1</v>
      </c>
    </row>
    <row r="50" spans="1:17" ht="15.75">
      <c r="A50" s="1" t="s">
        <v>127</v>
      </c>
      <c r="B50" s="10" t="s">
        <v>165</v>
      </c>
      <c r="C50" s="1">
        <v>4</v>
      </c>
      <c r="D50" s="1">
        <v>1</v>
      </c>
      <c r="E50" s="31">
        <v>1</v>
      </c>
      <c r="F50" s="31">
        <f t="shared" si="8"/>
        <v>1</v>
      </c>
      <c r="G50" s="31">
        <v>42.764790437282493</v>
      </c>
      <c r="H50" s="30">
        <v>5.5365070211171354E-4</v>
      </c>
      <c r="I50" s="29">
        <v>1</v>
      </c>
      <c r="J50" s="30">
        <v>13008.552321899737</v>
      </c>
      <c r="K50" s="31">
        <v>565265</v>
      </c>
      <c r="L50" s="32">
        <v>2.2839999999999999E-2</v>
      </c>
      <c r="M50" s="31">
        <v>175901.495162709</v>
      </c>
      <c r="N50" s="145" t="s">
        <v>474</v>
      </c>
      <c r="O50" s="1"/>
      <c r="P50">
        <f t="shared" ref="P50:P58" si="9">IF(E50&gt;$X$7,1,0)</f>
        <v>1</v>
      </c>
      <c r="Q50">
        <f t="shared" ref="Q50:Q58" si="10">IF(F50&gt;$X$18,1,0)</f>
        <v>1</v>
      </c>
    </row>
    <row r="51" spans="1:17" ht="15.75">
      <c r="A51" s="1" t="s">
        <v>127</v>
      </c>
      <c r="B51" s="8" t="s">
        <v>137</v>
      </c>
      <c r="C51" s="1">
        <v>4</v>
      </c>
      <c r="D51" s="1">
        <v>0</v>
      </c>
      <c r="E51" s="24">
        <v>1.1145215076114742E-4</v>
      </c>
      <c r="F51" s="24">
        <f t="shared" si="8"/>
        <v>1.2421581909285535E-8</v>
      </c>
      <c r="G51" s="24">
        <v>1.1145215076114742E-4</v>
      </c>
      <c r="H51" s="26">
        <v>6.272614335348345E-8</v>
      </c>
      <c r="I51" s="22">
        <v>0.70360598065083557</v>
      </c>
      <c r="J51" s="24">
        <v>1.5206437994722957</v>
      </c>
      <c r="K51" s="24">
        <v>63</v>
      </c>
      <c r="L51" s="25">
        <v>2.5000000000000002E-6</v>
      </c>
      <c r="M51" s="24">
        <v>175901.49516270889</v>
      </c>
      <c r="N51" s="145">
        <v>96.82</v>
      </c>
      <c r="O51" s="72">
        <f>AVERAGE(E51:E58)</f>
        <v>3.0074389887928668E-5</v>
      </c>
      <c r="P51">
        <f t="shared" si="9"/>
        <v>1</v>
      </c>
      <c r="Q51">
        <f t="shared" si="10"/>
        <v>0</v>
      </c>
    </row>
    <row r="52" spans="1:17" ht="15.75">
      <c r="A52" s="1" t="s">
        <v>127</v>
      </c>
      <c r="B52" s="8" t="s">
        <v>36</v>
      </c>
      <c r="C52" s="1">
        <v>4</v>
      </c>
      <c r="D52" s="1">
        <v>0</v>
      </c>
      <c r="E52" s="24">
        <v>4.5996125710949732E-5</v>
      </c>
      <c r="F52" s="24">
        <f t="shared" si="8"/>
        <v>2.1156435804174911E-9</v>
      </c>
      <c r="G52" s="24">
        <v>4.5996125710949732E-5</v>
      </c>
      <c r="H52" s="26">
        <v>2.5976425103811071E-8</v>
      </c>
      <c r="I52" s="22">
        <v>0.35180299032541779</v>
      </c>
      <c r="J52" s="24">
        <v>0.62775021987686896</v>
      </c>
      <c r="K52" s="24">
        <v>26</v>
      </c>
      <c r="L52" s="25">
        <v>1.1000000000000001E-6</v>
      </c>
      <c r="M52" s="24">
        <v>169386.62497149745</v>
      </c>
      <c r="N52" s="145">
        <v>100</v>
      </c>
      <c r="O52" s="73">
        <f>STDEV(E51:E58)</f>
        <v>3.7551710902187669E-5</v>
      </c>
      <c r="P52">
        <f t="shared" si="9"/>
        <v>1</v>
      </c>
      <c r="Q52">
        <f t="shared" si="10"/>
        <v>0</v>
      </c>
    </row>
    <row r="53" spans="1:17" ht="15.75">
      <c r="A53" s="1" t="s">
        <v>127</v>
      </c>
      <c r="B53" s="8" t="s">
        <v>95</v>
      </c>
      <c r="C53" s="1">
        <v>4</v>
      </c>
      <c r="D53" s="1">
        <v>0</v>
      </c>
      <c r="E53" s="24">
        <v>3.7150716920382477E-5</v>
      </c>
      <c r="F53" s="24">
        <f t="shared" si="8"/>
        <v>1.380175767698393E-9</v>
      </c>
      <c r="G53" s="24">
        <v>3.7150716920382477E-5</v>
      </c>
      <c r="H53" s="26">
        <v>1.9392550353411784E-8</v>
      </c>
      <c r="I53" s="22">
        <v>0.22673702726473174</v>
      </c>
      <c r="J53" s="24">
        <v>0.52324538258575204</v>
      </c>
      <c r="K53" s="24">
        <v>21</v>
      </c>
      <c r="L53" s="25">
        <v>6.9999999999999997E-7</v>
      </c>
      <c r="M53" s="24">
        <v>105540.89709762533</v>
      </c>
      <c r="N53" s="145">
        <v>100</v>
      </c>
      <c r="O53" s="72">
        <f>(O51+O52*3)*10</f>
        <v>1.4272952259449167E-3</v>
      </c>
      <c r="P53">
        <f t="shared" si="9"/>
        <v>1</v>
      </c>
      <c r="Q53">
        <f t="shared" si="10"/>
        <v>0</v>
      </c>
    </row>
    <row r="54" spans="1:17" ht="15.75">
      <c r="A54" s="1" t="s">
        <v>127</v>
      </c>
      <c r="B54" s="8" t="s">
        <v>27</v>
      </c>
      <c r="C54" s="1">
        <v>4</v>
      </c>
      <c r="D54" s="1">
        <v>0</v>
      </c>
      <c r="E54" s="24">
        <v>3.3612553404155573E-5</v>
      </c>
      <c r="F54" s="24">
        <f t="shared" si="8"/>
        <v>1.1298037463472105E-9</v>
      </c>
      <c r="G54" s="24">
        <v>3.3612553404155573E-5</v>
      </c>
      <c r="H54" s="26">
        <v>1.8581062004768686E-8</v>
      </c>
      <c r="I54" s="22">
        <v>0.26385224274406333</v>
      </c>
      <c r="J54" s="24">
        <v>0.46605980650835527</v>
      </c>
      <c r="K54" s="24">
        <v>19</v>
      </c>
      <c r="L54" s="25">
        <v>6.9999999999999997E-7</v>
      </c>
      <c r="M54" s="24">
        <v>167106.42040457344</v>
      </c>
      <c r="N54" s="145">
        <v>100</v>
      </c>
      <c r="O54" s="72"/>
      <c r="P54">
        <f t="shared" si="9"/>
        <v>1</v>
      </c>
      <c r="Q54">
        <f t="shared" si="10"/>
        <v>0</v>
      </c>
    </row>
    <row r="55" spans="1:17" ht="15.75">
      <c r="A55" s="1" t="s">
        <v>127</v>
      </c>
      <c r="B55" s="8" t="s">
        <v>98</v>
      </c>
      <c r="C55" s="1">
        <v>4</v>
      </c>
      <c r="D55" s="1">
        <v>0</v>
      </c>
      <c r="E55" s="24">
        <v>7.0763270324538048E-6</v>
      </c>
      <c r="F55" s="24">
        <f t="shared" si="8"/>
        <v>5.0074404270236472E-11</v>
      </c>
      <c r="G55" s="24">
        <v>7.0763270324538048E-6</v>
      </c>
      <c r="H55" s="26">
        <v>3.8140587065472991E-9</v>
      </c>
      <c r="I55" s="22">
        <v>4.9252418645558488E-2</v>
      </c>
      <c r="J55" s="24">
        <v>9.3790677220756388E-2</v>
      </c>
      <c r="K55" s="24">
        <v>4</v>
      </c>
      <c r="L55" s="25">
        <v>1.6E-7</v>
      </c>
      <c r="M55" s="24">
        <v>87950.747581354444</v>
      </c>
      <c r="N55" s="145" t="s">
        <v>475</v>
      </c>
      <c r="O55" s="72"/>
      <c r="P55">
        <f t="shared" si="9"/>
        <v>1</v>
      </c>
      <c r="Q55">
        <f t="shared" si="10"/>
        <v>0</v>
      </c>
    </row>
    <row r="56" spans="1:17" ht="15.75">
      <c r="A56" s="1" t="s">
        <v>127</v>
      </c>
      <c r="B56" s="8" t="s">
        <v>69</v>
      </c>
      <c r="C56" s="1">
        <v>4</v>
      </c>
      <c r="D56" s="1">
        <v>0</v>
      </c>
      <c r="E56" s="24">
        <v>1.7690817581134512E-6</v>
      </c>
      <c r="F56" s="24">
        <f t="shared" si="8"/>
        <v>3.1296502668897795E-12</v>
      </c>
      <c r="G56" s="24">
        <v>1.7690817581134512E-6</v>
      </c>
      <c r="H56" s="26">
        <v>1.0661611146099819E-9</v>
      </c>
      <c r="I56" s="22">
        <v>1.2137203166226913E-2</v>
      </c>
      <c r="J56" s="24">
        <v>2.4103781882146E-2</v>
      </c>
      <c r="K56" s="24">
        <v>1</v>
      </c>
      <c r="L56" s="25">
        <v>4.0000000000000001E-8</v>
      </c>
      <c r="M56" s="24">
        <v>1134.8483558884443</v>
      </c>
      <c r="N56" s="145" t="s">
        <v>475</v>
      </c>
      <c r="O56" s="72">
        <f>AVERAGE(F54:F58)</f>
        <v>2.3785342028362322E-10</v>
      </c>
      <c r="P56">
        <f t="shared" si="9"/>
        <v>1</v>
      </c>
      <c r="Q56">
        <f t="shared" si="10"/>
        <v>0</v>
      </c>
    </row>
    <row r="57" spans="1:17" ht="31.5">
      <c r="A57" s="1" t="s">
        <v>127</v>
      </c>
      <c r="B57" s="10" t="s">
        <v>138</v>
      </c>
      <c r="C57" s="1">
        <v>4</v>
      </c>
      <c r="D57" s="1">
        <v>0</v>
      </c>
      <c r="E57" s="24">
        <v>1.7690817581134512E-6</v>
      </c>
      <c r="F57" s="24">
        <f t="shared" si="8"/>
        <v>3.1296502668897795E-12</v>
      </c>
      <c r="G57" s="24">
        <v>1.7690817581134512E-6</v>
      </c>
      <c r="H57" s="26">
        <v>1.0355702800923259E-9</v>
      </c>
      <c r="I57" s="22">
        <v>2.9199648197009674E-2</v>
      </c>
      <c r="J57" s="24">
        <v>2.4886543535620052E-2</v>
      </c>
      <c r="K57" s="24">
        <v>1</v>
      </c>
      <c r="L57" s="25">
        <v>2.9999999999999997E-8</v>
      </c>
      <c r="M57" s="24">
        <v>2.046913308462313</v>
      </c>
      <c r="N57" s="145" t="s">
        <v>475</v>
      </c>
      <c r="O57" s="72">
        <f>STDEV(F54:F58)</f>
        <v>4.9902958019853407E-10</v>
      </c>
      <c r="P57">
        <f t="shared" si="9"/>
        <v>1</v>
      </c>
      <c r="Q57">
        <f t="shared" si="10"/>
        <v>0</v>
      </c>
    </row>
    <row r="58" spans="1:17" ht="31.5">
      <c r="A58" s="1" t="s">
        <v>127</v>
      </c>
      <c r="B58" s="10" t="s">
        <v>139</v>
      </c>
      <c r="C58" s="1">
        <v>4</v>
      </c>
      <c r="D58" s="1">
        <v>0</v>
      </c>
      <c r="E58" s="24">
        <v>1.7690817581134512E-6</v>
      </c>
      <c r="F58" s="24">
        <f t="shared" si="8"/>
        <v>3.1296502668897795E-12</v>
      </c>
      <c r="G58" s="24">
        <v>1.7690817581134512E-6</v>
      </c>
      <c r="H58" s="26">
        <v>9.8147723387175604E-10</v>
      </c>
      <c r="I58" s="22">
        <v>3.3773087071240104E-2</v>
      </c>
      <c r="J58" s="24">
        <v>2.4045734388742301E-2</v>
      </c>
      <c r="K58" s="24">
        <v>1</v>
      </c>
      <c r="L58" s="25">
        <v>4.0000000000000001E-8</v>
      </c>
      <c r="M58" s="24">
        <v>113.70490960743949</v>
      </c>
      <c r="N58" s="145" t="s">
        <v>475</v>
      </c>
      <c r="O58" s="72">
        <f>(O56+O57*3)*10</f>
        <v>1.7349421608792256E-8</v>
      </c>
      <c r="P58">
        <f t="shared" si="9"/>
        <v>1</v>
      </c>
      <c r="Q58">
        <f t="shared" si="10"/>
        <v>0</v>
      </c>
    </row>
  </sheetData>
  <autoFilter ref="A1:R58" xr:uid="{00000000-0009-0000-0000-000003000000}">
    <sortState xmlns:xlrd2="http://schemas.microsoft.com/office/spreadsheetml/2017/richdata2" ref="A2:R58">
      <sortCondition ref="C1:C58"/>
    </sortState>
  </autoFilter>
  <phoneticPr fontId="3" type="noConversion"/>
  <conditionalFormatting sqref="D1">
    <cfRule type="colorScale" priority="36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8">
      <colorScale>
        <cfvo type="min"/>
        <cfvo type="max"/>
        <color theme="6" tint="-0.499984740745262"/>
        <color theme="9" tint="0.59999389629810485"/>
      </colorScale>
    </cfRule>
  </conditionalFormatting>
  <conditionalFormatting sqref="D2:D58">
    <cfRule type="colorScale" priority="33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5">
      <colorScale>
        <cfvo type="min"/>
        <cfvo type="max"/>
        <color theme="6" tint="-0.499984740745262"/>
        <color theme="9" tint="0.59999389629810485"/>
      </colorScale>
    </cfRule>
  </conditionalFormatting>
  <conditionalFormatting sqref="P2:S2 S29 S3 P3:R58 S31:S33 S35 S47:S58 S38">
    <cfRule type="colorScale" priority="31">
      <colorScale>
        <cfvo type="min"/>
        <cfvo type="max"/>
        <color rgb="FF00B050"/>
        <color rgb="FFFF0000"/>
      </colorScale>
    </cfRule>
    <cfRule type="colorScale" priority="32">
      <colorScale>
        <cfvo type="min"/>
        <cfvo type="max"/>
        <color theme="6" tint="-0.499984740745262"/>
        <color rgb="FFFF0000"/>
      </colorScale>
    </cfRule>
  </conditionalFormatting>
  <conditionalFormatting sqref="S40:S42 S44:S46">
    <cfRule type="colorScale" priority="27">
      <colorScale>
        <cfvo type="min"/>
        <cfvo type="max"/>
        <color rgb="FF00B050"/>
        <color rgb="FFFF0000"/>
      </colorScale>
    </cfRule>
    <cfRule type="colorScale" priority="28">
      <colorScale>
        <cfvo type="min"/>
        <cfvo type="max"/>
        <color theme="6" tint="-0.499984740745262"/>
        <color rgb="FFFF0000"/>
      </colorScale>
    </cfRule>
  </conditionalFormatting>
  <conditionalFormatting sqref="W31:W33 W35">
    <cfRule type="colorScale" priority="23">
      <colorScale>
        <cfvo type="min"/>
        <cfvo type="max"/>
        <color rgb="FF00B050"/>
        <color rgb="FFFF0000"/>
      </colorScale>
    </cfRule>
    <cfRule type="colorScale" priority="24">
      <colorScale>
        <cfvo type="min"/>
        <cfvo type="max"/>
        <color theme="6" tint="-0.499984740745262"/>
        <color rgb="FFFF0000"/>
      </colorScale>
    </cfRule>
  </conditionalFormatting>
  <conditionalFormatting sqref="W40:W42 W44">
    <cfRule type="colorScale" priority="19">
      <colorScale>
        <cfvo type="min"/>
        <cfvo type="max"/>
        <color rgb="FF00B050"/>
        <color rgb="FFFF0000"/>
      </colorScale>
    </cfRule>
    <cfRule type="colorScale" priority="20">
      <colorScale>
        <cfvo type="min"/>
        <cfvo type="max"/>
        <color theme="6" tint="-0.499984740745262"/>
        <color rgb="FFFF0000"/>
      </colorScale>
    </cfRule>
  </conditionalFormatting>
  <conditionalFormatting sqref="S34">
    <cfRule type="colorScale" priority="15">
      <colorScale>
        <cfvo type="min"/>
        <cfvo type="max"/>
        <color rgb="FF00B050"/>
        <color rgb="FFFF0000"/>
      </colorScale>
    </cfRule>
    <cfRule type="colorScale" priority="16">
      <colorScale>
        <cfvo type="min"/>
        <cfvo type="max"/>
        <color theme="6" tint="-0.499984740745262"/>
        <color rgb="FFFF0000"/>
      </colorScale>
    </cfRule>
  </conditionalFormatting>
  <conditionalFormatting sqref="S43">
    <cfRule type="colorScale" priority="13">
      <colorScale>
        <cfvo type="min"/>
        <cfvo type="max"/>
        <color rgb="FF00B050"/>
        <color rgb="FFFF0000"/>
      </colorScale>
    </cfRule>
    <cfRule type="colorScale" priority="14">
      <colorScale>
        <cfvo type="min"/>
        <cfvo type="max"/>
        <color theme="6" tint="-0.499984740745262"/>
        <color rgb="FFFF0000"/>
      </colorScale>
    </cfRule>
  </conditionalFormatting>
  <conditionalFormatting sqref="W43">
    <cfRule type="colorScale" priority="11">
      <colorScale>
        <cfvo type="min"/>
        <cfvo type="max"/>
        <color rgb="FF00B050"/>
        <color rgb="FFFF0000"/>
      </colorScale>
    </cfRule>
    <cfRule type="colorScale" priority="12">
      <colorScale>
        <cfvo type="min"/>
        <cfvo type="max"/>
        <color theme="6" tint="-0.499984740745262"/>
        <color rgb="FFFF0000"/>
      </colorScale>
    </cfRule>
  </conditionalFormatting>
  <conditionalFormatting sqref="W34">
    <cfRule type="colorScale" priority="9">
      <colorScale>
        <cfvo type="min"/>
        <cfvo type="max"/>
        <color rgb="FF00B050"/>
        <color rgb="FFFF0000"/>
      </colorScale>
    </cfRule>
    <cfRule type="colorScale" priority="10">
      <colorScale>
        <cfvo type="min"/>
        <cfvo type="max"/>
        <color theme="6" tint="-0.499984740745262"/>
        <color rgb="FFFF0000"/>
      </colorScale>
    </cfRule>
  </conditionalFormatting>
  <conditionalFormatting sqref="S36:S37">
    <cfRule type="colorScale" priority="7">
      <colorScale>
        <cfvo type="min"/>
        <cfvo type="max"/>
        <color rgb="FF00B050"/>
        <color rgb="FFFF0000"/>
      </colorScale>
    </cfRule>
    <cfRule type="colorScale" priority="8">
      <colorScale>
        <cfvo type="min"/>
        <cfvo type="max"/>
        <color theme="6" tint="-0.499984740745262"/>
        <color rgb="FFFF0000"/>
      </colorScale>
    </cfRule>
  </conditionalFormatting>
  <conditionalFormatting sqref="W36:W37">
    <cfRule type="colorScale" priority="5">
      <colorScale>
        <cfvo type="min"/>
        <cfvo type="max"/>
        <color rgb="FF00B050"/>
        <color rgb="FFFF0000"/>
      </colorScale>
    </cfRule>
    <cfRule type="colorScale" priority="6">
      <colorScale>
        <cfvo type="min"/>
        <cfvo type="max"/>
        <color theme="6" tint="-0.499984740745262"/>
        <color rgb="FFFF0000"/>
      </colorScale>
    </cfRule>
  </conditionalFormatting>
  <conditionalFormatting sqref="W45:W46">
    <cfRule type="colorScale" priority="3">
      <colorScale>
        <cfvo type="min"/>
        <cfvo type="max"/>
        <color rgb="FF00B050"/>
        <color rgb="FFFF0000"/>
      </colorScale>
    </cfRule>
    <cfRule type="colorScale" priority="4">
      <colorScale>
        <cfvo type="min"/>
        <cfvo type="max"/>
        <color theme="6" tint="-0.499984740745262"/>
        <color rgb="FFFF0000"/>
      </colorScale>
    </cfRule>
  </conditionalFormatting>
  <conditionalFormatting sqref="Z4:Z5">
    <cfRule type="colorScale" priority="1">
      <colorScale>
        <cfvo type="min"/>
        <cfvo type="max"/>
        <color rgb="FF00B050"/>
        <color rgb="FFFF0000"/>
      </colorScale>
    </cfRule>
    <cfRule type="colorScale" priority="2">
      <colorScale>
        <cfvo type="min"/>
        <cfvo type="max"/>
        <color theme="6" tint="-0.49998474074526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337"/>
  <sheetViews>
    <sheetView tabSelected="1" zoomScale="70" zoomScaleNormal="70" workbookViewId="0">
      <selection activeCell="B6" activeCellId="1" sqref="A1 B6"/>
    </sheetView>
  </sheetViews>
  <sheetFormatPr defaultRowHeight="15.75"/>
  <cols>
    <col min="1" max="1" width="24.5703125" customWidth="1"/>
    <col min="2" max="2" width="50.140625" customWidth="1"/>
    <col min="4" max="4" width="14.5703125" customWidth="1"/>
    <col min="5" max="5" width="16.7109375" style="118" customWidth="1"/>
    <col min="6" max="6" width="34" customWidth="1"/>
    <col min="7" max="7" width="34" style="118" customWidth="1"/>
    <col min="8" max="8" width="26.7109375" customWidth="1"/>
    <col min="9" max="13" width="22.5703125" customWidth="1"/>
    <col min="15" max="15" width="16.5703125" customWidth="1"/>
    <col min="17" max="17" width="23.42578125" customWidth="1"/>
    <col min="18" max="18" width="17.42578125" customWidth="1"/>
    <col min="19" max="20" width="14.28515625" customWidth="1"/>
    <col min="21" max="21" width="14.5703125" customWidth="1"/>
    <col min="22" max="22" width="14.140625" customWidth="1"/>
    <col min="23" max="23" width="21.140625" customWidth="1"/>
    <col min="24" max="24" width="21.85546875" customWidth="1"/>
    <col min="25" max="25" width="14.7109375" customWidth="1"/>
    <col min="26" max="26" width="15.140625" customWidth="1"/>
    <col min="27" max="27" width="14.5703125" customWidth="1"/>
    <col min="29" max="29" width="12" customWidth="1"/>
    <col min="30" max="30" width="22.7109375" customWidth="1"/>
    <col min="31" max="31" width="22.42578125" customWidth="1"/>
    <col min="32" max="32" width="11.140625" customWidth="1"/>
    <col min="33" max="33" width="11.7109375" customWidth="1"/>
    <col min="34" max="34" width="12.28515625" customWidth="1"/>
    <col min="35" max="35" width="14.140625" customWidth="1"/>
    <col min="36" max="36" width="19.85546875" customWidth="1"/>
    <col min="41" max="41" width="14" style="2" customWidth="1"/>
    <col min="42" max="42" width="23.28515625" style="2" customWidth="1"/>
    <col min="43" max="43" width="20.42578125" customWidth="1"/>
    <col min="50" max="50" width="18.42578125" customWidth="1"/>
  </cols>
  <sheetData>
    <row r="1" spans="1:42" ht="63">
      <c r="A1" s="7" t="s">
        <v>500</v>
      </c>
      <c r="B1" s="6" t="s">
        <v>0</v>
      </c>
      <c r="C1" s="6" t="s">
        <v>1</v>
      </c>
      <c r="D1" s="6" t="s">
        <v>2</v>
      </c>
      <c r="E1" s="116" t="s">
        <v>361</v>
      </c>
      <c r="F1" s="7" t="s">
        <v>181</v>
      </c>
      <c r="G1" s="143" t="s">
        <v>447</v>
      </c>
      <c r="I1" s="10" t="s">
        <v>401</v>
      </c>
      <c r="J1" s="10" t="s">
        <v>402</v>
      </c>
      <c r="K1" s="10" t="s">
        <v>448</v>
      </c>
      <c r="L1" s="10" t="s">
        <v>460</v>
      </c>
      <c r="M1" s="10" t="s">
        <v>463</v>
      </c>
      <c r="R1" s="10" t="s">
        <v>303</v>
      </c>
      <c r="S1" s="10" t="s">
        <v>304</v>
      </c>
      <c r="T1" s="10" t="s">
        <v>305</v>
      </c>
      <c r="U1" s="10" t="s">
        <v>306</v>
      </c>
      <c r="W1" s="10"/>
      <c r="AH1" s="10"/>
      <c r="AI1" s="10"/>
      <c r="AJ1" s="10"/>
      <c r="AK1" s="10"/>
      <c r="AO1" s="10"/>
      <c r="AP1" s="10"/>
    </row>
    <row r="2" spans="1:42" ht="21" customHeight="1">
      <c r="A2" s="1" t="s">
        <v>217</v>
      </c>
      <c r="B2" s="8" t="s">
        <v>188</v>
      </c>
      <c r="C2" s="1">
        <v>1</v>
      </c>
      <c r="D2" s="1">
        <v>0</v>
      </c>
      <c r="E2" s="18">
        <v>2</v>
      </c>
      <c r="F2" s="1">
        <v>7.7562971437435773E-6</v>
      </c>
      <c r="G2" s="1" t="s">
        <v>451</v>
      </c>
      <c r="I2">
        <f t="shared" ref="I2:I33" si="0">IF(F2&gt;$R$3,1,0)</f>
        <v>0</v>
      </c>
      <c r="J2">
        <f>IF(E2&gt;$R$74,1,0)</f>
        <v>0</v>
      </c>
      <c r="K2">
        <f t="shared" ref="K2:K65" si="1">IF(G2&gt;$AF$75,0,1)</f>
        <v>0</v>
      </c>
      <c r="L2" s="144" t="b">
        <f>ISNUMBER(G2)</f>
        <v>0</v>
      </c>
      <c r="M2" s="144">
        <f>I2+J2+K2</f>
        <v>0</v>
      </c>
      <c r="N2" s="92"/>
      <c r="O2" s="95" t="s">
        <v>301</v>
      </c>
      <c r="P2" s="78"/>
      <c r="R2" s="36" t="s">
        <v>366</v>
      </c>
      <c r="S2" s="36" t="s">
        <v>366</v>
      </c>
      <c r="T2" s="36" t="s">
        <v>366</v>
      </c>
      <c r="U2" s="36" t="s">
        <v>366</v>
      </c>
      <c r="W2" s="36"/>
      <c r="X2" s="36"/>
      <c r="Y2" s="36"/>
      <c r="Z2" s="36"/>
      <c r="AH2" s="36"/>
      <c r="AI2" s="36"/>
      <c r="AJ2" s="36"/>
      <c r="AK2" s="36"/>
    </row>
    <row r="3" spans="1:42">
      <c r="A3" s="1" t="s">
        <v>216</v>
      </c>
      <c r="B3" s="8" t="s">
        <v>210</v>
      </c>
      <c r="C3" s="1">
        <v>1</v>
      </c>
      <c r="D3" s="1">
        <v>0</v>
      </c>
      <c r="E3" s="18">
        <v>4</v>
      </c>
      <c r="F3" s="1">
        <v>1.0944810791583441E-5</v>
      </c>
      <c r="G3" s="1" t="s">
        <v>451</v>
      </c>
      <c r="I3">
        <f t="shared" si="0"/>
        <v>0</v>
      </c>
      <c r="J3">
        <f t="shared" ref="J3:J66" si="2">IF(E3&gt;$R$74,1,0)</f>
        <v>0</v>
      </c>
      <c r="K3">
        <f t="shared" si="1"/>
        <v>0</v>
      </c>
      <c r="L3" s="144" t="b">
        <f t="shared" ref="L3:L66" si="3">ISNUMBER(G3)</f>
        <v>0</v>
      </c>
      <c r="M3" s="144">
        <f t="shared" ref="M3:M66" si="4">I3+J3+K3</f>
        <v>0</v>
      </c>
      <c r="N3" s="96" t="s">
        <v>185</v>
      </c>
      <c r="P3" s="80"/>
      <c r="R3" s="83">
        <v>1.37083210102121E-5</v>
      </c>
      <c r="S3" s="84">
        <v>1.6275822229645413E-4</v>
      </c>
      <c r="T3" s="84">
        <v>2.5625423706498199E-4</v>
      </c>
      <c r="U3" s="84">
        <v>7.1364761297245842E-5</v>
      </c>
    </row>
    <row r="4" spans="1:42" ht="18.75" customHeight="1">
      <c r="A4" s="1" t="s">
        <v>216</v>
      </c>
      <c r="B4" s="8" t="s">
        <v>192</v>
      </c>
      <c r="C4" s="1">
        <v>1</v>
      </c>
      <c r="D4" s="1">
        <v>0</v>
      </c>
      <c r="E4" s="18">
        <v>2</v>
      </c>
      <c r="F4" s="1">
        <v>5.4724053957917205E-6</v>
      </c>
      <c r="G4" s="1" t="s">
        <v>451</v>
      </c>
      <c r="I4">
        <f t="shared" si="0"/>
        <v>0</v>
      </c>
      <c r="J4">
        <f t="shared" si="2"/>
        <v>0</v>
      </c>
      <c r="K4">
        <f t="shared" si="1"/>
        <v>0</v>
      </c>
      <c r="L4" s="144" t="b">
        <f t="shared" si="3"/>
        <v>0</v>
      </c>
      <c r="M4" s="144">
        <f t="shared" si="4"/>
        <v>0</v>
      </c>
      <c r="N4" s="79"/>
      <c r="O4">
        <f>COUNTIF($D$2:$D$337,0)</f>
        <v>159</v>
      </c>
      <c r="P4" s="80"/>
      <c r="R4" s="48">
        <f>COUNTIFS($D$2:$D$337,"=0",$I$2:$I$337,"=0",$C$2:$C$337,$O$7,$A$2:$A$337,"&lt;&gt;BSV",$E$2:$E$337,"&gt;5")</f>
        <v>0</v>
      </c>
      <c r="S4" s="48">
        <f>COUNTIFS($D$2:$D$337,"=0",$I$2:$I$337,"=0",$C$2:$C$337,$O$12,$A$2:$A$337,"&lt;&gt;BSV",$E$2:$E$337,"&gt;5")</f>
        <v>14</v>
      </c>
      <c r="T4" s="48">
        <f>COUNTIFS($D$2:$D$337,"=0",$I$2:$I$337,"=0",$C$2:$C$337,$O$17,$A$2:$A$337,"&lt;&gt;BSV",$E$2:$E$337,"&gt;5")</f>
        <v>10</v>
      </c>
      <c r="U4" s="48">
        <f>COUNTIFS($D$2:$D$337,"=0",$I$2:$I$337,"=0",$C$2:$C$337,$O$22,$A$2:$A$337,"&lt;&gt;BSV",$E$2:$E$337,"&gt;5")</f>
        <v>3</v>
      </c>
      <c r="W4" s="48"/>
      <c r="X4" s="48"/>
      <c r="Y4" s="48"/>
      <c r="Z4" s="48"/>
      <c r="AH4" s="38"/>
      <c r="AI4" s="38"/>
      <c r="AJ4" s="38"/>
      <c r="AK4" s="38"/>
    </row>
    <row r="5" spans="1:42" ht="18" customHeight="1">
      <c r="A5" s="1" t="s">
        <v>211</v>
      </c>
      <c r="B5" s="8" t="s">
        <v>205</v>
      </c>
      <c r="C5" s="1">
        <v>1</v>
      </c>
      <c r="D5" s="1">
        <v>0</v>
      </c>
      <c r="E5" s="18">
        <v>3</v>
      </c>
      <c r="F5" s="1">
        <v>1.2996971705592597E-5</v>
      </c>
      <c r="G5" s="1" t="s">
        <v>451</v>
      </c>
      <c r="I5">
        <f t="shared" si="0"/>
        <v>0</v>
      </c>
      <c r="J5">
        <f t="shared" si="2"/>
        <v>0</v>
      </c>
      <c r="K5">
        <f t="shared" si="1"/>
        <v>0</v>
      </c>
      <c r="L5" s="144" t="b">
        <f t="shared" si="3"/>
        <v>0</v>
      </c>
      <c r="M5" s="144">
        <f t="shared" si="4"/>
        <v>0</v>
      </c>
      <c r="N5" s="96" t="s">
        <v>186</v>
      </c>
      <c r="P5" s="80"/>
      <c r="R5" s="48">
        <f>($R$4/P9)*100</f>
        <v>0</v>
      </c>
      <c r="S5" s="48">
        <f>($S$4/P14)*100</f>
        <v>66.666666666666657</v>
      </c>
      <c r="T5" s="48">
        <f>($T$4/P19)*100</f>
        <v>76.923076923076934</v>
      </c>
      <c r="U5" s="48">
        <f>($U$4/P24)*100</f>
        <v>33.333333333333329</v>
      </c>
      <c r="W5" s="48"/>
      <c r="X5" s="48"/>
      <c r="Y5" s="48"/>
      <c r="Z5" s="48"/>
      <c r="AH5" s="38"/>
      <c r="AI5" s="38"/>
      <c r="AJ5" s="38"/>
      <c r="AK5" s="38"/>
    </row>
    <row r="6" spans="1:42" ht="12" customHeight="1">
      <c r="A6" s="1" t="s">
        <v>211</v>
      </c>
      <c r="B6" s="8" t="s">
        <v>204</v>
      </c>
      <c r="C6" s="1">
        <v>1</v>
      </c>
      <c r="D6" s="1">
        <v>0</v>
      </c>
      <c r="E6" s="18">
        <v>2</v>
      </c>
      <c r="F6" s="1">
        <v>8.6646478037283982E-6</v>
      </c>
      <c r="G6" s="1" t="s">
        <v>451</v>
      </c>
      <c r="I6">
        <f t="shared" si="0"/>
        <v>0</v>
      </c>
      <c r="J6">
        <f t="shared" si="2"/>
        <v>0</v>
      </c>
      <c r="K6">
        <f t="shared" si="1"/>
        <v>0</v>
      </c>
      <c r="L6" s="144" t="b">
        <f t="shared" si="3"/>
        <v>0</v>
      </c>
      <c r="M6" s="144">
        <f t="shared" si="4"/>
        <v>0</v>
      </c>
      <c r="N6" s="93"/>
      <c r="O6" s="75">
        <f>COUNTIF($D$2:$D$337,1)</f>
        <v>177</v>
      </c>
      <c r="P6" s="81"/>
      <c r="R6" s="36" t="s">
        <v>367</v>
      </c>
      <c r="S6" s="36" t="s">
        <v>367</v>
      </c>
      <c r="T6" s="36" t="s">
        <v>367</v>
      </c>
      <c r="U6" s="36" t="s">
        <v>367</v>
      </c>
      <c r="W6" s="36"/>
      <c r="X6" s="36"/>
      <c r="Y6" s="36"/>
      <c r="Z6" s="36"/>
      <c r="AH6" s="36"/>
      <c r="AI6" s="36"/>
      <c r="AJ6" s="36"/>
      <c r="AK6" s="36"/>
    </row>
    <row r="7" spans="1:42">
      <c r="A7" s="1" t="s">
        <v>211</v>
      </c>
      <c r="B7" s="8" t="s">
        <v>189</v>
      </c>
      <c r="C7" s="1">
        <v>1</v>
      </c>
      <c r="D7" s="1">
        <v>0</v>
      </c>
      <c r="E7" s="18">
        <v>1</v>
      </c>
      <c r="F7" s="1">
        <v>4.3323239018641991E-6</v>
      </c>
      <c r="G7" s="1" t="s">
        <v>451</v>
      </c>
      <c r="I7">
        <f t="shared" si="0"/>
        <v>0</v>
      </c>
      <c r="J7">
        <f t="shared" si="2"/>
        <v>0</v>
      </c>
      <c r="K7">
        <f t="shared" si="1"/>
        <v>0</v>
      </c>
      <c r="L7" s="144" t="b">
        <f t="shared" si="3"/>
        <v>0</v>
      </c>
      <c r="M7" s="144">
        <f t="shared" si="4"/>
        <v>0</v>
      </c>
      <c r="N7" s="76" t="s">
        <v>302</v>
      </c>
      <c r="O7" s="77">
        <v>1</v>
      </c>
      <c r="P7" s="78"/>
      <c r="R7">
        <f>R3</f>
        <v>1.37083210102121E-5</v>
      </c>
      <c r="S7">
        <f>S3</f>
        <v>1.6275822229645413E-4</v>
      </c>
      <c r="T7">
        <f>T3</f>
        <v>2.5625423706498199E-4</v>
      </c>
      <c r="U7">
        <f>U3</f>
        <v>7.1364761297245842E-5</v>
      </c>
    </row>
    <row r="8" spans="1:42">
      <c r="A8" s="1" t="s">
        <v>211</v>
      </c>
      <c r="B8" s="8" t="s">
        <v>210</v>
      </c>
      <c r="C8" s="1">
        <v>1</v>
      </c>
      <c r="D8" s="1">
        <v>0</v>
      </c>
      <c r="E8" s="18">
        <v>1</v>
      </c>
      <c r="F8" s="1">
        <v>4.3323239018641991E-6</v>
      </c>
      <c r="G8" s="1" t="s">
        <v>451</v>
      </c>
      <c r="H8" s="10"/>
      <c r="I8">
        <f t="shared" si="0"/>
        <v>0</v>
      </c>
      <c r="J8">
        <f t="shared" si="2"/>
        <v>0</v>
      </c>
      <c r="K8">
        <f t="shared" si="1"/>
        <v>0</v>
      </c>
      <c r="L8" s="144" t="b">
        <f t="shared" si="3"/>
        <v>0</v>
      </c>
      <c r="M8" s="144">
        <f t="shared" si="4"/>
        <v>0</v>
      </c>
      <c r="N8" s="79" t="s">
        <v>346</v>
      </c>
      <c r="O8" s="36" t="s">
        <v>185</v>
      </c>
      <c r="P8" s="80" t="s">
        <v>383</v>
      </c>
      <c r="R8" s="48">
        <f>COUNTIFS($D$2:$D$337,"=1",$I$2:$I$337,"=1",$C$2:$C$337,$O$7,$A$2:$A$337,"&lt;&gt;BSV",$E$2:$E$337,"&gt;5")</f>
        <v>22</v>
      </c>
      <c r="S8" s="48">
        <f>COUNTIFS($D$2:$D$337,"=1",$I$2:$I$337,"=1",$C$2:$C$337,$O$12,$A$2:$A$337,"&lt;&gt;BSV",$E$2:$E$337,"&gt;5")</f>
        <v>11</v>
      </c>
      <c r="T8" s="48">
        <f>COUNTIFS($D$2:$D$337,"=1",$I$2:$I$337,"=1",$C$2:$C$337,$O$17,$A$2:$A$337,"&lt;&gt;BSV",$E$2:$E$337,"&gt;5")</f>
        <v>23</v>
      </c>
      <c r="U8" s="48">
        <f>COUNTIFS($D$2:$D$337,"=1",$I$2:$I$337,"=1",$C$2:$C$337,$O$22,$A$2:$A$337,"&lt;&gt;BSV",$E$2:$E$337,"&gt;5")</f>
        <v>64</v>
      </c>
      <c r="W8" s="48"/>
      <c r="X8" s="48"/>
      <c r="Y8" s="48"/>
      <c r="Z8" s="48"/>
      <c r="AH8" s="38"/>
      <c r="AI8" s="38"/>
      <c r="AJ8" s="38"/>
      <c r="AK8" s="38"/>
    </row>
    <row r="9" spans="1:42" ht="13.5" customHeight="1">
      <c r="A9" s="1" t="s">
        <v>211</v>
      </c>
      <c r="B9" s="8" t="s">
        <v>206</v>
      </c>
      <c r="C9" s="1">
        <v>1</v>
      </c>
      <c r="D9" s="1">
        <v>0</v>
      </c>
      <c r="E9" s="18">
        <v>1</v>
      </c>
      <c r="F9" s="1">
        <v>4.3323239018641991E-6</v>
      </c>
      <c r="G9" s="1" t="s">
        <v>451</v>
      </c>
      <c r="H9" s="10"/>
      <c r="I9">
        <f t="shared" si="0"/>
        <v>0</v>
      </c>
      <c r="J9">
        <f t="shared" si="2"/>
        <v>0</v>
      </c>
      <c r="K9">
        <f t="shared" si="1"/>
        <v>0</v>
      </c>
      <c r="L9" s="144" t="b">
        <f t="shared" si="3"/>
        <v>0</v>
      </c>
      <c r="M9" s="144">
        <f t="shared" si="4"/>
        <v>0</v>
      </c>
      <c r="N9" s="79"/>
      <c r="O9">
        <f>COUNTIFS($D$2:$D$337,"=0",$C$2:$C$337,O7,$A$2:$A$337,"&lt;&gt;BSV")</f>
        <v>20</v>
      </c>
      <c r="P9" s="80">
        <f>COUNTIFS($D$2:$D$337,"=0",$C$2:$C$337,O7,$A$2:$A$337,"&lt;&gt;BSV",$E$2:$E$337,"&gt;5")</f>
        <v>6</v>
      </c>
      <c r="R9" s="48">
        <f>($R$8/P11)*100</f>
        <v>100</v>
      </c>
      <c r="S9" s="48">
        <f>($S$8/P16)*100</f>
        <v>100</v>
      </c>
      <c r="T9" s="48">
        <f>($T$8/P21)*100</f>
        <v>100</v>
      </c>
      <c r="U9" s="48">
        <f>($U$8/P26)*100</f>
        <v>98.461538461538467</v>
      </c>
      <c r="W9" s="48"/>
      <c r="X9" s="48"/>
      <c r="Y9" s="48"/>
      <c r="Z9" s="48"/>
      <c r="AH9" s="38"/>
      <c r="AI9" s="38"/>
      <c r="AJ9" s="38"/>
      <c r="AK9" s="38"/>
    </row>
    <row r="10" spans="1:42">
      <c r="A10" s="1" t="s">
        <v>211</v>
      </c>
      <c r="B10" s="8" t="s">
        <v>215</v>
      </c>
      <c r="C10" s="1">
        <v>1</v>
      </c>
      <c r="D10" s="42">
        <v>0</v>
      </c>
      <c r="E10" s="117">
        <v>1</v>
      </c>
      <c r="F10" s="42">
        <v>4.3323239018641991E-6</v>
      </c>
      <c r="G10" s="1" t="s">
        <v>451</v>
      </c>
      <c r="I10">
        <f t="shared" si="0"/>
        <v>0</v>
      </c>
      <c r="J10">
        <f t="shared" si="2"/>
        <v>0</v>
      </c>
      <c r="K10">
        <f t="shared" si="1"/>
        <v>0</v>
      </c>
      <c r="L10" s="144" t="b">
        <f t="shared" si="3"/>
        <v>0</v>
      </c>
      <c r="M10" s="144">
        <f t="shared" si="4"/>
        <v>0</v>
      </c>
      <c r="N10" s="79" t="s">
        <v>359</v>
      </c>
      <c r="O10" s="36" t="s">
        <v>186</v>
      </c>
      <c r="P10" s="80"/>
      <c r="AH10" s="38"/>
    </row>
    <row r="11" spans="1:42" ht="17.25" customHeight="1">
      <c r="A11" s="1" t="s">
        <v>218</v>
      </c>
      <c r="B11" s="8" t="s">
        <v>206</v>
      </c>
      <c r="C11" s="1">
        <v>1</v>
      </c>
      <c r="D11" s="1">
        <v>1</v>
      </c>
      <c r="E11" s="18">
        <v>5139</v>
      </c>
      <c r="F11" s="1">
        <v>1</v>
      </c>
      <c r="G11" s="18" t="s">
        <v>438</v>
      </c>
      <c r="I11">
        <f t="shared" si="0"/>
        <v>1</v>
      </c>
      <c r="J11">
        <f>IF(E11&gt;$R$74,1,0)</f>
        <v>1</v>
      </c>
      <c r="K11">
        <f t="shared" si="1"/>
        <v>0</v>
      </c>
      <c r="L11" s="144" t="b">
        <f t="shared" si="3"/>
        <v>0</v>
      </c>
      <c r="M11" s="144">
        <f t="shared" si="4"/>
        <v>2</v>
      </c>
      <c r="N11" s="93">
        <f>O9+O11</f>
        <v>43</v>
      </c>
      <c r="O11" s="75">
        <f>COUNTIFS($D$2:$D$337,"=1",$C$2:$C$337,O7,$A$2:$A$337,"&lt;&gt;BSV")</f>
        <v>23</v>
      </c>
      <c r="P11" s="81">
        <f>COUNTIFS($D$2:$D$337,"=1",$C$2:$C$337,O7,$A$2:$A$337,"&lt;&gt;BSV",$E$2:$E$337,"&gt;5")</f>
        <v>22</v>
      </c>
      <c r="R11" s="84"/>
      <c r="S11" s="86" t="s">
        <v>357</v>
      </c>
      <c r="T11" s="86" t="s">
        <v>353</v>
      </c>
      <c r="U11" s="127" t="s">
        <v>364</v>
      </c>
      <c r="V11" s="86" t="s">
        <v>365</v>
      </c>
      <c r="W11" s="84"/>
      <c r="X11" s="102" t="s">
        <v>362</v>
      </c>
      <c r="Y11" s="103" t="s">
        <v>363</v>
      </c>
      <c r="AH11" s="36"/>
      <c r="AI11" s="36"/>
      <c r="AJ11" s="36"/>
      <c r="AK11" s="36"/>
    </row>
    <row r="12" spans="1:42" ht="17.25" customHeight="1">
      <c r="A12" s="1" t="s">
        <v>218</v>
      </c>
      <c r="B12" s="8" t="s">
        <v>201</v>
      </c>
      <c r="C12" s="1">
        <v>1</v>
      </c>
      <c r="D12" s="1">
        <v>1</v>
      </c>
      <c r="E12" s="18">
        <v>3593</v>
      </c>
      <c r="F12" s="1">
        <v>0.69916326133489004</v>
      </c>
      <c r="G12" s="1">
        <v>0.54</v>
      </c>
      <c r="I12">
        <f t="shared" si="0"/>
        <v>1</v>
      </c>
      <c r="J12">
        <f t="shared" si="2"/>
        <v>1</v>
      </c>
      <c r="K12">
        <f t="shared" si="1"/>
        <v>1</v>
      </c>
      <c r="L12" s="144" t="b">
        <f t="shared" si="3"/>
        <v>1</v>
      </c>
      <c r="M12" s="144">
        <f t="shared" si="4"/>
        <v>3</v>
      </c>
      <c r="N12" s="76" t="s">
        <v>302</v>
      </c>
      <c r="O12" s="77">
        <v>2</v>
      </c>
      <c r="P12" s="78"/>
      <c r="Q12" s="91"/>
      <c r="R12" s="85" t="s">
        <v>303</v>
      </c>
      <c r="S12" s="83">
        <v>1.37083210102121E-5</v>
      </c>
      <c r="T12" s="84">
        <v>2.7416642020424254E-5</v>
      </c>
      <c r="U12" s="84">
        <v>2.7416642020424255E-4</v>
      </c>
      <c r="V12" s="84">
        <v>2.7416642020424253E-3</v>
      </c>
      <c r="W12" s="84">
        <v>0.1</v>
      </c>
      <c r="X12" s="104"/>
      <c r="Y12" s="103"/>
      <c r="AO12" s="16"/>
    </row>
    <row r="13" spans="1:42">
      <c r="A13" s="1" t="s">
        <v>218</v>
      </c>
      <c r="B13" s="8" t="s">
        <v>208</v>
      </c>
      <c r="C13" s="1">
        <v>1</v>
      </c>
      <c r="D13" s="1">
        <v>1</v>
      </c>
      <c r="E13" s="18">
        <v>1149</v>
      </c>
      <c r="F13" s="1">
        <v>0.22358435493286632</v>
      </c>
      <c r="G13" s="18">
        <v>0</v>
      </c>
      <c r="I13">
        <f t="shared" si="0"/>
        <v>1</v>
      </c>
      <c r="J13">
        <f t="shared" si="2"/>
        <v>1</v>
      </c>
      <c r="K13">
        <f t="shared" si="1"/>
        <v>1</v>
      </c>
      <c r="L13" s="144" t="b">
        <f t="shared" si="3"/>
        <v>1</v>
      </c>
      <c r="M13" s="144">
        <f t="shared" si="4"/>
        <v>3</v>
      </c>
      <c r="N13" s="79" t="s">
        <v>346</v>
      </c>
      <c r="O13" s="36" t="s">
        <v>185</v>
      </c>
      <c r="P13" s="80" t="s">
        <v>383</v>
      </c>
      <c r="R13" s="86" t="s">
        <v>379</v>
      </c>
      <c r="S13" s="89">
        <v>0</v>
      </c>
      <c r="T13" s="89">
        <v>4</v>
      </c>
      <c r="U13" s="89">
        <v>6</v>
      </c>
      <c r="V13" s="89">
        <v>6</v>
      </c>
      <c r="W13" s="89">
        <v>6</v>
      </c>
      <c r="X13" s="104"/>
      <c r="Y13" s="103"/>
      <c r="AH13" s="38"/>
      <c r="AI13" s="38"/>
      <c r="AJ13" s="38"/>
      <c r="AK13" s="38"/>
    </row>
    <row r="14" spans="1:42" ht="15.75" customHeight="1">
      <c r="A14" s="1" t="s">
        <v>218</v>
      </c>
      <c r="B14" s="8" t="s">
        <v>190</v>
      </c>
      <c r="C14" s="1">
        <v>1</v>
      </c>
      <c r="D14" s="1">
        <v>1</v>
      </c>
      <c r="E14" s="18">
        <v>800</v>
      </c>
      <c r="F14" s="1">
        <v>0.15567230978789648</v>
      </c>
      <c r="G14" s="18">
        <v>0</v>
      </c>
      <c r="I14">
        <f t="shared" si="0"/>
        <v>1</v>
      </c>
      <c r="J14">
        <f t="shared" si="2"/>
        <v>1</v>
      </c>
      <c r="K14">
        <f t="shared" si="1"/>
        <v>1</v>
      </c>
      <c r="L14" s="144" t="b">
        <f t="shared" si="3"/>
        <v>1</v>
      </c>
      <c r="M14" s="144">
        <f t="shared" si="4"/>
        <v>3</v>
      </c>
      <c r="N14" s="79"/>
      <c r="O14">
        <f>COUNTIFS($D$2:$D$337,"=0",$C$2:$C$337,O12,$A$2:$A$337,"&lt;&gt;BSV")</f>
        <v>32</v>
      </c>
      <c r="P14" s="80">
        <f>COUNTIFS($D$2:$D$337,"=0",$C$2:$C$337,O12,$A$2:$A$337,"&lt;&gt;BSV",$E$2:$E$337,"&gt;5")</f>
        <v>21</v>
      </c>
      <c r="R14" s="86" t="s">
        <v>380</v>
      </c>
      <c r="S14" s="84">
        <v>0</v>
      </c>
      <c r="T14" s="84">
        <v>66.666666666666657</v>
      </c>
      <c r="U14" s="84">
        <v>100</v>
      </c>
      <c r="V14" s="84">
        <v>100</v>
      </c>
      <c r="W14" s="84">
        <v>100</v>
      </c>
      <c r="X14" s="104"/>
      <c r="Y14" s="103"/>
      <c r="AH14" s="38"/>
      <c r="AI14" s="38"/>
      <c r="AJ14" s="38"/>
      <c r="AK14" s="38"/>
      <c r="AO14" s="16"/>
    </row>
    <row r="15" spans="1:42" ht="15.75" customHeight="1">
      <c r="A15" s="1" t="s">
        <v>218</v>
      </c>
      <c r="B15" s="8" t="s">
        <v>207</v>
      </c>
      <c r="C15" s="1">
        <v>1</v>
      </c>
      <c r="D15" s="1">
        <v>1</v>
      </c>
      <c r="E15" s="18">
        <v>774</v>
      </c>
      <c r="F15" s="1">
        <v>0.15061295971978983</v>
      </c>
      <c r="G15" s="18">
        <v>0</v>
      </c>
      <c r="I15">
        <f t="shared" si="0"/>
        <v>1</v>
      </c>
      <c r="J15">
        <f t="shared" si="2"/>
        <v>1</v>
      </c>
      <c r="K15">
        <f t="shared" si="1"/>
        <v>1</v>
      </c>
      <c r="L15" s="144" t="b">
        <f t="shared" si="3"/>
        <v>1</v>
      </c>
      <c r="M15" s="144">
        <f t="shared" si="4"/>
        <v>3</v>
      </c>
      <c r="N15" s="79"/>
      <c r="O15" s="36" t="s">
        <v>186</v>
      </c>
      <c r="P15" s="80"/>
      <c r="R15" s="86" t="s">
        <v>355</v>
      </c>
      <c r="S15" s="88">
        <f>$P$9-S13</f>
        <v>6</v>
      </c>
      <c r="T15" s="88">
        <f>$P$9-T13</f>
        <v>2</v>
      </c>
      <c r="U15" s="88">
        <f>$P$9-U13</f>
        <v>0</v>
      </c>
      <c r="V15" s="88">
        <f>$P$9-V13</f>
        <v>0</v>
      </c>
      <c r="W15" s="88">
        <f>$P$9-W13</f>
        <v>0</v>
      </c>
      <c r="X15" s="104">
        <f>O9-P9</f>
        <v>14</v>
      </c>
      <c r="Y15" s="103"/>
      <c r="AH15" s="36"/>
      <c r="AI15" s="36"/>
      <c r="AJ15" s="36"/>
      <c r="AK15" s="36"/>
      <c r="AO15" s="16"/>
    </row>
    <row r="16" spans="1:42" ht="12" customHeight="1">
      <c r="A16" s="1" t="s">
        <v>218</v>
      </c>
      <c r="B16" s="8" t="s">
        <v>210</v>
      </c>
      <c r="C16" s="1">
        <v>1</v>
      </c>
      <c r="D16" s="1">
        <v>1</v>
      </c>
      <c r="E16" s="18">
        <v>720</v>
      </c>
      <c r="F16" s="1">
        <v>0.14010507880910683</v>
      </c>
      <c r="G16" s="18">
        <v>0</v>
      </c>
      <c r="I16">
        <f t="shared" si="0"/>
        <v>1</v>
      </c>
      <c r="J16">
        <f t="shared" si="2"/>
        <v>1</v>
      </c>
      <c r="K16">
        <f t="shared" si="1"/>
        <v>1</v>
      </c>
      <c r="L16" s="144" t="b">
        <f t="shared" si="3"/>
        <v>1</v>
      </c>
      <c r="M16" s="144">
        <f t="shared" si="4"/>
        <v>3</v>
      </c>
      <c r="N16" s="93">
        <f>O14+O16</f>
        <v>44</v>
      </c>
      <c r="O16" s="75">
        <f>COUNTIFS($D$2:$D$337,"=1",$C$2:$C$337,O12,$A$2:$A$337,"&lt;&gt;BSV")</f>
        <v>12</v>
      </c>
      <c r="P16" s="81">
        <f>COUNTIFS($D$2:$D$337,"=1",$C$2:$C$337,O12,$A$2:$A$337,"&lt;&gt;BSV",$E$2:$E$337,"&gt;5")</f>
        <v>11</v>
      </c>
      <c r="R16" s="86" t="s">
        <v>381</v>
      </c>
      <c r="S16" s="90">
        <v>22</v>
      </c>
      <c r="T16" s="90">
        <v>22</v>
      </c>
      <c r="U16" s="90">
        <v>22</v>
      </c>
      <c r="V16" s="90">
        <v>21</v>
      </c>
      <c r="W16" s="89">
        <v>17</v>
      </c>
      <c r="X16" s="104"/>
      <c r="Y16" s="103"/>
    </row>
    <row r="17" spans="1:41" ht="17.25" customHeight="1">
      <c r="A17" s="1" t="s">
        <v>218</v>
      </c>
      <c r="B17" s="8" t="s">
        <v>209</v>
      </c>
      <c r="C17" s="1">
        <v>1</v>
      </c>
      <c r="D17" s="1">
        <v>1</v>
      </c>
      <c r="E17" s="18">
        <v>396</v>
      </c>
      <c r="F17" s="1">
        <v>7.7057793345008757E-2</v>
      </c>
      <c r="G17" s="18">
        <v>0</v>
      </c>
      <c r="H17" t="s">
        <v>446</v>
      </c>
      <c r="I17">
        <f t="shared" si="0"/>
        <v>1</v>
      </c>
      <c r="J17">
        <f t="shared" si="2"/>
        <v>1</v>
      </c>
      <c r="K17">
        <f t="shared" si="1"/>
        <v>1</v>
      </c>
      <c r="L17" s="144" t="b">
        <f t="shared" si="3"/>
        <v>1</v>
      </c>
      <c r="M17" s="144">
        <f t="shared" si="4"/>
        <v>3</v>
      </c>
      <c r="N17" s="76" t="s">
        <v>302</v>
      </c>
      <c r="O17" s="77">
        <v>3</v>
      </c>
      <c r="P17" s="78"/>
      <c r="R17" s="86" t="s">
        <v>382</v>
      </c>
      <c r="S17" s="87">
        <v>100</v>
      </c>
      <c r="T17" s="87">
        <v>100</v>
      </c>
      <c r="U17" s="87">
        <v>100</v>
      </c>
      <c r="V17" s="87">
        <v>95.454545454545453</v>
      </c>
      <c r="W17" s="84">
        <v>77.272727272727266</v>
      </c>
      <c r="X17" s="104"/>
      <c r="Y17" s="103"/>
      <c r="AH17" s="38"/>
      <c r="AI17" s="38"/>
      <c r="AJ17" s="38"/>
      <c r="AK17" s="38"/>
      <c r="AO17" s="16"/>
    </row>
    <row r="18" spans="1:41" ht="14.25" customHeight="1">
      <c r="A18" s="1" t="s">
        <v>218</v>
      </c>
      <c r="B18" s="130" t="s">
        <v>196</v>
      </c>
      <c r="C18" s="131">
        <v>1</v>
      </c>
      <c r="D18" s="1">
        <v>1</v>
      </c>
      <c r="E18" s="18">
        <v>4</v>
      </c>
      <c r="F18" s="1">
        <v>7.7836154893948239E-4</v>
      </c>
      <c r="G18" s="1" t="s">
        <v>451</v>
      </c>
      <c r="I18">
        <f t="shared" si="0"/>
        <v>1</v>
      </c>
      <c r="J18">
        <f t="shared" si="2"/>
        <v>0</v>
      </c>
      <c r="K18">
        <f t="shared" si="1"/>
        <v>0</v>
      </c>
      <c r="L18" s="144" t="b">
        <f t="shared" si="3"/>
        <v>0</v>
      </c>
      <c r="M18" s="144">
        <f t="shared" si="4"/>
        <v>1</v>
      </c>
      <c r="N18" s="79" t="s">
        <v>346</v>
      </c>
      <c r="O18" s="36" t="s">
        <v>185</v>
      </c>
      <c r="P18" s="80" t="s">
        <v>383</v>
      </c>
      <c r="R18" s="86" t="s">
        <v>356</v>
      </c>
      <c r="S18" s="88">
        <f>$P$11-S16</f>
        <v>0</v>
      </c>
      <c r="T18" s="88">
        <f>$P$11-T16</f>
        <v>0</v>
      </c>
      <c r="U18" s="88">
        <f>$P$11-U16</f>
        <v>0</v>
      </c>
      <c r="V18" s="88">
        <f>$P$11-V16</f>
        <v>1</v>
      </c>
      <c r="W18" s="88">
        <f>$P$11-W16</f>
        <v>5</v>
      </c>
      <c r="X18" s="104">
        <f>O11-P11</f>
        <v>1</v>
      </c>
      <c r="Y18" s="103"/>
      <c r="AH18" s="38"/>
      <c r="AI18" s="38"/>
      <c r="AJ18" s="38"/>
      <c r="AK18" s="38"/>
    </row>
    <row r="19" spans="1:41" ht="18.75" customHeight="1" thickBot="1">
      <c r="A19" s="1" t="s">
        <v>218</v>
      </c>
      <c r="B19" s="8" t="s">
        <v>189</v>
      </c>
      <c r="C19" s="1">
        <v>1</v>
      </c>
      <c r="D19" s="1">
        <v>0</v>
      </c>
      <c r="E19" s="18">
        <v>1</v>
      </c>
      <c r="F19" s="1">
        <v>1.945903872348706E-4</v>
      </c>
      <c r="G19" s="1" t="s">
        <v>451</v>
      </c>
      <c r="I19">
        <f t="shared" si="0"/>
        <v>1</v>
      </c>
      <c r="J19">
        <f t="shared" si="2"/>
        <v>0</v>
      </c>
      <c r="K19">
        <f t="shared" si="1"/>
        <v>0</v>
      </c>
      <c r="L19" s="144" t="b">
        <f t="shared" si="3"/>
        <v>0</v>
      </c>
      <c r="M19" s="144">
        <f t="shared" si="4"/>
        <v>1</v>
      </c>
      <c r="N19" s="79"/>
      <c r="O19">
        <f>COUNTIFS($D$2:$D$337,"=0",$C$2:$C$337,O17,$A$2:$A$337,"&lt;&gt;BSV")</f>
        <v>43</v>
      </c>
      <c r="P19" s="80">
        <f>COUNTIFS($D$2:$D$337,"=0",$C$2:$C$337,O17,$A$2:$A$337,"&lt;&gt;BSV",$E$2:$E$337,"&gt;5")</f>
        <v>13</v>
      </c>
      <c r="Q19" s="106"/>
      <c r="R19" s="105" t="s">
        <v>358</v>
      </c>
      <c r="S19" s="106">
        <f>S15+S18</f>
        <v>6</v>
      </c>
      <c r="T19" s="106">
        <f t="shared" ref="T19:W19" si="5">T15+T18</f>
        <v>2</v>
      </c>
      <c r="U19" s="109">
        <f t="shared" si="5"/>
        <v>0</v>
      </c>
      <c r="V19" s="106">
        <f t="shared" si="5"/>
        <v>1</v>
      </c>
      <c r="W19" s="106">
        <f t="shared" si="5"/>
        <v>5</v>
      </c>
      <c r="X19" s="107">
        <f>X15+X18</f>
        <v>15</v>
      </c>
      <c r="Y19" s="108">
        <f>P11+P9-T19</f>
        <v>26</v>
      </c>
      <c r="Z19" s="120">
        <f>X19+Y19</f>
        <v>41</v>
      </c>
    </row>
    <row r="20" spans="1:41" ht="16.5" customHeight="1">
      <c r="A20" s="1" t="s">
        <v>218</v>
      </c>
      <c r="B20" s="8" t="s">
        <v>197</v>
      </c>
      <c r="C20" s="1">
        <v>1</v>
      </c>
      <c r="D20" s="1">
        <v>0</v>
      </c>
      <c r="E20" s="18">
        <v>1</v>
      </c>
      <c r="F20" s="1">
        <v>1.945903872348706E-4</v>
      </c>
      <c r="G20" s="1" t="s">
        <v>451</v>
      </c>
      <c r="I20">
        <f>IF(F20&gt;$R$3,1,0)</f>
        <v>1</v>
      </c>
      <c r="J20">
        <f t="shared" si="2"/>
        <v>0</v>
      </c>
      <c r="K20">
        <f t="shared" si="1"/>
        <v>0</v>
      </c>
      <c r="L20" s="144" t="b">
        <f t="shared" si="3"/>
        <v>0</v>
      </c>
      <c r="M20" s="144">
        <f t="shared" si="4"/>
        <v>1</v>
      </c>
      <c r="N20" s="79"/>
      <c r="O20" s="36" t="s">
        <v>186</v>
      </c>
      <c r="P20" s="80"/>
      <c r="R20" s="101"/>
      <c r="S20" s="99" t="s">
        <v>357</v>
      </c>
      <c r="T20" s="100" t="s">
        <v>353</v>
      </c>
      <c r="U20" s="36" t="s">
        <v>364</v>
      </c>
      <c r="V20" s="99" t="s">
        <v>365</v>
      </c>
      <c r="W20" s="101"/>
      <c r="X20" s="101"/>
      <c r="Y20" s="101"/>
      <c r="Z20" s="102" t="s">
        <v>362</v>
      </c>
      <c r="AA20" s="103" t="s">
        <v>363</v>
      </c>
      <c r="AH20" s="36"/>
      <c r="AI20" s="36"/>
      <c r="AJ20" s="36"/>
      <c r="AK20" s="36"/>
    </row>
    <row r="21" spans="1:41" ht="13.5" customHeight="1">
      <c r="A21" s="1" t="s">
        <v>218</v>
      </c>
      <c r="B21" s="8" t="s">
        <v>202</v>
      </c>
      <c r="C21" s="1">
        <v>1</v>
      </c>
      <c r="D21" s="1">
        <v>0</v>
      </c>
      <c r="E21" s="18">
        <v>1</v>
      </c>
      <c r="F21" s="1">
        <v>1.945903872348706E-4</v>
      </c>
      <c r="G21" s="1" t="s">
        <v>451</v>
      </c>
      <c r="I21">
        <f t="shared" si="0"/>
        <v>1</v>
      </c>
      <c r="J21">
        <f t="shared" si="2"/>
        <v>0</v>
      </c>
      <c r="K21">
        <f t="shared" si="1"/>
        <v>0</v>
      </c>
      <c r="L21" s="144" t="b">
        <f t="shared" si="3"/>
        <v>0</v>
      </c>
      <c r="M21" s="144">
        <f t="shared" si="4"/>
        <v>1</v>
      </c>
      <c r="N21" s="93">
        <f>O19+O21</f>
        <v>66</v>
      </c>
      <c r="O21" s="75">
        <f>COUNTIFS($D$2:$D$337,"=1",$C$2:$C$337,O17,$A$2:$A$337,"&lt;&gt;BSV")</f>
        <v>23</v>
      </c>
      <c r="P21" s="81">
        <f>COUNTIFS($D$2:$D$337,"=1",$C$2:$C$337,O17,$A$2:$A$337,"&lt;&gt;BSV",$E$2:$E$337,"&gt;5")</f>
        <v>23</v>
      </c>
      <c r="R21" s="85" t="s">
        <v>304</v>
      </c>
      <c r="S21" s="84">
        <v>1.6275822229645413E-4</v>
      </c>
      <c r="T21" s="84">
        <v>3.2551644459290826E-4</v>
      </c>
      <c r="U21" s="84">
        <v>3.2551644459290823E-3</v>
      </c>
      <c r="V21" s="84">
        <v>3.2551644459290825E-2</v>
      </c>
      <c r="W21" s="84">
        <v>0.1</v>
      </c>
      <c r="X21" s="84">
        <v>0.2</v>
      </c>
      <c r="Y21" s="84">
        <v>0.5</v>
      </c>
      <c r="Z21" s="104"/>
      <c r="AA21" s="103"/>
      <c r="AO21" s="16"/>
    </row>
    <row r="22" spans="1:41" ht="18" customHeight="1">
      <c r="A22" s="1" t="s">
        <v>217</v>
      </c>
      <c r="B22" s="8" t="s">
        <v>207</v>
      </c>
      <c r="C22" s="1">
        <v>1</v>
      </c>
      <c r="D22" s="1">
        <v>1</v>
      </c>
      <c r="E22" s="18">
        <v>257855</v>
      </c>
      <c r="F22" s="1">
        <v>1</v>
      </c>
      <c r="G22" s="18" t="s">
        <v>439</v>
      </c>
      <c r="I22">
        <f>IF(F22&gt;$R$3,1,0)</f>
        <v>1</v>
      </c>
      <c r="J22">
        <f t="shared" si="2"/>
        <v>1</v>
      </c>
      <c r="K22">
        <f t="shared" si="1"/>
        <v>0</v>
      </c>
      <c r="L22" s="144" t="b">
        <f t="shared" si="3"/>
        <v>0</v>
      </c>
      <c r="M22" s="144">
        <f t="shared" si="4"/>
        <v>2</v>
      </c>
      <c r="N22" s="76" t="s">
        <v>302</v>
      </c>
      <c r="O22" s="77">
        <v>4</v>
      </c>
      <c r="P22" s="78"/>
      <c r="R22" s="86" t="s">
        <v>379</v>
      </c>
      <c r="S22" s="89">
        <v>14</v>
      </c>
      <c r="T22" s="89">
        <v>16</v>
      </c>
      <c r="U22" s="89">
        <v>16</v>
      </c>
      <c r="V22" s="89">
        <v>18</v>
      </c>
      <c r="W22" s="89">
        <v>19</v>
      </c>
      <c r="X22" s="89">
        <v>20</v>
      </c>
      <c r="Y22" s="89">
        <v>20</v>
      </c>
      <c r="Z22" s="104"/>
      <c r="AA22" s="103"/>
      <c r="AH22" s="38"/>
      <c r="AI22" s="38"/>
      <c r="AJ22" s="38"/>
      <c r="AK22" s="38"/>
    </row>
    <row r="23" spans="1:41" ht="15.75" customHeight="1">
      <c r="A23" s="1" t="s">
        <v>217</v>
      </c>
      <c r="B23" s="8" t="s">
        <v>209</v>
      </c>
      <c r="C23" s="1">
        <v>1</v>
      </c>
      <c r="D23" s="1">
        <v>1</v>
      </c>
      <c r="E23" s="18">
        <v>223663</v>
      </c>
      <c r="F23" s="1">
        <v>0.86739834403055982</v>
      </c>
      <c r="G23" s="1">
        <v>22.63</v>
      </c>
      <c r="I23">
        <f t="shared" si="0"/>
        <v>1</v>
      </c>
      <c r="J23">
        <f t="shared" si="2"/>
        <v>1</v>
      </c>
      <c r="K23">
        <f t="shared" si="1"/>
        <v>1</v>
      </c>
      <c r="L23" s="144" t="b">
        <f t="shared" si="3"/>
        <v>1</v>
      </c>
      <c r="M23" s="144">
        <f t="shared" si="4"/>
        <v>3</v>
      </c>
      <c r="N23" s="79" t="s">
        <v>346</v>
      </c>
      <c r="O23" s="36" t="s">
        <v>185</v>
      </c>
      <c r="P23" s="80" t="s">
        <v>383</v>
      </c>
      <c r="R23" s="86" t="s">
        <v>380</v>
      </c>
      <c r="S23" s="84">
        <v>66.666666666666657</v>
      </c>
      <c r="T23" s="84">
        <v>80</v>
      </c>
      <c r="U23" s="84">
        <v>80</v>
      </c>
      <c r="V23" s="84">
        <v>90</v>
      </c>
      <c r="W23" s="84">
        <v>95</v>
      </c>
      <c r="X23" s="84">
        <v>100</v>
      </c>
      <c r="Y23" s="84">
        <v>100</v>
      </c>
      <c r="Z23" s="104"/>
      <c r="AA23" s="103"/>
      <c r="AH23" s="38"/>
      <c r="AI23" s="38"/>
      <c r="AJ23" s="38"/>
      <c r="AK23" s="38"/>
    </row>
    <row r="24" spans="1:41" ht="16.5" customHeight="1">
      <c r="A24" s="1" t="s">
        <v>217</v>
      </c>
      <c r="B24" s="8" t="s">
        <v>208</v>
      </c>
      <c r="C24" s="1">
        <v>1</v>
      </c>
      <c r="D24" s="1">
        <v>1</v>
      </c>
      <c r="E24" s="18">
        <v>83835</v>
      </c>
      <c r="F24" s="1">
        <v>0.32512458552287138</v>
      </c>
      <c r="G24" s="1">
        <v>91.63</v>
      </c>
      <c r="I24">
        <f t="shared" si="0"/>
        <v>1</v>
      </c>
      <c r="J24">
        <f t="shared" si="2"/>
        <v>1</v>
      </c>
      <c r="K24">
        <f t="shared" si="1"/>
        <v>0</v>
      </c>
      <c r="L24" s="144" t="b">
        <f t="shared" si="3"/>
        <v>1</v>
      </c>
      <c r="M24" s="144">
        <f t="shared" si="4"/>
        <v>2</v>
      </c>
      <c r="N24" s="79"/>
      <c r="O24">
        <f>COUNTIFS($D$2:$D$337,"=0",$C$2:$C$337,O22,$A$2:$A$337,"&lt;&gt;BSV")</f>
        <v>18</v>
      </c>
      <c r="P24" s="80">
        <f>COUNTIFS($D$2:$D$337,"=0",$C$2:$C$337,O22,$A$2:$A$337,"&lt;&gt;BSV",$E$2:$E$337,"&gt;5")</f>
        <v>9</v>
      </c>
      <c r="R24" s="86" t="s">
        <v>355</v>
      </c>
      <c r="S24" s="88">
        <f t="shared" ref="S24:Y24" si="6">$P$14-S22</f>
        <v>7</v>
      </c>
      <c r="T24" s="88">
        <f t="shared" si="6"/>
        <v>5</v>
      </c>
      <c r="U24" s="88">
        <f t="shared" si="6"/>
        <v>5</v>
      </c>
      <c r="V24" s="88">
        <f t="shared" si="6"/>
        <v>3</v>
      </c>
      <c r="W24" s="88">
        <f t="shared" si="6"/>
        <v>2</v>
      </c>
      <c r="X24" s="88">
        <f t="shared" si="6"/>
        <v>1</v>
      </c>
      <c r="Y24" s="88">
        <f t="shared" si="6"/>
        <v>1</v>
      </c>
      <c r="Z24" s="104">
        <f>O14-P14</f>
        <v>11</v>
      </c>
      <c r="AA24" s="103"/>
      <c r="AH24" s="36"/>
      <c r="AI24" s="36"/>
      <c r="AJ24" s="36"/>
      <c r="AK24" s="36"/>
    </row>
    <row r="25" spans="1:41" ht="18" customHeight="1">
      <c r="A25" s="1" t="s">
        <v>217</v>
      </c>
      <c r="B25" s="8" t="s">
        <v>196</v>
      </c>
      <c r="C25" s="1">
        <v>1</v>
      </c>
      <c r="D25" s="1">
        <v>1</v>
      </c>
      <c r="E25" s="18">
        <v>520</v>
      </c>
      <c r="F25" s="1">
        <v>2.0166372573733301E-3</v>
      </c>
      <c r="G25" s="1">
        <v>86.86</v>
      </c>
      <c r="I25">
        <f t="shared" si="0"/>
        <v>1</v>
      </c>
      <c r="J25">
        <f t="shared" si="2"/>
        <v>1</v>
      </c>
      <c r="K25">
        <f t="shared" si="1"/>
        <v>0</v>
      </c>
      <c r="L25" s="144" t="b">
        <f t="shared" si="3"/>
        <v>1</v>
      </c>
      <c r="M25" s="144">
        <f t="shared" si="4"/>
        <v>2</v>
      </c>
      <c r="N25" s="79"/>
      <c r="O25" s="36" t="s">
        <v>186</v>
      </c>
      <c r="P25" s="80"/>
      <c r="R25" s="86" t="s">
        <v>381</v>
      </c>
      <c r="S25" s="89">
        <v>12</v>
      </c>
      <c r="T25" s="89">
        <v>12</v>
      </c>
      <c r="U25" s="89">
        <v>11</v>
      </c>
      <c r="V25" s="89">
        <v>8</v>
      </c>
      <c r="W25" s="89">
        <v>7</v>
      </c>
      <c r="X25" s="89">
        <v>7</v>
      </c>
      <c r="Y25" s="89">
        <v>6</v>
      </c>
      <c r="Z25" s="104"/>
      <c r="AA25" s="103"/>
    </row>
    <row r="26" spans="1:41" ht="14.25" customHeight="1">
      <c r="A26" s="1" t="s">
        <v>219</v>
      </c>
      <c r="B26" s="8" t="s">
        <v>208</v>
      </c>
      <c r="C26" s="1">
        <v>1</v>
      </c>
      <c r="D26" s="1">
        <v>1</v>
      </c>
      <c r="E26" s="18">
        <v>154</v>
      </c>
      <c r="F26" s="1">
        <v>1</v>
      </c>
      <c r="G26" s="18" t="s">
        <v>439</v>
      </c>
      <c r="I26">
        <f t="shared" si="0"/>
        <v>1</v>
      </c>
      <c r="J26">
        <f t="shared" si="2"/>
        <v>0</v>
      </c>
      <c r="K26">
        <f t="shared" si="1"/>
        <v>0</v>
      </c>
      <c r="L26" s="144" t="b">
        <f t="shared" si="3"/>
        <v>0</v>
      </c>
      <c r="M26" s="144">
        <f t="shared" si="4"/>
        <v>1</v>
      </c>
      <c r="N26" s="93">
        <f>O24+O26</f>
        <v>95</v>
      </c>
      <c r="O26" s="75">
        <f>COUNTIFS($D$2:$D$337,"=1",$C$2:$C$337,O22,$A$2:$A$337,"&lt;&gt;BSV")</f>
        <v>77</v>
      </c>
      <c r="P26" s="81">
        <f>COUNTIFS($D$2:$D$337,"=1",$C$2:$C$337,O22,$A$2:$A$337,"&lt;&gt;BSV",$E$2:$E$337,"&gt;5")</f>
        <v>65</v>
      </c>
      <c r="R26" s="86" t="s">
        <v>382</v>
      </c>
      <c r="S26" s="84">
        <v>100</v>
      </c>
      <c r="T26" s="84">
        <v>100</v>
      </c>
      <c r="U26" s="84">
        <v>91.666666666666657</v>
      </c>
      <c r="V26" s="84">
        <v>66.666666666666657</v>
      </c>
      <c r="W26" s="84">
        <v>58.333333333333336</v>
      </c>
      <c r="X26" s="84">
        <v>58.333333333333336</v>
      </c>
      <c r="Y26" s="84">
        <v>50</v>
      </c>
      <c r="Z26" s="104"/>
      <c r="AA26" s="103"/>
      <c r="AH26" s="38"/>
      <c r="AI26" s="38"/>
      <c r="AJ26" s="38"/>
      <c r="AK26" s="38"/>
      <c r="AO26" s="16"/>
    </row>
    <row r="27" spans="1:41" ht="15.75" customHeight="1">
      <c r="A27" s="1" t="s">
        <v>219</v>
      </c>
      <c r="B27" s="8" t="s">
        <v>209</v>
      </c>
      <c r="C27" s="1">
        <v>1</v>
      </c>
      <c r="D27" s="1">
        <v>1</v>
      </c>
      <c r="E27" s="18">
        <v>46</v>
      </c>
      <c r="F27" s="1">
        <v>0.29870129870129869</v>
      </c>
      <c r="G27" s="1">
        <v>17.64</v>
      </c>
      <c r="I27">
        <f t="shared" si="0"/>
        <v>1</v>
      </c>
      <c r="J27">
        <f t="shared" si="2"/>
        <v>0</v>
      </c>
      <c r="K27">
        <f t="shared" si="1"/>
        <v>1</v>
      </c>
      <c r="L27" s="144" t="b">
        <f t="shared" si="3"/>
        <v>1</v>
      </c>
      <c r="M27" s="144">
        <f t="shared" si="4"/>
        <v>2</v>
      </c>
      <c r="N27" s="79"/>
      <c r="O27" s="36"/>
      <c r="P27" s="80"/>
      <c r="R27" s="86" t="s">
        <v>356</v>
      </c>
      <c r="S27" s="88">
        <f t="shared" ref="S27:Y27" si="7">$P$16-S25</f>
        <v>-1</v>
      </c>
      <c r="T27" s="88">
        <f t="shared" si="7"/>
        <v>-1</v>
      </c>
      <c r="U27" s="88">
        <f t="shared" si="7"/>
        <v>0</v>
      </c>
      <c r="V27" s="88">
        <f t="shared" si="7"/>
        <v>3</v>
      </c>
      <c r="W27" s="88">
        <f t="shared" si="7"/>
        <v>4</v>
      </c>
      <c r="X27" s="88">
        <f t="shared" si="7"/>
        <v>4</v>
      </c>
      <c r="Y27" s="88">
        <f t="shared" si="7"/>
        <v>5</v>
      </c>
      <c r="Z27" s="104">
        <f>O16-P16</f>
        <v>1</v>
      </c>
      <c r="AA27" s="103"/>
      <c r="AH27" s="38"/>
      <c r="AI27" s="38"/>
      <c r="AJ27" s="38"/>
      <c r="AK27" s="38"/>
    </row>
    <row r="28" spans="1:41" ht="15" customHeight="1" thickBot="1">
      <c r="A28" s="1" t="s">
        <v>219</v>
      </c>
      <c r="B28" s="8" t="s">
        <v>207</v>
      </c>
      <c r="C28" s="1">
        <v>1</v>
      </c>
      <c r="D28" s="1">
        <v>1</v>
      </c>
      <c r="E28" s="18">
        <v>39</v>
      </c>
      <c r="F28" s="1">
        <v>0.25324675324675322</v>
      </c>
      <c r="G28" s="1">
        <v>20.69</v>
      </c>
      <c r="I28">
        <f t="shared" si="0"/>
        <v>1</v>
      </c>
      <c r="J28">
        <f t="shared" si="2"/>
        <v>0</v>
      </c>
      <c r="K28">
        <f t="shared" si="1"/>
        <v>1</v>
      </c>
      <c r="L28" s="144" t="b">
        <f t="shared" si="3"/>
        <v>1</v>
      </c>
      <c r="M28" s="144">
        <f t="shared" si="4"/>
        <v>2</v>
      </c>
      <c r="Q28" s="106"/>
      <c r="R28" s="105" t="s">
        <v>358</v>
      </c>
      <c r="S28" s="106">
        <f>S24+S27</f>
        <v>6</v>
      </c>
      <c r="T28" s="115">
        <f t="shared" ref="T28:Y28" si="8">T24+T27</f>
        <v>4</v>
      </c>
      <c r="U28" s="106">
        <f t="shared" si="8"/>
        <v>5</v>
      </c>
      <c r="V28" s="106">
        <f t="shared" si="8"/>
        <v>6</v>
      </c>
      <c r="W28" s="106">
        <f t="shared" si="8"/>
        <v>6</v>
      </c>
      <c r="X28" s="106">
        <f t="shared" si="8"/>
        <v>5</v>
      </c>
      <c r="Y28" s="106">
        <f t="shared" si="8"/>
        <v>6</v>
      </c>
      <c r="Z28" s="107">
        <f>Z24+Z27</f>
        <v>12</v>
      </c>
      <c r="AA28" s="108">
        <f>P14+P16-T28</f>
        <v>28</v>
      </c>
      <c r="AB28" s="121">
        <f>Z28+AA28</f>
        <v>40</v>
      </c>
    </row>
    <row r="29" spans="1:41" ht="15.75" customHeight="1">
      <c r="A29" s="1" t="s">
        <v>187</v>
      </c>
      <c r="B29" s="8" t="s">
        <v>188</v>
      </c>
      <c r="C29" s="1">
        <v>1</v>
      </c>
      <c r="D29" s="1">
        <v>0</v>
      </c>
      <c r="E29" s="18">
        <v>210138</v>
      </c>
      <c r="F29" s="1">
        <v>1</v>
      </c>
      <c r="G29" s="1" t="s">
        <v>451</v>
      </c>
      <c r="I29">
        <f t="shared" si="0"/>
        <v>1</v>
      </c>
      <c r="J29">
        <f t="shared" si="2"/>
        <v>1</v>
      </c>
      <c r="K29">
        <f t="shared" si="1"/>
        <v>0</v>
      </c>
      <c r="L29" s="144" t="b">
        <f t="shared" si="3"/>
        <v>0</v>
      </c>
      <c r="M29" s="144">
        <f t="shared" si="4"/>
        <v>2</v>
      </c>
      <c r="O29" s="36"/>
      <c r="R29" s="110"/>
      <c r="S29" s="111" t="s">
        <v>357</v>
      </c>
      <c r="T29" s="111" t="s">
        <v>353</v>
      </c>
      <c r="U29" s="111" t="s">
        <v>364</v>
      </c>
      <c r="V29" s="112" t="s">
        <v>365</v>
      </c>
      <c r="W29" s="110"/>
      <c r="X29" s="113" t="s">
        <v>362</v>
      </c>
      <c r="Y29" s="114" t="s">
        <v>363</v>
      </c>
      <c r="AH29" s="36"/>
      <c r="AI29" s="36"/>
      <c r="AJ29" s="36"/>
      <c r="AK29" s="36"/>
    </row>
    <row r="30" spans="1:41" ht="15.75" customHeight="1">
      <c r="A30" s="1" t="s">
        <v>187</v>
      </c>
      <c r="B30" s="8" t="s">
        <v>203</v>
      </c>
      <c r="C30" s="1">
        <v>1</v>
      </c>
      <c r="D30" s="1">
        <v>1</v>
      </c>
      <c r="E30" s="18">
        <v>165377</v>
      </c>
      <c r="F30" s="1">
        <v>0.78699235740323026</v>
      </c>
      <c r="G30" s="1" t="s">
        <v>451</v>
      </c>
      <c r="I30">
        <f t="shared" si="0"/>
        <v>1</v>
      </c>
      <c r="J30">
        <f t="shared" si="2"/>
        <v>1</v>
      </c>
      <c r="K30">
        <f t="shared" si="1"/>
        <v>0</v>
      </c>
      <c r="L30" s="144" t="b">
        <f t="shared" si="3"/>
        <v>0</v>
      </c>
      <c r="M30" s="144">
        <f t="shared" si="4"/>
        <v>2</v>
      </c>
      <c r="O30" s="80"/>
      <c r="Q30">
        <v>1.2812711853249099E-4</v>
      </c>
      <c r="R30" s="85" t="s">
        <v>305</v>
      </c>
      <c r="S30" s="84">
        <v>2.5625423706498199E-4</v>
      </c>
      <c r="T30" s="84">
        <v>5.1250847412996387E-4</v>
      </c>
      <c r="U30" s="84">
        <v>5.1250847412996382E-3</v>
      </c>
      <c r="V30" s="84">
        <v>5.1250847412996389E-2</v>
      </c>
      <c r="W30" s="84">
        <v>0.1</v>
      </c>
      <c r="X30" s="104"/>
      <c r="Y30" s="103"/>
    </row>
    <row r="31" spans="1:41" ht="14.25" customHeight="1">
      <c r="A31" s="1" t="s">
        <v>187</v>
      </c>
      <c r="B31" s="8" t="s">
        <v>205</v>
      </c>
      <c r="C31" s="1">
        <v>1</v>
      </c>
      <c r="D31" s="1">
        <v>1</v>
      </c>
      <c r="E31" s="18">
        <v>35089</v>
      </c>
      <c r="F31" s="1">
        <v>0.16698074598597112</v>
      </c>
      <c r="G31" s="1" t="s">
        <v>451</v>
      </c>
      <c r="I31">
        <f t="shared" si="0"/>
        <v>1</v>
      </c>
      <c r="J31">
        <f t="shared" si="2"/>
        <v>1</v>
      </c>
      <c r="K31">
        <f t="shared" si="1"/>
        <v>0</v>
      </c>
      <c r="L31" s="144" t="b">
        <f t="shared" si="3"/>
        <v>0</v>
      </c>
      <c r="M31" s="144">
        <f t="shared" si="4"/>
        <v>2</v>
      </c>
      <c r="O31" s="80"/>
      <c r="Q31">
        <v>7</v>
      </c>
      <c r="R31" s="86" t="s">
        <v>379</v>
      </c>
      <c r="S31" s="89">
        <v>10</v>
      </c>
      <c r="T31" s="89">
        <v>10</v>
      </c>
      <c r="U31" s="89">
        <v>11</v>
      </c>
      <c r="V31" s="89">
        <v>13</v>
      </c>
      <c r="W31" s="89">
        <v>13</v>
      </c>
      <c r="X31" s="104"/>
      <c r="Y31" s="103"/>
      <c r="AH31" s="38"/>
      <c r="AI31" s="38"/>
      <c r="AJ31" s="38"/>
      <c r="AK31" s="38"/>
    </row>
    <row r="32" spans="1:41" ht="16.5" customHeight="1">
      <c r="A32" s="1" t="s">
        <v>187</v>
      </c>
      <c r="B32" s="8" t="s">
        <v>207</v>
      </c>
      <c r="C32" s="1">
        <v>1</v>
      </c>
      <c r="D32" s="1">
        <v>1</v>
      </c>
      <c r="E32" s="18">
        <v>21184</v>
      </c>
      <c r="F32" s="1">
        <v>0.10080994394160028</v>
      </c>
      <c r="G32" s="1" t="s">
        <v>451</v>
      </c>
      <c r="I32">
        <f t="shared" si="0"/>
        <v>1</v>
      </c>
      <c r="J32">
        <f t="shared" si="2"/>
        <v>1</v>
      </c>
      <c r="K32">
        <f t="shared" si="1"/>
        <v>0</v>
      </c>
      <c r="L32" s="144" t="b">
        <f t="shared" si="3"/>
        <v>0</v>
      </c>
      <c r="M32" s="144">
        <f t="shared" si="4"/>
        <v>2</v>
      </c>
      <c r="Q32">
        <v>53.846153846153847</v>
      </c>
      <c r="R32" s="86" t="s">
        <v>380</v>
      </c>
      <c r="S32" s="84">
        <v>76.923076923076934</v>
      </c>
      <c r="T32" s="84">
        <v>76.923076923076934</v>
      </c>
      <c r="U32" s="84">
        <v>84.615384615384613</v>
      </c>
      <c r="V32" s="84">
        <v>100</v>
      </c>
      <c r="W32" s="84">
        <v>100</v>
      </c>
      <c r="X32" s="104"/>
      <c r="Y32" s="103"/>
      <c r="AH32" s="38"/>
      <c r="AI32" s="38"/>
      <c r="AJ32" s="38"/>
      <c r="AK32" s="38"/>
    </row>
    <row r="33" spans="1:41" ht="15.75" customHeight="1">
      <c r="A33" s="1" t="s">
        <v>187</v>
      </c>
      <c r="B33" s="8" t="s">
        <v>208</v>
      </c>
      <c r="C33" s="1">
        <v>1</v>
      </c>
      <c r="D33" s="1">
        <v>1</v>
      </c>
      <c r="E33" s="18">
        <v>15965</v>
      </c>
      <c r="F33" s="1">
        <v>7.5973883828722083E-2</v>
      </c>
      <c r="G33" s="1" t="s">
        <v>451</v>
      </c>
      <c r="I33">
        <f t="shared" si="0"/>
        <v>1</v>
      </c>
      <c r="J33">
        <f t="shared" si="2"/>
        <v>1</v>
      </c>
      <c r="K33">
        <f t="shared" si="1"/>
        <v>0</v>
      </c>
      <c r="L33" s="144" t="b">
        <f t="shared" si="3"/>
        <v>0</v>
      </c>
      <c r="M33" s="144">
        <f t="shared" si="4"/>
        <v>2</v>
      </c>
      <c r="Q33">
        <f>$P$19-Q31</f>
        <v>6</v>
      </c>
      <c r="R33" s="86" t="s">
        <v>355</v>
      </c>
      <c r="S33" s="88">
        <f>$P$19-S31</f>
        <v>3</v>
      </c>
      <c r="T33" s="88">
        <f>$P$19-T31</f>
        <v>3</v>
      </c>
      <c r="U33" s="88">
        <f>$P$19-U31</f>
        <v>2</v>
      </c>
      <c r="V33" s="88">
        <f>$P$19-V31</f>
        <v>0</v>
      </c>
      <c r="W33" s="88">
        <f>$P$19-W31</f>
        <v>0</v>
      </c>
      <c r="X33" s="104">
        <f>O19-P19</f>
        <v>30</v>
      </c>
      <c r="Y33" s="103"/>
      <c r="AH33" s="36"/>
      <c r="AI33" s="36"/>
      <c r="AJ33" s="36"/>
      <c r="AK33" s="36"/>
    </row>
    <row r="34" spans="1:41" ht="14.25" customHeight="1">
      <c r="A34" s="1" t="s">
        <v>187</v>
      </c>
      <c r="B34" s="8" t="s">
        <v>209</v>
      </c>
      <c r="C34" s="1">
        <v>1</v>
      </c>
      <c r="D34" s="1">
        <v>1</v>
      </c>
      <c r="E34" s="18">
        <v>11353</v>
      </c>
      <c r="F34" s="1">
        <v>5.4026401697931832E-2</v>
      </c>
      <c r="G34" s="1" t="s">
        <v>451</v>
      </c>
      <c r="I34">
        <f t="shared" ref="I34:I68" si="9">IF(F34&gt;$R$3,1,0)</f>
        <v>1</v>
      </c>
      <c r="J34">
        <f t="shared" si="2"/>
        <v>1</v>
      </c>
      <c r="K34">
        <f t="shared" si="1"/>
        <v>0</v>
      </c>
      <c r="L34" s="144" t="b">
        <f t="shared" si="3"/>
        <v>0</v>
      </c>
      <c r="M34" s="144">
        <f t="shared" si="4"/>
        <v>2</v>
      </c>
      <c r="Q34">
        <v>23</v>
      </c>
      <c r="R34" s="86" t="s">
        <v>381</v>
      </c>
      <c r="S34" s="89">
        <v>23</v>
      </c>
      <c r="T34" s="89">
        <v>23</v>
      </c>
      <c r="U34" s="90">
        <v>22</v>
      </c>
      <c r="V34" s="90">
        <v>17</v>
      </c>
      <c r="W34" s="89">
        <v>13</v>
      </c>
      <c r="X34" s="104"/>
      <c r="Y34" s="103"/>
    </row>
    <row r="35" spans="1:41" ht="15.75" customHeight="1">
      <c r="A35" s="1" t="s">
        <v>187</v>
      </c>
      <c r="B35" s="8" t="s">
        <v>193</v>
      </c>
      <c r="C35" s="1">
        <v>1</v>
      </c>
      <c r="D35" s="1">
        <v>0</v>
      </c>
      <c r="E35" s="18">
        <v>6736</v>
      </c>
      <c r="F35" s="1">
        <v>0.283406260518344</v>
      </c>
      <c r="G35" s="1" t="s">
        <v>451</v>
      </c>
      <c r="I35">
        <f t="shared" si="9"/>
        <v>1</v>
      </c>
      <c r="J35">
        <f t="shared" si="2"/>
        <v>1</v>
      </c>
      <c r="K35">
        <f t="shared" si="1"/>
        <v>0</v>
      </c>
      <c r="L35" s="144" t="b">
        <f t="shared" si="3"/>
        <v>0</v>
      </c>
      <c r="M35" s="144">
        <f t="shared" si="4"/>
        <v>2</v>
      </c>
      <c r="Q35">
        <v>100</v>
      </c>
      <c r="R35" s="86" t="s">
        <v>382</v>
      </c>
      <c r="S35" s="84">
        <v>100</v>
      </c>
      <c r="T35" s="84">
        <v>100</v>
      </c>
      <c r="U35" s="87">
        <v>95.652173913043484</v>
      </c>
      <c r="V35" s="87">
        <v>73.91304347826086</v>
      </c>
      <c r="W35" s="84">
        <v>56.521739130434781</v>
      </c>
      <c r="X35" s="104"/>
      <c r="Y35" s="103"/>
      <c r="AH35" s="38"/>
      <c r="AI35" s="38"/>
      <c r="AJ35" s="38"/>
      <c r="AK35" s="38"/>
    </row>
    <row r="36" spans="1:41" ht="15.75" customHeight="1">
      <c r="A36" s="1" t="s">
        <v>187</v>
      </c>
      <c r="B36" s="8" t="s">
        <v>210</v>
      </c>
      <c r="C36" s="1">
        <v>1</v>
      </c>
      <c r="D36" s="1">
        <v>1</v>
      </c>
      <c r="E36" s="18">
        <v>1338</v>
      </c>
      <c r="F36" s="1">
        <v>6.3672443822630842E-3</v>
      </c>
      <c r="G36" s="1" t="s">
        <v>451</v>
      </c>
      <c r="I36">
        <f t="shared" si="9"/>
        <v>1</v>
      </c>
      <c r="J36">
        <f t="shared" si="2"/>
        <v>1</v>
      </c>
      <c r="K36">
        <f t="shared" si="1"/>
        <v>0</v>
      </c>
      <c r="L36" s="144" t="b">
        <f t="shared" si="3"/>
        <v>0</v>
      </c>
      <c r="M36" s="144">
        <f t="shared" si="4"/>
        <v>2</v>
      </c>
      <c r="Q36">
        <f>$P$21-Q34</f>
        <v>0</v>
      </c>
      <c r="R36" s="86" t="s">
        <v>356</v>
      </c>
      <c r="S36" s="88">
        <f>$P$21-S34</f>
        <v>0</v>
      </c>
      <c r="T36" s="88">
        <f>$P$21-T34</f>
        <v>0</v>
      </c>
      <c r="U36" s="88">
        <f>$P$21-U34</f>
        <v>1</v>
      </c>
      <c r="V36" s="88">
        <f>$P$21-V34</f>
        <v>6</v>
      </c>
      <c r="W36" s="88">
        <f>$P$21-W34</f>
        <v>10</v>
      </c>
      <c r="X36" s="104">
        <f>O21-P21</f>
        <v>0</v>
      </c>
      <c r="Y36" s="103"/>
      <c r="AH36" s="38"/>
      <c r="AI36" s="38"/>
      <c r="AJ36" s="38"/>
      <c r="AK36" s="38"/>
    </row>
    <row r="37" spans="1:41" ht="16.5" customHeight="1" thickBot="1">
      <c r="A37" s="1" t="s">
        <v>187</v>
      </c>
      <c r="B37" s="8" t="s">
        <v>202</v>
      </c>
      <c r="C37" s="1">
        <v>1</v>
      </c>
      <c r="D37" s="1">
        <v>0</v>
      </c>
      <c r="E37" s="18">
        <v>1059</v>
      </c>
      <c r="F37" s="1">
        <v>5.0395454415669699E-3</v>
      </c>
      <c r="G37" s="1" t="s">
        <v>451</v>
      </c>
      <c r="I37">
        <f t="shared" si="9"/>
        <v>1</v>
      </c>
      <c r="J37">
        <f t="shared" si="2"/>
        <v>1</v>
      </c>
      <c r="K37">
        <f t="shared" si="1"/>
        <v>0</v>
      </c>
      <c r="L37" s="144" t="b">
        <f t="shared" si="3"/>
        <v>0</v>
      </c>
      <c r="M37" s="144">
        <f t="shared" si="4"/>
        <v>2</v>
      </c>
      <c r="Q37" s="106">
        <f t="shared" ref="Q37" si="10">Q33+Q36</f>
        <v>6</v>
      </c>
      <c r="R37" s="105" t="s">
        <v>358</v>
      </c>
      <c r="S37" s="115">
        <f>S33+S36</f>
        <v>3</v>
      </c>
      <c r="T37" s="115">
        <f t="shared" ref="T37:W37" si="11">T33+T36</f>
        <v>3</v>
      </c>
      <c r="U37" s="115">
        <f t="shared" si="11"/>
        <v>3</v>
      </c>
      <c r="V37" s="106">
        <f t="shared" si="11"/>
        <v>6</v>
      </c>
      <c r="W37" s="106">
        <f t="shared" si="11"/>
        <v>10</v>
      </c>
      <c r="X37" s="107">
        <f>X33+X36</f>
        <v>30</v>
      </c>
      <c r="Y37" s="108">
        <f>P19+P21-U37</f>
        <v>33</v>
      </c>
      <c r="Z37" s="121">
        <f>X37+Y37</f>
        <v>63</v>
      </c>
      <c r="AO37" s="19"/>
    </row>
    <row r="38" spans="1:41" ht="16.5" customHeight="1">
      <c r="A38" s="1" t="s">
        <v>187</v>
      </c>
      <c r="B38" s="8" t="s">
        <v>197</v>
      </c>
      <c r="C38" s="1">
        <v>1</v>
      </c>
      <c r="D38" s="1">
        <v>0</v>
      </c>
      <c r="E38" s="18">
        <v>442</v>
      </c>
      <c r="F38" s="1">
        <v>2.1033796838268184E-3</v>
      </c>
      <c r="G38" s="1" t="s">
        <v>451</v>
      </c>
      <c r="H38" s="10"/>
      <c r="I38">
        <f t="shared" si="9"/>
        <v>1</v>
      </c>
      <c r="J38">
        <f t="shared" si="2"/>
        <v>1</v>
      </c>
      <c r="K38">
        <f t="shared" si="1"/>
        <v>0</v>
      </c>
      <c r="L38" s="144" t="b">
        <f t="shared" si="3"/>
        <v>0</v>
      </c>
      <c r="M38" s="144">
        <f t="shared" si="4"/>
        <v>2</v>
      </c>
      <c r="R38" s="110"/>
      <c r="S38" s="111" t="s">
        <v>357</v>
      </c>
      <c r="T38" s="112" t="s">
        <v>353</v>
      </c>
      <c r="U38" s="112" t="s">
        <v>364</v>
      </c>
      <c r="V38" s="112" t="s">
        <v>365</v>
      </c>
      <c r="W38" s="110"/>
      <c r="X38" s="113" t="s">
        <v>362</v>
      </c>
      <c r="Y38" s="114" t="s">
        <v>363</v>
      </c>
      <c r="AH38" s="36"/>
      <c r="AI38" s="36"/>
      <c r="AJ38" s="36"/>
      <c r="AK38" s="36"/>
      <c r="AO38" s="16"/>
    </row>
    <row r="39" spans="1:41" ht="13.5" customHeight="1">
      <c r="A39" s="1" t="s">
        <v>187</v>
      </c>
      <c r="B39" s="8" t="s">
        <v>198</v>
      </c>
      <c r="C39" s="1">
        <v>1</v>
      </c>
      <c r="D39" s="1">
        <v>0</v>
      </c>
      <c r="E39" s="18">
        <v>419</v>
      </c>
      <c r="F39" s="1">
        <v>1.9939277998267807E-3</v>
      </c>
      <c r="G39" s="1" t="s">
        <v>451</v>
      </c>
      <c r="I39">
        <f t="shared" si="9"/>
        <v>1</v>
      </c>
      <c r="J39">
        <f t="shared" si="2"/>
        <v>1</v>
      </c>
      <c r="K39">
        <f t="shared" si="1"/>
        <v>0</v>
      </c>
      <c r="L39" s="144" t="b">
        <f t="shared" si="3"/>
        <v>0</v>
      </c>
      <c r="M39" s="144">
        <f t="shared" si="4"/>
        <v>2</v>
      </c>
      <c r="Q39">
        <v>3.56823806486229E-5</v>
      </c>
      <c r="R39" s="85" t="s">
        <v>306</v>
      </c>
      <c r="S39" s="84">
        <v>7.1364761297245842E-5</v>
      </c>
      <c r="T39" s="84">
        <v>1.4272952259449168E-4</v>
      </c>
      <c r="U39" s="84">
        <v>1.4272952259449167E-3</v>
      </c>
      <c r="V39" s="84">
        <v>1.42729522594492E-2</v>
      </c>
      <c r="W39" s="84">
        <v>0.1</v>
      </c>
      <c r="X39" s="104"/>
      <c r="Y39" s="103"/>
    </row>
    <row r="40" spans="1:41" ht="17.25" customHeight="1">
      <c r="A40" s="1" t="s">
        <v>187</v>
      </c>
      <c r="B40" s="8" t="s">
        <v>199</v>
      </c>
      <c r="C40" s="1">
        <v>1</v>
      </c>
      <c r="D40" s="1">
        <v>0</v>
      </c>
      <c r="E40" s="18">
        <v>388</v>
      </c>
      <c r="F40" s="1">
        <v>1.84640569530499E-3</v>
      </c>
      <c r="G40" s="1" t="s">
        <v>451</v>
      </c>
      <c r="H40" s="10"/>
      <c r="I40">
        <f t="shared" si="9"/>
        <v>1</v>
      </c>
      <c r="J40">
        <f t="shared" si="2"/>
        <v>1</v>
      </c>
      <c r="K40">
        <f t="shared" si="1"/>
        <v>0</v>
      </c>
      <c r="L40" s="144" t="b">
        <f t="shared" si="3"/>
        <v>0</v>
      </c>
      <c r="M40" s="144">
        <f t="shared" si="4"/>
        <v>2</v>
      </c>
      <c r="Q40">
        <v>1</v>
      </c>
      <c r="R40" s="86" t="s">
        <v>379</v>
      </c>
      <c r="S40" s="89">
        <v>3</v>
      </c>
      <c r="T40" s="89">
        <v>5</v>
      </c>
      <c r="U40" s="89">
        <v>7</v>
      </c>
      <c r="V40" s="89">
        <v>9</v>
      </c>
      <c r="W40" s="89">
        <v>9</v>
      </c>
      <c r="X40" s="104"/>
      <c r="Y40" s="103"/>
      <c r="AH40" s="38"/>
      <c r="AI40" s="38"/>
      <c r="AJ40" s="38"/>
      <c r="AK40" s="38"/>
    </row>
    <row r="41" spans="1:41" ht="16.5" customHeight="1">
      <c r="A41" s="1" t="s">
        <v>187</v>
      </c>
      <c r="B41" s="8" t="s">
        <v>200</v>
      </c>
      <c r="C41" s="1">
        <v>1</v>
      </c>
      <c r="D41" s="1">
        <v>0</v>
      </c>
      <c r="E41" s="18">
        <v>378</v>
      </c>
      <c r="F41" s="1">
        <v>1.7988179196527995E-3</v>
      </c>
      <c r="G41" s="1" t="s">
        <v>451</v>
      </c>
      <c r="H41" s="10"/>
      <c r="I41">
        <f t="shared" si="9"/>
        <v>1</v>
      </c>
      <c r="J41">
        <f t="shared" si="2"/>
        <v>1</v>
      </c>
      <c r="K41">
        <f t="shared" si="1"/>
        <v>0</v>
      </c>
      <c r="L41" s="144" t="b">
        <f t="shared" si="3"/>
        <v>0</v>
      </c>
      <c r="M41" s="144">
        <f t="shared" si="4"/>
        <v>2</v>
      </c>
      <c r="Q41">
        <v>11.111111111111111</v>
      </c>
      <c r="R41" s="86" t="s">
        <v>380</v>
      </c>
      <c r="S41" s="84">
        <v>33.333333333333329</v>
      </c>
      <c r="T41" s="84">
        <v>55.555555555555557</v>
      </c>
      <c r="U41" s="84">
        <v>77.777777777777786</v>
      </c>
      <c r="V41" s="84">
        <v>100</v>
      </c>
      <c r="W41" s="84">
        <v>100</v>
      </c>
      <c r="X41" s="104"/>
      <c r="Y41" s="103"/>
      <c r="AH41" s="38"/>
      <c r="AI41" s="38"/>
      <c r="AJ41" s="38"/>
      <c r="AK41" s="38"/>
    </row>
    <row r="42" spans="1:41" ht="18.75" customHeight="1">
      <c r="A42" s="1" t="s">
        <v>187</v>
      </c>
      <c r="B42" s="8" t="s">
        <v>103</v>
      </c>
      <c r="C42" s="1">
        <v>1</v>
      </c>
      <c r="D42" s="1">
        <v>0</v>
      </c>
      <c r="E42" s="18">
        <v>337</v>
      </c>
      <c r="F42" s="1">
        <v>1.6037080394788188E-3</v>
      </c>
      <c r="G42" s="1" t="s">
        <v>451</v>
      </c>
      <c r="I42">
        <f t="shared" si="9"/>
        <v>1</v>
      </c>
      <c r="J42">
        <f t="shared" si="2"/>
        <v>0</v>
      </c>
      <c r="K42">
        <f t="shared" si="1"/>
        <v>0</v>
      </c>
      <c r="L42" s="144" t="b">
        <f t="shared" si="3"/>
        <v>0</v>
      </c>
      <c r="M42" s="144">
        <f t="shared" si="4"/>
        <v>1</v>
      </c>
      <c r="Q42">
        <f>$P$24-Q40</f>
        <v>8</v>
      </c>
      <c r="R42" s="86" t="s">
        <v>355</v>
      </c>
      <c r="S42" s="88">
        <f>$P$24-S40</f>
        <v>6</v>
      </c>
      <c r="T42" s="88">
        <f>$P$24-T40</f>
        <v>4</v>
      </c>
      <c r="U42" s="88">
        <f>$P$24-U40</f>
        <v>2</v>
      </c>
      <c r="V42" s="88">
        <f>$P$24-V40</f>
        <v>0</v>
      </c>
      <c r="W42" s="88">
        <f>$P$24-W40</f>
        <v>0</v>
      </c>
      <c r="X42" s="104">
        <f>O24-P24</f>
        <v>9</v>
      </c>
      <c r="Y42" s="103"/>
      <c r="AH42" s="36"/>
      <c r="AI42" s="36"/>
      <c r="AJ42" s="36"/>
      <c r="AK42" s="36"/>
    </row>
    <row r="43" spans="1:41" ht="15.75" customHeight="1">
      <c r="A43" s="1" t="s">
        <v>187</v>
      </c>
      <c r="B43" s="8" t="s">
        <v>189</v>
      </c>
      <c r="C43" s="1">
        <v>1</v>
      </c>
      <c r="D43" s="1">
        <v>0</v>
      </c>
      <c r="E43" s="18">
        <v>303</v>
      </c>
      <c r="F43" s="1">
        <v>1.4419096022613711E-3</v>
      </c>
      <c r="G43" s="1" t="s">
        <v>451</v>
      </c>
      <c r="I43">
        <f t="shared" si="9"/>
        <v>1</v>
      </c>
      <c r="J43">
        <f t="shared" si="2"/>
        <v>0</v>
      </c>
      <c r="K43">
        <f t="shared" si="1"/>
        <v>0</v>
      </c>
      <c r="L43" s="144" t="b">
        <f t="shared" si="3"/>
        <v>0</v>
      </c>
      <c r="M43" s="144">
        <f t="shared" si="4"/>
        <v>1</v>
      </c>
      <c r="Q43">
        <v>67</v>
      </c>
      <c r="R43" s="86" t="s">
        <v>381</v>
      </c>
      <c r="S43" s="89">
        <v>67</v>
      </c>
      <c r="T43" s="89">
        <v>64</v>
      </c>
      <c r="U43" s="90">
        <v>55</v>
      </c>
      <c r="V43" s="90">
        <v>34</v>
      </c>
      <c r="W43" s="89">
        <v>19</v>
      </c>
      <c r="X43" s="104"/>
      <c r="Y43" s="103"/>
    </row>
    <row r="44" spans="1:41" ht="16.5" customHeight="1">
      <c r="A44" s="1" t="s">
        <v>187</v>
      </c>
      <c r="B44" s="8" t="s">
        <v>201</v>
      </c>
      <c r="C44" s="1">
        <v>1</v>
      </c>
      <c r="D44" s="1">
        <v>0</v>
      </c>
      <c r="E44" s="18">
        <v>257</v>
      </c>
      <c r="F44" s="1">
        <v>8.6097152428810719E-2</v>
      </c>
      <c r="G44" s="1" t="s">
        <v>451</v>
      </c>
      <c r="I44">
        <f t="shared" si="9"/>
        <v>1</v>
      </c>
      <c r="J44">
        <f t="shared" si="2"/>
        <v>0</v>
      </c>
      <c r="K44">
        <f t="shared" si="1"/>
        <v>0</v>
      </c>
      <c r="L44" s="144" t="b">
        <f t="shared" si="3"/>
        <v>0</v>
      </c>
      <c r="M44" s="144">
        <f t="shared" si="4"/>
        <v>1</v>
      </c>
      <c r="Q44">
        <v>98.529411764705884</v>
      </c>
      <c r="R44" s="86" t="s">
        <v>382</v>
      </c>
      <c r="S44" s="84">
        <v>98.529411764705884</v>
      </c>
      <c r="T44" s="84">
        <v>94.117647058823522</v>
      </c>
      <c r="U44" s="87">
        <v>80.882352941176478</v>
      </c>
      <c r="V44" s="87">
        <v>50</v>
      </c>
      <c r="W44" s="84">
        <v>27.941176470588236</v>
      </c>
      <c r="X44" s="104"/>
      <c r="Y44" s="103"/>
      <c r="AH44" s="38"/>
      <c r="AI44" s="38"/>
      <c r="AJ44" s="38"/>
      <c r="AK44" s="38"/>
    </row>
    <row r="45" spans="1:41" ht="16.5" customHeight="1">
      <c r="A45" s="1" t="s">
        <v>187</v>
      </c>
      <c r="B45" s="8" t="s">
        <v>190</v>
      </c>
      <c r="C45" s="1">
        <v>1</v>
      </c>
      <c r="D45" s="1">
        <v>0</v>
      </c>
      <c r="E45" s="18">
        <v>254</v>
      </c>
      <c r="F45" s="1">
        <v>1.2087295015656377E-3</v>
      </c>
      <c r="G45" s="1" t="s">
        <v>451</v>
      </c>
      <c r="I45">
        <f t="shared" si="9"/>
        <v>1</v>
      </c>
      <c r="J45">
        <f t="shared" si="2"/>
        <v>0</v>
      </c>
      <c r="K45">
        <f t="shared" si="1"/>
        <v>0</v>
      </c>
      <c r="L45" s="144" t="b">
        <f t="shared" si="3"/>
        <v>0</v>
      </c>
      <c r="M45" s="144">
        <f t="shared" si="4"/>
        <v>1</v>
      </c>
      <c r="Q45">
        <f>$P$26-Q43</f>
        <v>-2</v>
      </c>
      <c r="R45" s="86" t="s">
        <v>356</v>
      </c>
      <c r="S45" s="88">
        <f>$P$26-S43</f>
        <v>-2</v>
      </c>
      <c r="T45" s="88">
        <f>$P$26-T43</f>
        <v>1</v>
      </c>
      <c r="U45" s="88">
        <f>$P$26-U43</f>
        <v>10</v>
      </c>
      <c r="V45" s="88">
        <f>$P$26-V43</f>
        <v>31</v>
      </c>
      <c r="W45" s="88">
        <f>$P$26-W43</f>
        <v>46</v>
      </c>
      <c r="X45" s="104">
        <f>O26-P26</f>
        <v>12</v>
      </c>
      <c r="Y45" s="103"/>
      <c r="AH45" s="38"/>
      <c r="AI45" s="38"/>
      <c r="AJ45" s="38"/>
      <c r="AK45" s="38"/>
    </row>
    <row r="46" spans="1:41" ht="19.5" customHeight="1">
      <c r="A46" s="1" t="s">
        <v>187</v>
      </c>
      <c r="B46" s="8" t="s">
        <v>204</v>
      </c>
      <c r="C46" s="1">
        <v>1</v>
      </c>
      <c r="D46" s="1">
        <v>1</v>
      </c>
      <c r="E46" s="18">
        <v>240</v>
      </c>
      <c r="F46" s="1">
        <v>1.1421066156525712E-3</v>
      </c>
      <c r="G46" s="1" t="s">
        <v>451</v>
      </c>
      <c r="I46">
        <f t="shared" si="9"/>
        <v>1</v>
      </c>
      <c r="J46">
        <f t="shared" si="2"/>
        <v>0</v>
      </c>
      <c r="K46">
        <f t="shared" si="1"/>
        <v>0</v>
      </c>
      <c r="L46" s="144" t="b">
        <f t="shared" si="3"/>
        <v>0</v>
      </c>
      <c r="M46" s="144">
        <f t="shared" si="4"/>
        <v>1</v>
      </c>
      <c r="Q46">
        <f t="shared" ref="Q46" si="12">Q42+Q45</f>
        <v>6</v>
      </c>
      <c r="R46" s="122" t="s">
        <v>358</v>
      </c>
      <c r="S46" s="123">
        <f>S42+S45</f>
        <v>4</v>
      </c>
      <c r="T46" s="124">
        <f t="shared" ref="T46:W46" si="13">T42+T45</f>
        <v>5</v>
      </c>
      <c r="U46" s="124">
        <f t="shared" si="13"/>
        <v>12</v>
      </c>
      <c r="V46" s="124">
        <f t="shared" si="13"/>
        <v>31</v>
      </c>
      <c r="W46" s="124">
        <f t="shared" si="13"/>
        <v>46</v>
      </c>
      <c r="X46" s="125">
        <f>X42+X45</f>
        <v>21</v>
      </c>
      <c r="Y46" s="126">
        <f>P24+P26-S46</f>
        <v>70</v>
      </c>
      <c r="Z46" s="120">
        <f>X46+Y46</f>
        <v>91</v>
      </c>
      <c r="AO46" s="16"/>
    </row>
    <row r="47" spans="1:41" ht="14.25" customHeight="1">
      <c r="A47" s="1" t="s">
        <v>187</v>
      </c>
      <c r="B47" s="8" t="s">
        <v>196</v>
      </c>
      <c r="C47" s="1">
        <v>1</v>
      </c>
      <c r="D47" s="1">
        <v>1</v>
      </c>
      <c r="E47" s="18">
        <v>204</v>
      </c>
      <c r="F47" s="1">
        <v>9.7079062330468545E-4</v>
      </c>
      <c r="G47" s="1" t="s">
        <v>451</v>
      </c>
      <c r="I47">
        <f t="shared" si="9"/>
        <v>1</v>
      </c>
      <c r="J47">
        <f t="shared" si="2"/>
        <v>0</v>
      </c>
      <c r="K47">
        <f t="shared" si="1"/>
        <v>0</v>
      </c>
      <c r="L47" s="144" t="b">
        <f t="shared" si="3"/>
        <v>0</v>
      </c>
      <c r="M47" s="144">
        <f t="shared" si="4"/>
        <v>1</v>
      </c>
      <c r="S47" s="36"/>
      <c r="T47" s="36"/>
      <c r="U47" s="36"/>
      <c r="V47" s="36"/>
      <c r="X47" s="36"/>
    </row>
    <row r="48" spans="1:41" ht="14.25" customHeight="1">
      <c r="A48" s="1" t="s">
        <v>187</v>
      </c>
      <c r="B48" s="8" t="s">
        <v>206</v>
      </c>
      <c r="C48" s="1">
        <v>1</v>
      </c>
      <c r="D48" s="1">
        <v>1</v>
      </c>
      <c r="E48" s="18">
        <v>157</v>
      </c>
      <c r="F48" s="1">
        <v>5.2596314907872699E-2</v>
      </c>
      <c r="G48" s="1" t="s">
        <v>451</v>
      </c>
      <c r="I48">
        <f t="shared" si="9"/>
        <v>1</v>
      </c>
      <c r="J48">
        <f t="shared" si="2"/>
        <v>0</v>
      </c>
      <c r="K48">
        <f t="shared" si="1"/>
        <v>0</v>
      </c>
      <c r="L48" s="144" t="b">
        <f t="shared" si="3"/>
        <v>0</v>
      </c>
      <c r="M48" s="144">
        <f t="shared" si="4"/>
        <v>1</v>
      </c>
      <c r="R48" s="10" t="s">
        <v>384</v>
      </c>
      <c r="S48">
        <f>S19+S28+S37+S46</f>
        <v>19</v>
      </c>
      <c r="T48">
        <f t="shared" ref="T48:W48" si="14">T19+T28+T37+T46</f>
        <v>14</v>
      </c>
      <c r="U48">
        <f t="shared" si="14"/>
        <v>20</v>
      </c>
      <c r="V48">
        <f t="shared" si="14"/>
        <v>44</v>
      </c>
      <c r="W48">
        <f t="shared" si="14"/>
        <v>67</v>
      </c>
      <c r="AO48" s="16"/>
    </row>
    <row r="49" spans="1:41" ht="15.75" customHeight="1">
      <c r="A49" s="1" t="s">
        <v>187</v>
      </c>
      <c r="B49" s="8" t="s">
        <v>192</v>
      </c>
      <c r="C49" s="1">
        <v>1</v>
      </c>
      <c r="D49" s="1">
        <v>0</v>
      </c>
      <c r="E49" s="18">
        <v>152</v>
      </c>
      <c r="F49" s="1">
        <v>7.2333418991329512E-4</v>
      </c>
      <c r="G49" s="1" t="s">
        <v>451</v>
      </c>
      <c r="I49">
        <f t="shared" si="9"/>
        <v>1</v>
      </c>
      <c r="J49">
        <f t="shared" si="2"/>
        <v>0</v>
      </c>
      <c r="K49">
        <f t="shared" si="1"/>
        <v>0</v>
      </c>
      <c r="L49" s="144" t="b">
        <f t="shared" si="3"/>
        <v>0</v>
      </c>
      <c r="M49" s="144">
        <f t="shared" si="4"/>
        <v>1</v>
      </c>
      <c r="R49" s="48">
        <f>COUNTIFS($D$2:$D$337,"=0",$I$2:$I$337,"=0",$C$2:$C$337,$O$7,$A$2:$A$337,"&lt;&gt;BSV",$E$2:$E$337,"&gt;5")</f>
        <v>0</v>
      </c>
      <c r="AO49" s="16"/>
    </row>
    <row r="50" spans="1:41" ht="12.75" customHeight="1">
      <c r="A50" s="1" t="s">
        <v>187</v>
      </c>
      <c r="B50" s="8" t="s">
        <v>191</v>
      </c>
      <c r="C50" s="1">
        <v>1</v>
      </c>
      <c r="D50" s="1">
        <v>0</v>
      </c>
      <c r="E50" s="18">
        <v>144</v>
      </c>
      <c r="F50" s="1">
        <v>6.8526396939154271E-4</v>
      </c>
      <c r="G50" s="1" t="s">
        <v>451</v>
      </c>
      <c r="I50">
        <f t="shared" si="9"/>
        <v>1</v>
      </c>
      <c r="J50">
        <f t="shared" si="2"/>
        <v>0</v>
      </c>
      <c r="K50">
        <f t="shared" si="1"/>
        <v>0</v>
      </c>
      <c r="L50" s="144" t="b">
        <f t="shared" si="3"/>
        <v>0</v>
      </c>
      <c r="M50" s="144">
        <f t="shared" si="4"/>
        <v>1</v>
      </c>
      <c r="Q50" t="s">
        <v>401</v>
      </c>
      <c r="R50" s="36" t="s">
        <v>413</v>
      </c>
    </row>
    <row r="51" spans="1:41" ht="13.5" customHeight="1">
      <c r="A51" s="1" t="s">
        <v>187</v>
      </c>
      <c r="B51" s="8" t="s">
        <v>194</v>
      </c>
      <c r="C51" s="1">
        <v>1</v>
      </c>
      <c r="D51" s="1">
        <v>0</v>
      </c>
      <c r="E51" s="18">
        <v>58</v>
      </c>
      <c r="F51" s="1">
        <v>2.7600909878270469E-4</v>
      </c>
      <c r="G51" s="1" t="s">
        <v>451</v>
      </c>
      <c r="I51">
        <f t="shared" si="9"/>
        <v>1</v>
      </c>
      <c r="J51">
        <f t="shared" si="2"/>
        <v>0</v>
      </c>
      <c r="K51">
        <f t="shared" si="1"/>
        <v>0</v>
      </c>
      <c r="L51" s="144" t="b">
        <f t="shared" si="3"/>
        <v>0</v>
      </c>
      <c r="M51" s="144">
        <f t="shared" si="4"/>
        <v>1</v>
      </c>
      <c r="Q51" s="86" t="s">
        <v>388</v>
      </c>
      <c r="R51" s="48">
        <f>COUNTIFS($I$2:$I$337,"=0",$C$2:$C$337,$O$7,$A$2:$A$337,"&lt;&gt;BSV",$E$2:$E$337,"&gt;5")</f>
        <v>0</v>
      </c>
      <c r="S51" s="48">
        <f>COUNTIFS($I$2:$I$337,"=0",$C$2:$C$337,$O$12,$A$2:$A$337,"&lt;&gt;BSV",$E$2:$E$337,"&gt;5")</f>
        <v>14</v>
      </c>
      <c r="T51" s="48">
        <f>COUNTIFS($I$2:$I$337,"=0",$C$2:$C$337,$O$17,$A$2:$A$337,"&lt;&gt;BSV",$E$2:$E$337,"&gt;5")</f>
        <v>10</v>
      </c>
      <c r="U51" s="48">
        <f>COUNTIFS($I$2:$I$337,"=0",$C$2:$C$337,$O$22,$A$2:$A$337,"&lt;&gt;BSV",$E$2:$E$337,"&gt;5")</f>
        <v>4</v>
      </c>
    </row>
    <row r="52" spans="1:41" ht="12.75" customHeight="1" thickBot="1">
      <c r="A52" s="1" t="s">
        <v>187</v>
      </c>
      <c r="B52" s="8" t="s">
        <v>195</v>
      </c>
      <c r="C52" s="1">
        <v>1</v>
      </c>
      <c r="D52" s="1">
        <v>0</v>
      </c>
      <c r="E52" s="18">
        <v>4</v>
      </c>
      <c r="F52" s="1">
        <v>1.9035110260876187E-5</v>
      </c>
      <c r="G52" s="1" t="s">
        <v>451</v>
      </c>
      <c r="I52">
        <f t="shared" si="9"/>
        <v>1</v>
      </c>
      <c r="J52">
        <f t="shared" si="2"/>
        <v>0</v>
      </c>
      <c r="K52">
        <f t="shared" si="1"/>
        <v>0</v>
      </c>
      <c r="L52" s="144" t="b">
        <f t="shared" si="3"/>
        <v>0</v>
      </c>
      <c r="M52" s="144">
        <f t="shared" si="4"/>
        <v>1</v>
      </c>
      <c r="Q52" s="86" t="s">
        <v>389</v>
      </c>
      <c r="R52" s="48">
        <f>COUNTIFS($I$2:$I$337,"=1",$C$2:$C$337,$O$7,$A$2:$A$337,"&lt;&gt;BSV",$E$2:$E$337,"&gt;5")</f>
        <v>28</v>
      </c>
      <c r="S52" s="48">
        <f>COUNTIFS($I$2:$I$337,"=1",$C$2:$C$337,$O$12,$A$2:$A$337,"&lt;&gt;BSV",$E$2:$E$337,"&gt;5")</f>
        <v>18</v>
      </c>
      <c r="T52" s="48">
        <f>COUNTIFS($I$2:$I$337,"=1",$C$2:$C$337,$O$17,$A$2:$A$337,"&lt;&gt;BSV",$E$2:$E$337,"&gt;5")</f>
        <v>26</v>
      </c>
      <c r="U52" s="48">
        <f>COUNTIFS($I$2:$I$337,"=1",$C$2:$C$337,$O$22,$A$2:$A$337,"&lt;&gt;BSV",$E$2:$E$337,"&gt;5")</f>
        <v>70</v>
      </c>
    </row>
    <row r="53" spans="1:41" ht="14.25" customHeight="1">
      <c r="A53" s="1" t="s">
        <v>216</v>
      </c>
      <c r="B53" s="8" t="s">
        <v>214</v>
      </c>
      <c r="C53" s="1">
        <v>1</v>
      </c>
      <c r="D53" s="1">
        <v>1</v>
      </c>
      <c r="E53" s="18">
        <v>365470</v>
      </c>
      <c r="F53" s="1">
        <v>1</v>
      </c>
      <c r="G53" s="18" t="s">
        <v>439</v>
      </c>
      <c r="I53">
        <f t="shared" si="9"/>
        <v>1</v>
      </c>
      <c r="J53">
        <f t="shared" si="2"/>
        <v>1</v>
      </c>
      <c r="K53">
        <f t="shared" si="1"/>
        <v>0</v>
      </c>
      <c r="L53" s="144" t="b">
        <f t="shared" si="3"/>
        <v>0</v>
      </c>
      <c r="M53" s="144">
        <f t="shared" si="4"/>
        <v>2</v>
      </c>
      <c r="Q53" s="111" t="s">
        <v>357</v>
      </c>
      <c r="R53" s="85" t="s">
        <v>303</v>
      </c>
      <c r="S53" s="85" t="s">
        <v>304</v>
      </c>
      <c r="T53" s="85" t="s">
        <v>305</v>
      </c>
      <c r="U53" s="85" t="s">
        <v>306</v>
      </c>
      <c r="AO53" s="17"/>
    </row>
    <row r="54" spans="1:41" ht="12.75" customHeight="1">
      <c r="A54" s="1" t="s">
        <v>216</v>
      </c>
      <c r="B54" s="8" t="s">
        <v>195</v>
      </c>
      <c r="C54" s="1">
        <v>1</v>
      </c>
      <c r="D54" s="1">
        <v>1</v>
      </c>
      <c r="E54" s="18">
        <v>244238</v>
      </c>
      <c r="F54" s="1">
        <v>0.66828467452868912</v>
      </c>
      <c r="G54" s="1">
        <v>29.55</v>
      </c>
      <c r="I54">
        <f t="shared" si="9"/>
        <v>1</v>
      </c>
      <c r="J54">
        <f t="shared" si="2"/>
        <v>1</v>
      </c>
      <c r="K54">
        <f t="shared" si="1"/>
        <v>1</v>
      </c>
      <c r="L54" s="144" t="b">
        <f t="shared" si="3"/>
        <v>1</v>
      </c>
      <c r="M54" s="144">
        <f t="shared" si="4"/>
        <v>3</v>
      </c>
      <c r="Q54" s="86" t="s">
        <v>355</v>
      </c>
      <c r="R54" s="88">
        <v>6</v>
      </c>
      <c r="S54" s="88">
        <v>7</v>
      </c>
      <c r="T54" s="128">
        <v>3</v>
      </c>
      <c r="U54" s="128">
        <v>6</v>
      </c>
      <c r="AO54" s="17"/>
    </row>
    <row r="55" spans="1:41">
      <c r="A55" s="1" t="s">
        <v>216</v>
      </c>
      <c r="B55" s="8" t="s">
        <v>215</v>
      </c>
      <c r="C55" s="1">
        <v>1</v>
      </c>
      <c r="D55" s="1">
        <v>1</v>
      </c>
      <c r="E55" s="18">
        <v>206445</v>
      </c>
      <c r="F55" s="1">
        <v>0.56487536596711085</v>
      </c>
      <c r="G55" s="1">
        <v>28.29</v>
      </c>
      <c r="I55">
        <f t="shared" si="9"/>
        <v>1</v>
      </c>
      <c r="J55">
        <f t="shared" si="2"/>
        <v>1</v>
      </c>
      <c r="K55">
        <f t="shared" si="1"/>
        <v>1</v>
      </c>
      <c r="L55" s="144" t="b">
        <f t="shared" si="3"/>
        <v>1</v>
      </c>
      <c r="M55" s="144">
        <f t="shared" si="4"/>
        <v>3</v>
      </c>
      <c r="Q55" s="86" t="s">
        <v>387</v>
      </c>
      <c r="R55" s="88">
        <v>0</v>
      </c>
      <c r="S55" s="88">
        <v>0</v>
      </c>
      <c r="T55" s="88">
        <v>0</v>
      </c>
      <c r="U55" s="88">
        <v>1</v>
      </c>
      <c r="AO55" s="17"/>
    </row>
    <row r="56" spans="1:41" ht="15.75" customHeight="1">
      <c r="A56" s="1" t="s">
        <v>216</v>
      </c>
      <c r="B56" s="8" t="s">
        <v>213</v>
      </c>
      <c r="C56" s="1">
        <v>1</v>
      </c>
      <c r="D56" s="1">
        <v>1</v>
      </c>
      <c r="E56" s="18">
        <v>31863</v>
      </c>
      <c r="F56" s="1">
        <v>8.7183626563055797E-2</v>
      </c>
      <c r="G56" s="1">
        <v>45.96</v>
      </c>
      <c r="H56" s="10"/>
      <c r="I56">
        <f t="shared" si="9"/>
        <v>1</v>
      </c>
      <c r="J56">
        <f t="shared" si="2"/>
        <v>1</v>
      </c>
      <c r="K56">
        <f t="shared" si="1"/>
        <v>1</v>
      </c>
      <c r="L56" s="144" t="b">
        <f t="shared" si="3"/>
        <v>1</v>
      </c>
      <c r="M56" s="144">
        <f t="shared" si="4"/>
        <v>3</v>
      </c>
      <c r="Q56" s="86" t="s">
        <v>385</v>
      </c>
      <c r="R56" s="89">
        <v>0</v>
      </c>
      <c r="S56" s="89">
        <v>14</v>
      </c>
      <c r="T56" s="89">
        <v>10</v>
      </c>
      <c r="U56" s="89">
        <v>3</v>
      </c>
    </row>
    <row r="57" spans="1:41" ht="13.5" customHeight="1">
      <c r="A57" s="1" t="s">
        <v>216</v>
      </c>
      <c r="B57" s="8" t="s">
        <v>202</v>
      </c>
      <c r="C57" s="1">
        <v>1</v>
      </c>
      <c r="D57" s="1">
        <v>0</v>
      </c>
      <c r="E57" s="18">
        <v>6</v>
      </c>
      <c r="F57" s="1">
        <v>1.641721618737516E-5</v>
      </c>
      <c r="G57" s="18">
        <v>100</v>
      </c>
      <c r="I57">
        <f t="shared" si="9"/>
        <v>1</v>
      </c>
      <c r="J57">
        <f t="shared" si="2"/>
        <v>0</v>
      </c>
      <c r="K57">
        <f t="shared" si="1"/>
        <v>0</v>
      </c>
      <c r="L57" s="144" t="b">
        <f t="shared" si="3"/>
        <v>1</v>
      </c>
      <c r="M57" s="144">
        <f t="shared" si="4"/>
        <v>1</v>
      </c>
      <c r="Q57" s="86" t="s">
        <v>386</v>
      </c>
      <c r="R57" s="89">
        <v>22</v>
      </c>
      <c r="S57" s="89">
        <v>12</v>
      </c>
      <c r="T57" s="89">
        <v>23</v>
      </c>
      <c r="U57" s="89">
        <v>67</v>
      </c>
      <c r="AO57" s="17"/>
    </row>
    <row r="58" spans="1:41" ht="18" customHeight="1">
      <c r="A58" s="1" t="s">
        <v>216</v>
      </c>
      <c r="B58" s="8" t="s">
        <v>212</v>
      </c>
      <c r="C58" s="1">
        <v>1</v>
      </c>
      <c r="D58" s="1">
        <v>0</v>
      </c>
      <c r="E58" s="18">
        <v>6</v>
      </c>
      <c r="F58" s="1">
        <v>1.641721618737516E-5</v>
      </c>
      <c r="G58" s="1">
        <v>75</v>
      </c>
      <c r="I58">
        <f t="shared" si="9"/>
        <v>1</v>
      </c>
      <c r="J58">
        <f t="shared" si="2"/>
        <v>0</v>
      </c>
      <c r="K58">
        <f t="shared" si="1"/>
        <v>0</v>
      </c>
      <c r="L58" s="144" t="b">
        <f t="shared" si="3"/>
        <v>1</v>
      </c>
      <c r="M58" s="144">
        <f t="shared" si="4"/>
        <v>1</v>
      </c>
      <c r="Q58" s="86" t="s">
        <v>388</v>
      </c>
      <c r="R58" s="84">
        <v>0</v>
      </c>
      <c r="S58" s="84">
        <v>14</v>
      </c>
      <c r="T58" s="84">
        <v>10</v>
      </c>
      <c r="U58" s="84">
        <v>4</v>
      </c>
    </row>
    <row r="59" spans="1:41">
      <c r="A59" s="1" t="s">
        <v>216</v>
      </c>
      <c r="B59" s="8" t="s">
        <v>191</v>
      </c>
      <c r="C59" s="1">
        <v>1</v>
      </c>
      <c r="D59" s="1">
        <v>0</v>
      </c>
      <c r="E59" s="18">
        <v>6</v>
      </c>
      <c r="F59" s="1">
        <v>1.641721618737516E-5</v>
      </c>
      <c r="G59" s="1">
        <v>100</v>
      </c>
      <c r="H59" s="10"/>
      <c r="I59">
        <f t="shared" si="9"/>
        <v>1</v>
      </c>
      <c r="J59">
        <f t="shared" si="2"/>
        <v>0</v>
      </c>
      <c r="K59">
        <f t="shared" si="1"/>
        <v>0</v>
      </c>
      <c r="L59" s="144" t="b">
        <f t="shared" si="3"/>
        <v>1</v>
      </c>
      <c r="M59" s="144">
        <f t="shared" si="4"/>
        <v>1</v>
      </c>
      <c r="Q59" s="86" t="s">
        <v>389</v>
      </c>
      <c r="R59" s="84">
        <v>28</v>
      </c>
      <c r="S59" s="84">
        <v>19</v>
      </c>
      <c r="T59" s="84">
        <v>26</v>
      </c>
      <c r="U59" s="84">
        <v>73</v>
      </c>
    </row>
    <row r="60" spans="1:41">
      <c r="A60" s="1" t="s">
        <v>216</v>
      </c>
      <c r="B60" s="8" t="s">
        <v>193</v>
      </c>
      <c r="C60" s="1">
        <v>1</v>
      </c>
      <c r="D60" s="1">
        <v>0</v>
      </c>
      <c r="E60" s="18">
        <v>6</v>
      </c>
      <c r="F60" s="1">
        <v>1.641721618737516E-5</v>
      </c>
      <c r="G60" s="1">
        <v>100</v>
      </c>
      <c r="H60" s="10"/>
      <c r="I60">
        <f t="shared" si="9"/>
        <v>1</v>
      </c>
      <c r="J60">
        <f t="shared" si="2"/>
        <v>0</v>
      </c>
      <c r="K60">
        <f t="shared" si="1"/>
        <v>0</v>
      </c>
      <c r="L60" s="144" t="b">
        <f t="shared" si="3"/>
        <v>1</v>
      </c>
      <c r="M60" s="144">
        <f t="shared" si="4"/>
        <v>1</v>
      </c>
      <c r="Q60" s="86" t="s">
        <v>390</v>
      </c>
      <c r="R60" s="84">
        <f>R54+R56</f>
        <v>6</v>
      </c>
      <c r="S60" s="84">
        <f t="shared" ref="S60:U60" si="15">S54+S56</f>
        <v>21</v>
      </c>
      <c r="T60" s="84">
        <f t="shared" si="15"/>
        <v>13</v>
      </c>
      <c r="U60" s="84">
        <f t="shared" si="15"/>
        <v>9</v>
      </c>
    </row>
    <row r="61" spans="1:41">
      <c r="A61" s="1" t="s">
        <v>211</v>
      </c>
      <c r="B61" s="8" t="s">
        <v>209</v>
      </c>
      <c r="C61" s="1">
        <v>1</v>
      </c>
      <c r="D61" s="1">
        <v>1</v>
      </c>
      <c r="E61" s="18">
        <v>230823</v>
      </c>
      <c r="F61" s="1">
        <v>1</v>
      </c>
      <c r="G61" s="1" t="s">
        <v>439</v>
      </c>
      <c r="H61" s="10"/>
      <c r="I61">
        <f t="shared" si="9"/>
        <v>1</v>
      </c>
      <c r="J61">
        <f t="shared" si="2"/>
        <v>1</v>
      </c>
      <c r="K61">
        <f t="shared" si="1"/>
        <v>0</v>
      </c>
      <c r="L61" s="144" t="b">
        <f t="shared" si="3"/>
        <v>0</v>
      </c>
      <c r="M61" s="144">
        <f t="shared" si="4"/>
        <v>2</v>
      </c>
      <c r="Q61" s="86" t="s">
        <v>391</v>
      </c>
      <c r="R61" s="84">
        <f>R55+R57</f>
        <v>22</v>
      </c>
      <c r="S61" s="84">
        <f t="shared" ref="S61:U61" si="16">S55+S57</f>
        <v>12</v>
      </c>
      <c r="T61" s="84">
        <f t="shared" si="16"/>
        <v>23</v>
      </c>
      <c r="U61" s="84">
        <f t="shared" si="16"/>
        <v>68</v>
      </c>
    </row>
    <row r="62" spans="1:41">
      <c r="A62" s="1" t="s">
        <v>211</v>
      </c>
      <c r="B62" s="8" t="s">
        <v>208</v>
      </c>
      <c r="C62" s="1">
        <v>1</v>
      </c>
      <c r="D62" s="1">
        <v>1</v>
      </c>
      <c r="E62" s="18">
        <v>51282</v>
      </c>
      <c r="F62" s="1">
        <v>0.22217023433539984</v>
      </c>
      <c r="G62" s="1">
        <v>65.55</v>
      </c>
      <c r="H62" s="10"/>
      <c r="I62">
        <f t="shared" si="9"/>
        <v>1</v>
      </c>
      <c r="J62">
        <f t="shared" si="2"/>
        <v>1</v>
      </c>
      <c r="K62">
        <f t="shared" si="1"/>
        <v>1</v>
      </c>
      <c r="L62" s="144" t="b">
        <f t="shared" si="3"/>
        <v>1</v>
      </c>
      <c r="M62" s="144">
        <f t="shared" si="4"/>
        <v>3</v>
      </c>
    </row>
    <row r="63" spans="1:41">
      <c r="A63" s="1" t="s">
        <v>211</v>
      </c>
      <c r="B63" s="8" t="s">
        <v>196</v>
      </c>
      <c r="C63" s="1">
        <v>1</v>
      </c>
      <c r="D63" s="1">
        <v>1</v>
      </c>
      <c r="E63" s="18">
        <v>12216</v>
      </c>
      <c r="F63" s="1">
        <v>5.2923668785173052E-2</v>
      </c>
      <c r="G63" s="1">
        <v>67.31</v>
      </c>
      <c r="I63">
        <f t="shared" si="9"/>
        <v>1</v>
      </c>
      <c r="J63">
        <f t="shared" si="2"/>
        <v>1</v>
      </c>
      <c r="K63">
        <f t="shared" si="1"/>
        <v>0</v>
      </c>
      <c r="L63" s="144" t="b">
        <f t="shared" si="3"/>
        <v>1</v>
      </c>
      <c r="M63" s="144">
        <f t="shared" si="4"/>
        <v>2</v>
      </c>
    </row>
    <row r="64" spans="1:41">
      <c r="A64" s="1" t="s">
        <v>211</v>
      </c>
      <c r="B64" s="8" t="s">
        <v>207</v>
      </c>
      <c r="C64" s="1">
        <v>1</v>
      </c>
      <c r="D64" s="1">
        <v>1</v>
      </c>
      <c r="E64" s="18">
        <v>2560</v>
      </c>
      <c r="F64" s="1">
        <v>1.1090749188772349E-2</v>
      </c>
      <c r="G64" s="1">
        <v>79.67</v>
      </c>
      <c r="H64" s="10"/>
      <c r="I64">
        <f t="shared" si="9"/>
        <v>1</v>
      </c>
      <c r="J64">
        <f t="shared" si="2"/>
        <v>1</v>
      </c>
      <c r="K64">
        <f t="shared" si="1"/>
        <v>0</v>
      </c>
      <c r="L64" s="144" t="b">
        <f t="shared" si="3"/>
        <v>1</v>
      </c>
      <c r="M64" s="144">
        <f t="shared" si="4"/>
        <v>2</v>
      </c>
    </row>
    <row r="65" spans="1:41">
      <c r="A65" s="1" t="s">
        <v>211</v>
      </c>
      <c r="B65" s="8" t="s">
        <v>212</v>
      </c>
      <c r="C65" s="1">
        <v>1</v>
      </c>
      <c r="D65" s="1">
        <v>0</v>
      </c>
      <c r="E65" s="18">
        <v>8</v>
      </c>
      <c r="F65" s="1">
        <v>3.4658591214913593E-5</v>
      </c>
      <c r="G65" s="1">
        <v>75</v>
      </c>
      <c r="H65" s="10"/>
      <c r="I65">
        <f t="shared" si="9"/>
        <v>1</v>
      </c>
      <c r="J65">
        <f t="shared" si="2"/>
        <v>0</v>
      </c>
      <c r="K65">
        <f t="shared" si="1"/>
        <v>0</v>
      </c>
      <c r="L65" s="144" t="b">
        <f t="shared" si="3"/>
        <v>1</v>
      </c>
      <c r="M65" s="144">
        <f t="shared" si="4"/>
        <v>1</v>
      </c>
    </row>
    <row r="66" spans="1:41">
      <c r="A66" s="1" t="s">
        <v>211</v>
      </c>
      <c r="B66" s="8" t="s">
        <v>213</v>
      </c>
      <c r="C66" s="1">
        <v>1</v>
      </c>
      <c r="D66" s="1">
        <v>0</v>
      </c>
      <c r="E66" s="18">
        <v>7</v>
      </c>
      <c r="F66" s="1">
        <v>3.0326267313049392E-5</v>
      </c>
      <c r="G66" s="1">
        <v>0</v>
      </c>
      <c r="H66" s="10"/>
      <c r="I66">
        <f t="shared" si="9"/>
        <v>1</v>
      </c>
      <c r="J66">
        <f t="shared" si="2"/>
        <v>0</v>
      </c>
      <c r="K66">
        <f t="shared" ref="K66:K68" si="17">IF(G66&gt;$AF$75,0,1)</f>
        <v>1</v>
      </c>
      <c r="L66" s="144" t="b">
        <f t="shared" si="3"/>
        <v>1</v>
      </c>
      <c r="M66" s="144">
        <f t="shared" si="4"/>
        <v>2</v>
      </c>
    </row>
    <row r="67" spans="1:41">
      <c r="A67" s="1" t="s">
        <v>211</v>
      </c>
      <c r="B67" s="8" t="s">
        <v>203</v>
      </c>
      <c r="C67" s="1">
        <v>1</v>
      </c>
      <c r="D67" s="1">
        <v>0</v>
      </c>
      <c r="E67" s="18">
        <v>5</v>
      </c>
      <c r="F67" s="1">
        <v>2.1661619509320994E-5</v>
      </c>
      <c r="G67" s="1" t="s">
        <v>451</v>
      </c>
      <c r="H67" s="10"/>
      <c r="I67">
        <f t="shared" si="9"/>
        <v>1</v>
      </c>
      <c r="J67">
        <f t="shared" ref="J67" si="18">IF(E67&gt;$R$74,1,0)</f>
        <v>0</v>
      </c>
      <c r="K67">
        <f t="shared" si="17"/>
        <v>0</v>
      </c>
      <c r="L67" s="144" t="b">
        <f t="shared" ref="L67:L130" si="19">ISNUMBER(G67)</f>
        <v>0</v>
      </c>
      <c r="M67" s="144">
        <f t="shared" ref="M67:M130" si="20">I67+J67+K67</f>
        <v>1</v>
      </c>
      <c r="AO67" s="17"/>
    </row>
    <row r="68" spans="1:41">
      <c r="A68" s="1" t="s">
        <v>211</v>
      </c>
      <c r="B68" s="8" t="s">
        <v>214</v>
      </c>
      <c r="C68" s="1">
        <v>1</v>
      </c>
      <c r="D68" s="1">
        <v>0</v>
      </c>
      <c r="E68" s="18">
        <v>4</v>
      </c>
      <c r="F68" s="1">
        <v>1.7329295607456796E-5</v>
      </c>
      <c r="G68" s="1" t="s">
        <v>451</v>
      </c>
      <c r="H68" s="10"/>
      <c r="I68">
        <f t="shared" si="9"/>
        <v>1</v>
      </c>
      <c r="J68">
        <f>IF(E68&gt;$R$74,1,0)</f>
        <v>0</v>
      </c>
      <c r="K68">
        <f t="shared" si="17"/>
        <v>0</v>
      </c>
      <c r="L68" s="144" t="b">
        <f t="shared" si="19"/>
        <v>0</v>
      </c>
      <c r="M68" s="144">
        <f t="shared" si="20"/>
        <v>1</v>
      </c>
      <c r="AO68" s="17"/>
    </row>
    <row r="69" spans="1:41">
      <c r="A69" s="1" t="s">
        <v>218</v>
      </c>
      <c r="B69" s="8" t="s">
        <v>232</v>
      </c>
      <c r="C69" s="1">
        <v>2</v>
      </c>
      <c r="D69" s="1">
        <v>0</v>
      </c>
      <c r="E69" s="18">
        <v>2</v>
      </c>
      <c r="F69" s="1">
        <v>8.9802882672533783E-5</v>
      </c>
      <c r="G69" s="1" t="s">
        <v>451</v>
      </c>
      <c r="I69">
        <f t="shared" ref="I69:I100" si="21">IF(F69&gt;$S$3,1,0)</f>
        <v>0</v>
      </c>
      <c r="J69">
        <f>IF(E69&gt;$S$74,1,0)</f>
        <v>0</v>
      </c>
      <c r="K69">
        <f>IF(G69&gt;$AG$75,0,1)</f>
        <v>0</v>
      </c>
      <c r="L69" s="144" t="b">
        <f t="shared" si="19"/>
        <v>0</v>
      </c>
      <c r="M69" s="144">
        <f t="shared" si="20"/>
        <v>0</v>
      </c>
      <c r="AO69" s="17"/>
    </row>
    <row r="70" spans="1:41">
      <c r="A70" s="1" t="s">
        <v>218</v>
      </c>
      <c r="B70" s="8" t="s">
        <v>164</v>
      </c>
      <c r="C70" s="1">
        <v>2</v>
      </c>
      <c r="D70" s="1">
        <v>0</v>
      </c>
      <c r="E70" s="18">
        <v>2</v>
      </c>
      <c r="F70" s="1">
        <v>8.9802882672533783E-5</v>
      </c>
      <c r="G70" s="1" t="s">
        <v>451</v>
      </c>
      <c r="I70">
        <f t="shared" si="21"/>
        <v>0</v>
      </c>
      <c r="J70">
        <f t="shared" ref="J70:J126" si="22">IF(E70&gt;$S$74,1,0)</f>
        <v>0</v>
      </c>
      <c r="K70">
        <f t="shared" ref="K70:K126" si="23">IF(G70&gt;$AG$75,0,1)</f>
        <v>0</v>
      </c>
      <c r="L70" s="144" t="b">
        <f t="shared" si="19"/>
        <v>0</v>
      </c>
      <c r="M70" s="144">
        <f t="shared" si="20"/>
        <v>0</v>
      </c>
    </row>
    <row r="71" spans="1:41">
      <c r="A71" s="1" t="s">
        <v>219</v>
      </c>
      <c r="B71" s="8" t="s">
        <v>230</v>
      </c>
      <c r="C71" s="1">
        <v>2</v>
      </c>
      <c r="D71" s="1">
        <v>0</v>
      </c>
      <c r="E71" s="18">
        <v>1</v>
      </c>
      <c r="F71" s="1">
        <v>2.9153668989242296E-5</v>
      </c>
      <c r="G71" s="1" t="s">
        <v>451</v>
      </c>
      <c r="I71">
        <f t="shared" si="21"/>
        <v>0</v>
      </c>
      <c r="J71">
        <f t="shared" si="22"/>
        <v>0</v>
      </c>
      <c r="K71">
        <f t="shared" si="23"/>
        <v>0</v>
      </c>
      <c r="L71" s="144" t="b">
        <f t="shared" si="19"/>
        <v>0</v>
      </c>
      <c r="M71" s="144">
        <f t="shared" si="20"/>
        <v>0</v>
      </c>
      <c r="AK71" t="s">
        <v>478</v>
      </c>
      <c r="AL71">
        <v>66.67</v>
      </c>
      <c r="AM71">
        <v>93.65</v>
      </c>
      <c r="AN71">
        <v>60</v>
      </c>
      <c r="AO71" s="2">
        <v>100</v>
      </c>
    </row>
    <row r="72" spans="1:41">
      <c r="A72" s="1" t="s">
        <v>187</v>
      </c>
      <c r="B72" s="8" t="s">
        <v>164</v>
      </c>
      <c r="C72" s="1">
        <v>2</v>
      </c>
      <c r="D72" s="1">
        <v>0</v>
      </c>
      <c r="E72" s="18">
        <v>2</v>
      </c>
      <c r="F72" s="1">
        <v>3.2439095598014726E-5</v>
      </c>
      <c r="G72" s="1" t="s">
        <v>451</v>
      </c>
      <c r="I72">
        <f t="shared" si="21"/>
        <v>0</v>
      </c>
      <c r="J72">
        <f t="shared" si="22"/>
        <v>0</v>
      </c>
      <c r="K72">
        <f t="shared" si="23"/>
        <v>0</v>
      </c>
      <c r="L72" s="144" t="b">
        <f t="shared" si="19"/>
        <v>0</v>
      </c>
      <c r="M72" s="144">
        <f t="shared" si="20"/>
        <v>0</v>
      </c>
      <c r="AK72" t="s">
        <v>476</v>
      </c>
      <c r="AL72">
        <v>1</v>
      </c>
      <c r="AM72">
        <v>2</v>
      </c>
      <c r="AN72">
        <v>3</v>
      </c>
      <c r="AO72" s="2">
        <v>4</v>
      </c>
    </row>
    <row r="73" spans="1:41" ht="16.5" thickBot="1">
      <c r="A73" s="1" t="s">
        <v>187</v>
      </c>
      <c r="B73" s="8" t="s">
        <v>224</v>
      </c>
      <c r="C73" s="1">
        <v>2</v>
      </c>
      <c r="D73" s="1">
        <v>0</v>
      </c>
      <c r="E73" s="18">
        <v>1</v>
      </c>
      <c r="F73" s="1">
        <v>1.6219547799007363E-5</v>
      </c>
      <c r="G73" s="1" t="s">
        <v>451</v>
      </c>
      <c r="I73">
        <f t="shared" si="21"/>
        <v>0</v>
      </c>
      <c r="J73">
        <f t="shared" si="22"/>
        <v>0</v>
      </c>
      <c r="K73">
        <f t="shared" si="23"/>
        <v>0</v>
      </c>
      <c r="L73" s="144" t="b">
        <f t="shared" si="19"/>
        <v>0</v>
      </c>
      <c r="M73" s="144">
        <f t="shared" si="20"/>
        <v>0</v>
      </c>
      <c r="Q73" t="s">
        <v>402</v>
      </c>
      <c r="R73" s="36" t="s">
        <v>414</v>
      </c>
      <c r="AK73" t="s">
        <v>477</v>
      </c>
      <c r="AL73">
        <v>67.210000000000008</v>
      </c>
      <c r="AM73">
        <v>83.020769230769233</v>
      </c>
      <c r="AN73">
        <v>56.152499999999996</v>
      </c>
      <c r="AO73" s="2">
        <v>99.204999999999998</v>
      </c>
    </row>
    <row r="74" spans="1:41" ht="16.5" thickBot="1">
      <c r="A74" s="1" t="s">
        <v>216</v>
      </c>
      <c r="B74" s="8" t="s">
        <v>225</v>
      </c>
      <c r="C74" s="1">
        <v>2</v>
      </c>
      <c r="D74" s="1">
        <v>0</v>
      </c>
      <c r="E74" s="18">
        <v>67</v>
      </c>
      <c r="F74" s="1">
        <v>8.3750000000000003E-5</v>
      </c>
      <c r="G74" s="1">
        <v>82.14</v>
      </c>
      <c r="I74">
        <f t="shared" si="21"/>
        <v>0</v>
      </c>
      <c r="J74">
        <f t="shared" si="22"/>
        <v>0</v>
      </c>
      <c r="K74">
        <f t="shared" si="23"/>
        <v>1</v>
      </c>
      <c r="L74" s="144" t="b">
        <f t="shared" si="19"/>
        <v>1</v>
      </c>
      <c r="M74" s="144">
        <f t="shared" si="20"/>
        <v>1</v>
      </c>
      <c r="Q74" t="s">
        <v>396</v>
      </c>
      <c r="R74" s="135">
        <v>365</v>
      </c>
      <c r="S74" s="136">
        <v>800</v>
      </c>
      <c r="T74" s="136">
        <v>209</v>
      </c>
      <c r="U74" s="137">
        <v>565</v>
      </c>
      <c r="AE74" t="s">
        <v>448</v>
      </c>
      <c r="AF74" s="36" t="s">
        <v>449</v>
      </c>
      <c r="AK74" t="s">
        <v>351</v>
      </c>
      <c r="AL74">
        <v>33.192490114482204</v>
      </c>
      <c r="AM74">
        <v>26.215356651378503</v>
      </c>
      <c r="AN74">
        <v>25.813637031967858</v>
      </c>
      <c r="AO74" s="2">
        <v>1.5900000000000032</v>
      </c>
    </row>
    <row r="75" spans="1:41">
      <c r="A75" s="1" t="s">
        <v>216</v>
      </c>
      <c r="B75" s="8" t="s">
        <v>231</v>
      </c>
      <c r="C75" s="1">
        <v>2</v>
      </c>
      <c r="D75" s="1">
        <v>0</v>
      </c>
      <c r="E75" s="18">
        <v>57</v>
      </c>
      <c r="F75" s="1">
        <v>7.1249999999999997E-5</v>
      </c>
      <c r="G75" s="1">
        <v>100</v>
      </c>
      <c r="I75">
        <f t="shared" si="21"/>
        <v>0</v>
      </c>
      <c r="J75">
        <f t="shared" si="22"/>
        <v>0</v>
      </c>
      <c r="K75">
        <f t="shared" si="23"/>
        <v>0</v>
      </c>
      <c r="L75" s="144" t="b">
        <f t="shared" si="19"/>
        <v>1</v>
      </c>
      <c r="M75" s="144">
        <f t="shared" si="20"/>
        <v>0</v>
      </c>
      <c r="Q75" s="86" t="s">
        <v>393</v>
      </c>
      <c r="R75" s="134">
        <f>COUNTIFS($D$2:$D$337,"=0",$C$2:$C$337,$R$79,$A$2:$A$337,"&lt;&gt;BSV",$E$2:$E$337,"&lt;365")</f>
        <v>20</v>
      </c>
      <c r="S75" s="134">
        <f>COUNTIFS($D$2:$D$337,"=0",$C$2:$C$337,$O$12,$A$2:$A$337,"&lt;&gt;BSV",$E$2:$E$337,"&lt;800")</f>
        <v>31</v>
      </c>
      <c r="T75" s="134">
        <f>COUNTIFS($D$2:$D$337,"=0",$C$2:$C$337,$O$17,$A$2:$A$337,"&lt;&gt;BSV",$E$2:$E$337,"&lt;209")</f>
        <v>41</v>
      </c>
      <c r="U75" s="134">
        <f>COUNTIFS($D$2:$D$337,"=0",$C$2:$C$337,$O$22,$A$2:$A$337,"&lt;&gt;BSV",$E$2:$E$337,"&lt;565")</f>
        <v>18</v>
      </c>
      <c r="AE75" t="s">
        <v>450</v>
      </c>
      <c r="AF75">
        <v>67.210000000000008</v>
      </c>
      <c r="AG75">
        <v>83.020769230769233</v>
      </c>
      <c r="AH75">
        <v>56.152499999999996</v>
      </c>
      <c r="AI75" s="2">
        <v>99.204999999999998</v>
      </c>
    </row>
    <row r="76" spans="1:41">
      <c r="A76" s="1" t="s">
        <v>216</v>
      </c>
      <c r="B76" s="8" t="s">
        <v>226</v>
      </c>
      <c r="C76" s="1">
        <v>2</v>
      </c>
      <c r="D76" s="1">
        <v>0</v>
      </c>
      <c r="E76" s="18">
        <v>51</v>
      </c>
      <c r="F76" s="1">
        <v>6.3750000000000005E-5</v>
      </c>
      <c r="G76" s="1">
        <v>95.65</v>
      </c>
      <c r="I76">
        <f t="shared" si="21"/>
        <v>0</v>
      </c>
      <c r="J76">
        <f t="shared" si="22"/>
        <v>0</v>
      </c>
      <c r="K76">
        <f t="shared" si="23"/>
        <v>0</v>
      </c>
      <c r="L76" s="144" t="b">
        <f t="shared" si="19"/>
        <v>1</v>
      </c>
      <c r="M76" s="144">
        <f t="shared" si="20"/>
        <v>0</v>
      </c>
      <c r="Q76" s="86" t="s">
        <v>394</v>
      </c>
      <c r="R76" s="87">
        <f>COUNTIFS($D$2:$D$337,"=1",$C$2:$C$337,$O$7,$A$2:$A$337,"&lt;&gt;BSV",$E$2:$E$337,"&gt;365")</f>
        <v>19</v>
      </c>
      <c r="S76" s="87">
        <f>COUNTIFS($D$2:$D$337,"=1",$C$2:$C$337,$O$12,$A$2:$A$337,"&lt;&gt;BSV",$E$2:$E$337,"&gt;800")</f>
        <v>7</v>
      </c>
      <c r="T76" s="87">
        <f>COUNTIFS($D$2:$D$337,"=1",$C$2:$C$337,$O$17,$A$2:$A$337,"&lt;&gt;BSV",$E$2:$E$337,"&gt;209")</f>
        <v>19</v>
      </c>
      <c r="U76" s="87">
        <f>COUNTIFS($D$2:$D$337,"=1",$C$2:$C$337,$O$22,$A$2:$A$337,"&lt;&gt;BSV",$E$2:$E$337,"&gt;565")</f>
        <v>30</v>
      </c>
      <c r="AE76" s="86" t="s">
        <v>393</v>
      </c>
      <c r="AF76" s="48">
        <f>COUNTIFS($D$2:$D$337,"=0",$K$2:$K$337,"=0",$C$2:$C$337,$O$7,$A$2:$A$337,"&lt;&gt;BSV",$E$2:$E$337,"&gt;5", R74:R409,"&lt;&gt;-")</f>
        <v>5</v>
      </c>
      <c r="AG76" s="48">
        <f>COUNTIFS($D$2:$D$337,"=0",$K$2:$K$337,"=0",$C$2:$C$337,$O$12,$A$2:$A$337,"&lt;&gt;BSV",$E$2:$E$337,"&gt;5", S74:S409,"&lt;&gt;-")</f>
        <v>12</v>
      </c>
      <c r="AH76" s="48">
        <f>COUNTIFS($D$2:$D$337,"=0",$K$2:$K$337,"=0",$C$2:$C$337,$O$17,$A$2:$A$337,"&lt;&gt;BSV",$E$2:$E$337,"&gt;5", T74:T409,"&lt;&gt;-")</f>
        <v>8</v>
      </c>
      <c r="AI76" s="48">
        <f>COUNTIFS($D$2:$D$337,"=0",$C$2:$C$337,$O$22,$A$2:$A$337,"&lt;&gt;BSV",$E$2:$E$337,"&gt;5")</f>
        <v>9</v>
      </c>
    </row>
    <row r="77" spans="1:41">
      <c r="A77" s="1" t="s">
        <v>216</v>
      </c>
      <c r="B77" s="8" t="s">
        <v>228</v>
      </c>
      <c r="C77" s="1">
        <v>2</v>
      </c>
      <c r="D77" s="1">
        <v>0</v>
      </c>
      <c r="E77" s="18">
        <v>40</v>
      </c>
      <c r="F77" s="1">
        <v>5.0000000000000002E-5</v>
      </c>
      <c r="G77" s="1">
        <v>100</v>
      </c>
      <c r="I77">
        <f t="shared" si="21"/>
        <v>0</v>
      </c>
      <c r="J77">
        <f t="shared" si="22"/>
        <v>0</v>
      </c>
      <c r="K77">
        <f t="shared" si="23"/>
        <v>0</v>
      </c>
      <c r="L77" s="144" t="b">
        <f t="shared" si="19"/>
        <v>1</v>
      </c>
      <c r="M77" s="144">
        <f t="shared" si="20"/>
        <v>0</v>
      </c>
      <c r="Q77" s="84" t="s">
        <v>359</v>
      </c>
      <c r="R77" s="84">
        <f>R75+R76</f>
        <v>39</v>
      </c>
      <c r="S77" s="84">
        <f t="shared" ref="S77:U77" si="24">S75+S76</f>
        <v>38</v>
      </c>
      <c r="T77" s="84">
        <f t="shared" si="24"/>
        <v>60</v>
      </c>
      <c r="U77" s="84">
        <f t="shared" si="24"/>
        <v>48</v>
      </c>
      <c r="AE77" s="86" t="s">
        <v>394</v>
      </c>
      <c r="AF77" s="48">
        <f>COUNTIFS($D$2:$D$337,"=1",$K$2:$K$337,"=1",$C$2:$C$337,$O$7,$A$2:$A$337,"&lt;&gt;BSV",$E$2:$E$337,"&gt;5", R75:R410,"&lt;&gt;-")</f>
        <v>13</v>
      </c>
      <c r="AG77" s="48">
        <f>COUNTIFS($D$2:$D$337,"=1",$K$2:$K$337,"=1",$C$2:$C$337,$O$12,$A$2:$A$337,"&lt;&gt;BSV",$E$2:$E$337,"&gt;5", S75:S410,"&lt;&gt;-")</f>
        <v>7</v>
      </c>
      <c r="AH77" s="48">
        <f>COUNTIFS($D$2:$D$337,"=1",$K$2:$K$337,"=1",$C$2:$C$337,$O$17,$A$2:$A$337,"&lt;&gt;BSV",$E$2:$E$337,"&gt;5", T75:T410,"&lt;&gt;-")</f>
        <v>18</v>
      </c>
      <c r="AI77" s="48">
        <f>COUNTIFS($D$2:$D$337,"=1",$K$2:$K$337,"=1",$C$2:$C$337,$O$22,$A$2:$A$337,"&lt;&gt;BSV",$E$2:$E$337,"&gt;5", U75:U410,"&lt;&gt;-")</f>
        <v>62</v>
      </c>
    </row>
    <row r="78" spans="1:41">
      <c r="A78" s="1" t="s">
        <v>216</v>
      </c>
      <c r="B78" s="8" t="s">
        <v>223</v>
      </c>
      <c r="C78" s="1">
        <v>2</v>
      </c>
      <c r="D78" s="1">
        <v>0</v>
      </c>
      <c r="E78" s="18">
        <v>34</v>
      </c>
      <c r="F78" s="1">
        <v>4.2500000000000003E-5</v>
      </c>
      <c r="G78" s="1">
        <v>100</v>
      </c>
      <c r="I78">
        <f t="shared" si="21"/>
        <v>0</v>
      </c>
      <c r="J78">
        <f t="shared" si="22"/>
        <v>0</v>
      </c>
      <c r="K78">
        <f t="shared" si="23"/>
        <v>0</v>
      </c>
      <c r="L78" s="144" t="b">
        <f t="shared" si="19"/>
        <v>1</v>
      </c>
      <c r="M78" s="144">
        <f t="shared" si="20"/>
        <v>0</v>
      </c>
      <c r="AE78" s="84" t="s">
        <v>359</v>
      </c>
      <c r="AF78" s="84">
        <f>AF76+AF77</f>
        <v>18</v>
      </c>
      <c r="AG78" s="84">
        <f>AG76+AG77</f>
        <v>19</v>
      </c>
      <c r="AH78" s="84">
        <f>AH76+AH77</f>
        <v>26</v>
      </c>
      <c r="AI78" s="84">
        <f>AI76+AI77</f>
        <v>71</v>
      </c>
    </row>
    <row r="79" spans="1:41">
      <c r="A79" s="1" t="s">
        <v>216</v>
      </c>
      <c r="B79" s="8" t="s">
        <v>227</v>
      </c>
      <c r="C79" s="1">
        <v>2</v>
      </c>
      <c r="D79" s="1">
        <v>0</v>
      </c>
      <c r="E79" s="18">
        <v>30</v>
      </c>
      <c r="F79" s="1">
        <v>3.7499999999999997E-5</v>
      </c>
      <c r="G79" s="1">
        <v>100</v>
      </c>
      <c r="I79">
        <f t="shared" si="21"/>
        <v>0</v>
      </c>
      <c r="J79">
        <f t="shared" si="22"/>
        <v>0</v>
      </c>
      <c r="K79">
        <f t="shared" si="23"/>
        <v>0</v>
      </c>
      <c r="L79" s="144" t="b">
        <f t="shared" si="19"/>
        <v>1</v>
      </c>
      <c r="M79" s="144">
        <f t="shared" si="20"/>
        <v>0</v>
      </c>
      <c r="P79" t="s">
        <v>392</v>
      </c>
      <c r="Q79" t="s">
        <v>395</v>
      </c>
      <c r="R79" s="132">
        <v>1</v>
      </c>
      <c r="S79" s="132">
        <v>2</v>
      </c>
      <c r="T79" s="132">
        <v>3</v>
      </c>
      <c r="U79" s="132">
        <v>4</v>
      </c>
      <c r="AO79" s="16"/>
    </row>
    <row r="80" spans="1:41">
      <c r="A80" s="1" t="s">
        <v>216</v>
      </c>
      <c r="B80" s="8" t="s">
        <v>126</v>
      </c>
      <c r="C80" s="1">
        <v>2</v>
      </c>
      <c r="D80" s="1">
        <v>0</v>
      </c>
      <c r="E80" s="18">
        <v>26</v>
      </c>
      <c r="F80" s="1">
        <v>3.2499999999999997E-5</v>
      </c>
      <c r="G80" s="1">
        <v>76.47</v>
      </c>
      <c r="I80">
        <f t="shared" si="21"/>
        <v>0</v>
      </c>
      <c r="J80">
        <f t="shared" si="22"/>
        <v>0</v>
      </c>
      <c r="K80">
        <f t="shared" si="23"/>
        <v>1</v>
      </c>
      <c r="L80" s="144" t="b">
        <f t="shared" si="19"/>
        <v>1</v>
      </c>
      <c r="M80" s="144">
        <f t="shared" si="20"/>
        <v>1</v>
      </c>
      <c r="Q80" s="84" t="s">
        <v>409</v>
      </c>
      <c r="R80" s="87">
        <f>COUNTIFS($C$2:$C$337,$O$7,$A$2:$A$337,"&lt;&gt;BSV",$E$2:$E$337,"&lt;365")</f>
        <v>24</v>
      </c>
      <c r="S80" s="87">
        <f>COUNTIFS($C$2:$C$337,$O$12,$A$2:$A$337,"&lt;&gt;BSV",$E$2:$E$337,"&lt;800")</f>
        <v>35</v>
      </c>
      <c r="T80" s="87">
        <f>COUNTIFS($C$2:$C$337,$O$17,$A$2:$A$337,"&lt;&gt;BSV",$E$2:$E$337,"&lt;209")</f>
        <v>45</v>
      </c>
      <c r="U80" s="87">
        <f>COUNTIFS($C$2:$C$337,$O$22,$A$2:$A$337,"&lt;&gt;BSV",$E$2:$E$337,"&lt;565")</f>
        <v>62</v>
      </c>
      <c r="AF80" s="132">
        <v>1</v>
      </c>
      <c r="AG80" s="132">
        <v>2</v>
      </c>
      <c r="AH80" s="132">
        <v>3</v>
      </c>
      <c r="AI80" s="132">
        <v>4</v>
      </c>
    </row>
    <row r="81" spans="1:41">
      <c r="A81" s="1" t="s">
        <v>216</v>
      </c>
      <c r="B81" s="8" t="s">
        <v>232</v>
      </c>
      <c r="C81" s="1">
        <v>2</v>
      </c>
      <c r="D81" s="1">
        <v>0</v>
      </c>
      <c r="E81" s="18">
        <v>17</v>
      </c>
      <c r="F81" s="1">
        <v>2.1250000000000002E-5</v>
      </c>
      <c r="G81" s="1">
        <v>81.819999999999993</v>
      </c>
      <c r="I81">
        <f t="shared" si="21"/>
        <v>0</v>
      </c>
      <c r="J81">
        <f t="shared" si="22"/>
        <v>0</v>
      </c>
      <c r="K81">
        <f t="shared" si="23"/>
        <v>1</v>
      </c>
      <c r="L81" s="144" t="b">
        <f t="shared" si="19"/>
        <v>1</v>
      </c>
      <c r="M81" s="144">
        <f t="shared" si="20"/>
        <v>1</v>
      </c>
      <c r="Q81" s="84" t="s">
        <v>410</v>
      </c>
      <c r="R81" s="87">
        <f>COUNTIFS($C$2:$C$337,$O$7,$A$2:$A$337,"&lt;&gt;BSV",$E$2:$E$337,"&gt;365")</f>
        <v>19</v>
      </c>
      <c r="S81" s="87">
        <f>COUNTIFS($C$2:$C$337,$O$12,$A$2:$A$337,"&lt;&gt;BSV",$E$2:$E$337,"&gt;800")</f>
        <v>8</v>
      </c>
      <c r="T81" s="87">
        <f>COUNTIFS($C$2:$C$337,$O$17,$A$2:$A$337,"&lt;&gt;BSV",$E$2:$E$337,"&gt;209")</f>
        <v>21</v>
      </c>
      <c r="U81" s="87">
        <f>COUNTIFS($C$2:$C$337,$O$22,$A$2:$A$337,"&lt;&gt;BSV",$E$2:$E$337,"&gt;565")</f>
        <v>30</v>
      </c>
      <c r="AE81" s="84" t="s">
        <v>409</v>
      </c>
      <c r="AF81" s="48">
        <f>COUNTIFS($K$2:$K$337,"=0",$C$2:$C$337,$O$7,$A$2:$A$337,"&lt;&gt;BSV",$E$2:$E$337,"&gt;5", R79:R414,"&lt;&gt;-")</f>
        <v>14</v>
      </c>
      <c r="AG81" s="48">
        <f>COUNTIFS($K$2:$K$337,"=0",$C$2:$C$337,$O$12,$A$2:$A$337,"&lt;&gt;BSV",$E$2:$E$337,"&gt;5", S79:S414,"&lt;&gt;-")</f>
        <v>16</v>
      </c>
      <c r="AH81" s="48">
        <f>COUNTIFS($K$2:$K$337,"=0",$C$2:$C$337,$O$17,$A$2:$A$337,"&lt;&gt;BSV",$E$2:$E$337,"&gt;5", T79:T414,"&lt;&gt;-")</f>
        <v>13</v>
      </c>
      <c r="AI81" s="48">
        <f>COUNTIFS($K$2:$K$337,"=0",$C$2:$C$337,$O$22,$A$2:$A$337,"&lt;&gt;BSV",$E$2:$E$337,"&gt;5", U79:U414,"&lt;&gt;-")</f>
        <v>6</v>
      </c>
    </row>
    <row r="82" spans="1:41">
      <c r="A82" s="1" t="s">
        <v>216</v>
      </c>
      <c r="B82" s="8" t="s">
        <v>221</v>
      </c>
      <c r="C82" s="1">
        <v>2</v>
      </c>
      <c r="D82" s="1">
        <v>0</v>
      </c>
      <c r="E82" s="18">
        <v>9</v>
      </c>
      <c r="F82" s="1">
        <v>1.1250000000000001E-5</v>
      </c>
      <c r="G82" s="1">
        <v>100</v>
      </c>
      <c r="I82">
        <f t="shared" si="21"/>
        <v>0</v>
      </c>
      <c r="J82">
        <f t="shared" si="22"/>
        <v>0</v>
      </c>
      <c r="K82">
        <f t="shared" si="23"/>
        <v>0</v>
      </c>
      <c r="L82" s="144" t="b">
        <f t="shared" si="19"/>
        <v>1</v>
      </c>
      <c r="M82" s="144">
        <f t="shared" si="20"/>
        <v>0</v>
      </c>
      <c r="Q82" s="84" t="s">
        <v>359</v>
      </c>
      <c r="R82" s="84">
        <f>R81+R80</f>
        <v>43</v>
      </c>
      <c r="S82" s="84">
        <f>S81+S80</f>
        <v>43</v>
      </c>
      <c r="T82" s="84">
        <f>T81+T80</f>
        <v>66</v>
      </c>
      <c r="U82" s="84">
        <f>U81+U80</f>
        <v>92</v>
      </c>
      <c r="AE82" s="84" t="s">
        <v>410</v>
      </c>
      <c r="AF82" s="48">
        <f>COUNTIFS($K$2:$K$337,"=1",$C$2:$C$337,$O$7,$A$2:$A$337,"&lt;&gt;BSV",$E$2:$E$337,"&gt;5", R80:R415,"&lt;&gt;-")</f>
        <v>14</v>
      </c>
      <c r="AG82" s="48">
        <f>COUNTIFS($K$2:$K$337,"=1",$C$2:$C$337,$O$12,$A$2:$A$337,"&lt;&gt;BSV",$E$2:$E$337,"&gt;5", S80:S415,"&lt;&gt;-")</f>
        <v>16</v>
      </c>
      <c r="AH82" s="48">
        <f>COUNTIFS($K$2:$K$337,"=1",$C$2:$C$337,$O$17,$A$2:$A$337,"&lt;&gt;BSV",$E$2:$E$337,"&gt;5", T80:T415,"&lt;&gt;-")</f>
        <v>23</v>
      </c>
      <c r="AI82" s="48">
        <f>COUNTIFS($K$2:$K$337,"=1",$C$2:$C$337,$O$22,$A$2:$A$337,"&lt;&gt;BSV",$E$2:$E$337,"&gt;5", U80:U415,"&lt;&gt;-")</f>
        <v>68</v>
      </c>
    </row>
    <row r="83" spans="1:41">
      <c r="A83" s="1" t="s">
        <v>216</v>
      </c>
      <c r="B83" s="8" t="s">
        <v>230</v>
      </c>
      <c r="C83" s="1">
        <v>2</v>
      </c>
      <c r="D83" s="1">
        <v>0</v>
      </c>
      <c r="E83" s="18">
        <v>2</v>
      </c>
      <c r="F83" s="1">
        <v>2.5000000000000002E-6</v>
      </c>
      <c r="G83" s="1" t="s">
        <v>451</v>
      </c>
      <c r="I83">
        <f t="shared" si="21"/>
        <v>0</v>
      </c>
      <c r="J83">
        <f t="shared" si="22"/>
        <v>0</v>
      </c>
      <c r="K83">
        <f t="shared" si="23"/>
        <v>0</v>
      </c>
      <c r="L83" s="144" t="b">
        <f t="shared" si="19"/>
        <v>0</v>
      </c>
      <c r="M83" s="144">
        <f t="shared" si="20"/>
        <v>0</v>
      </c>
      <c r="AE83" s="84" t="s">
        <v>359</v>
      </c>
      <c r="AF83" s="84">
        <f>AF82+AF81</f>
        <v>28</v>
      </c>
      <c r="AG83" s="84">
        <f>AG82+AG81</f>
        <v>32</v>
      </c>
      <c r="AH83" s="84">
        <f>AH82+AH81</f>
        <v>36</v>
      </c>
      <c r="AI83" s="84">
        <f>AI82+AI81</f>
        <v>74</v>
      </c>
      <c r="AO83" s="16"/>
    </row>
    <row r="84" spans="1:41">
      <c r="A84" s="1" t="s">
        <v>216</v>
      </c>
      <c r="B84" s="8" t="s">
        <v>233</v>
      </c>
      <c r="C84" s="1">
        <v>2</v>
      </c>
      <c r="D84" s="1">
        <v>0</v>
      </c>
      <c r="E84" s="18">
        <v>1</v>
      </c>
      <c r="F84" s="1">
        <v>1.2500000000000001E-6</v>
      </c>
      <c r="G84" s="1" t="s">
        <v>451</v>
      </c>
      <c r="I84">
        <f t="shared" si="21"/>
        <v>0</v>
      </c>
      <c r="J84">
        <f t="shared" si="22"/>
        <v>0</v>
      </c>
      <c r="K84">
        <f t="shared" si="23"/>
        <v>0</v>
      </c>
      <c r="L84" s="144" t="b">
        <f t="shared" si="19"/>
        <v>0</v>
      </c>
      <c r="M84" s="144">
        <f t="shared" si="20"/>
        <v>0</v>
      </c>
      <c r="Q84" s="84" t="s">
        <v>407</v>
      </c>
      <c r="R84" s="84">
        <f>COUNTIFS($D$2:$D$337,"=0",$C$2:$C$337,$R$79,$A$2:$A$337,"&lt;&gt;BSV")</f>
        <v>20</v>
      </c>
      <c r="S84" s="84">
        <f>COUNTIFS($D$2:$D$337,"=0",$C$2:$C$337,$S$79,$A$2:$A$337,"&lt;&gt;BSV")</f>
        <v>32</v>
      </c>
      <c r="T84" s="84">
        <f>COUNTIFS($D$2:$D$337,"=0",$C$2:$C$337,$T$79,$A$2:$A$337,"&lt;&gt;BSV")</f>
        <v>43</v>
      </c>
      <c r="U84" s="84">
        <f>COUNTIFS($D$2:$D$337,"=0",$C$2:$C$337,$U$79,$A$2:$A$337,"&lt;&gt;BSV")</f>
        <v>18</v>
      </c>
    </row>
    <row r="85" spans="1:41">
      <c r="A85" s="1" t="s">
        <v>211</v>
      </c>
      <c r="B85" s="8" t="s">
        <v>48</v>
      </c>
      <c r="C85" s="1">
        <v>2</v>
      </c>
      <c r="D85" s="1">
        <v>0</v>
      </c>
      <c r="E85" s="18">
        <v>60</v>
      </c>
      <c r="F85" s="1">
        <v>6.0000000000000002E-5</v>
      </c>
      <c r="G85" s="1">
        <v>93.18</v>
      </c>
      <c r="H85" s="10"/>
      <c r="I85">
        <f t="shared" si="21"/>
        <v>0</v>
      </c>
      <c r="J85">
        <f t="shared" si="22"/>
        <v>0</v>
      </c>
      <c r="K85">
        <f t="shared" si="23"/>
        <v>0</v>
      </c>
      <c r="L85" s="144" t="b">
        <f t="shared" si="19"/>
        <v>1</v>
      </c>
      <c r="M85" s="144">
        <f t="shared" si="20"/>
        <v>0</v>
      </c>
      <c r="Q85" s="84" t="s">
        <v>408</v>
      </c>
      <c r="R85" s="84">
        <f>COUNTIFS($D$2:$D$337,"=1",$C$2:$C$337,$R$79,$A$2:$A$337,"&lt;&gt;BSV")</f>
        <v>23</v>
      </c>
      <c r="S85" s="84">
        <f>COUNTIFS($D$2:$D$337,"=1",$C$2:$C$337,$S$79,$A$2:$A$337,"&lt;&gt;BSV")</f>
        <v>12</v>
      </c>
      <c r="T85" s="84">
        <f>COUNTIFS($D$2:$D$337,"=1",$C$2:$C$337,$T$79,$A$2:$A$337,"&lt;&gt;BSV")</f>
        <v>23</v>
      </c>
      <c r="U85" s="84">
        <f>COUNTIFS($D$2:$D$337,"=1",$C$2:$C$337,$U$79,$A$2:$A$337,"&lt;&gt;BSV")</f>
        <v>77</v>
      </c>
      <c r="AE85" s="84" t="s">
        <v>407</v>
      </c>
      <c r="AF85" s="84">
        <f>COUNTIFS($D$2:$D$337,"=0",$C$2:$C$337,$R$79,$A$2:$A$337,"&lt;&gt;BSV")</f>
        <v>20</v>
      </c>
      <c r="AG85" s="84">
        <f>COUNTIFS($D$2:$D$337,"=0",$C$2:$C$337,$S$79,$A$2:$A$337,"&lt;&gt;BSV")</f>
        <v>32</v>
      </c>
      <c r="AH85" s="84">
        <f>COUNTIFS($D$2:$D$337,"=0",$C$2:$C$337,$T$79,$A$2:$A$337,"&lt;&gt;BSV")</f>
        <v>43</v>
      </c>
      <c r="AI85" s="84">
        <f>COUNTIFS($D$2:$D$337,"=0",$C$2:$C$337,$U$79,$A$2:$A$337,"&lt;&gt;BSV")</f>
        <v>18</v>
      </c>
    </row>
    <row r="86" spans="1:41">
      <c r="A86" s="1" t="s">
        <v>211</v>
      </c>
      <c r="B86" s="8" t="s">
        <v>226</v>
      </c>
      <c r="C86" s="1">
        <v>2</v>
      </c>
      <c r="D86" s="1">
        <v>0</v>
      </c>
      <c r="E86" s="18">
        <v>37</v>
      </c>
      <c r="F86" s="1">
        <v>3.6999999999999998E-5</v>
      </c>
      <c r="G86" s="1">
        <v>95.45</v>
      </c>
      <c r="H86" s="10"/>
      <c r="I86">
        <f t="shared" si="21"/>
        <v>0</v>
      </c>
      <c r="J86">
        <f t="shared" si="22"/>
        <v>0</v>
      </c>
      <c r="K86">
        <f t="shared" si="23"/>
        <v>0</v>
      </c>
      <c r="L86" s="144" t="b">
        <f t="shared" si="19"/>
        <v>1</v>
      </c>
      <c r="M86" s="144">
        <f t="shared" si="20"/>
        <v>0</v>
      </c>
      <c r="Q86" s="84" t="s">
        <v>359</v>
      </c>
      <c r="R86" s="84">
        <f>R84+R85</f>
        <v>43</v>
      </c>
      <c r="S86" s="84">
        <f t="shared" ref="S86:U86" si="25">S84+S85</f>
        <v>44</v>
      </c>
      <c r="T86" s="84">
        <f t="shared" si="25"/>
        <v>66</v>
      </c>
      <c r="U86" s="84">
        <f t="shared" si="25"/>
        <v>95</v>
      </c>
      <c r="AE86" s="84" t="s">
        <v>408</v>
      </c>
      <c r="AF86" s="84">
        <f>COUNTIFS($D$2:$D$337,"=1",$C$2:$C$337,$R$79,$A$2:$A$337,"&lt;&gt;BSV")</f>
        <v>23</v>
      </c>
      <c r="AG86" s="84">
        <f>COUNTIFS($D$2:$D$337,"=1",$C$2:$C$337,$S$79,$A$2:$A$337,"&lt;&gt;BSV")</f>
        <v>12</v>
      </c>
      <c r="AH86" s="84">
        <f>COUNTIFS($D$2:$D$337,"=1",$C$2:$C$337,$T$79,$A$2:$A$337,"&lt;&gt;BSV")</f>
        <v>23</v>
      </c>
      <c r="AI86" s="84">
        <f>COUNTIFS($D$2:$D$337,"=1",$C$2:$C$337,$U$79,$A$2:$A$337,"&lt;&gt;BSV")</f>
        <v>77</v>
      </c>
      <c r="AO86" s="16"/>
    </row>
    <row r="87" spans="1:41">
      <c r="A87" s="1" t="s">
        <v>211</v>
      </c>
      <c r="B87" s="8" t="s">
        <v>228</v>
      </c>
      <c r="C87" s="1">
        <v>2</v>
      </c>
      <c r="D87" s="1">
        <v>0</v>
      </c>
      <c r="E87" s="18">
        <v>15</v>
      </c>
      <c r="F87" s="1">
        <v>1.5E-5</v>
      </c>
      <c r="G87" s="1">
        <v>0</v>
      </c>
      <c r="I87">
        <f t="shared" si="21"/>
        <v>0</v>
      </c>
      <c r="J87">
        <f t="shared" si="22"/>
        <v>0</v>
      </c>
      <c r="K87">
        <f t="shared" si="23"/>
        <v>1</v>
      </c>
      <c r="L87" s="144" t="b">
        <f t="shared" si="19"/>
        <v>1</v>
      </c>
      <c r="M87" s="144">
        <f t="shared" si="20"/>
        <v>1</v>
      </c>
      <c r="AE87" s="84" t="s">
        <v>359</v>
      </c>
      <c r="AF87" s="84">
        <f>AF85+AF86</f>
        <v>43</v>
      </c>
      <c r="AG87" s="84">
        <f>AG85+AG86</f>
        <v>44</v>
      </c>
      <c r="AH87" s="84">
        <f>AH85+AH86</f>
        <v>66</v>
      </c>
      <c r="AI87" s="84">
        <f>AI85+AI86</f>
        <v>95</v>
      </c>
    </row>
    <row r="88" spans="1:41">
      <c r="A88" s="1" t="s">
        <v>211</v>
      </c>
      <c r="B88" s="8" t="s">
        <v>235</v>
      </c>
      <c r="C88" s="1">
        <v>2</v>
      </c>
      <c r="D88" s="1">
        <v>0</v>
      </c>
      <c r="E88" s="18">
        <v>9</v>
      </c>
      <c r="F88" s="1">
        <v>9.0000000000000002E-6</v>
      </c>
      <c r="G88" s="1">
        <v>0</v>
      </c>
      <c r="I88">
        <f t="shared" si="21"/>
        <v>0</v>
      </c>
      <c r="J88">
        <f t="shared" si="22"/>
        <v>0</v>
      </c>
      <c r="K88">
        <f t="shared" si="23"/>
        <v>1</v>
      </c>
      <c r="L88" s="144" t="b">
        <f t="shared" si="19"/>
        <v>1</v>
      </c>
      <c r="M88" s="144">
        <f t="shared" si="20"/>
        <v>1</v>
      </c>
      <c r="Q88" t="s">
        <v>416</v>
      </c>
      <c r="R88">
        <f>(R84-R80) + (R85-R81)</f>
        <v>0</v>
      </c>
      <c r="S88">
        <f>(S84-S80) + (S85-S81)</f>
        <v>1</v>
      </c>
      <c r="T88">
        <f t="shared" ref="T88:U88" si="26">(T84-T80) + (T85-T81)</f>
        <v>0</v>
      </c>
      <c r="U88">
        <f t="shared" si="26"/>
        <v>3</v>
      </c>
    </row>
    <row r="89" spans="1:41">
      <c r="A89" s="1" t="s">
        <v>211</v>
      </c>
      <c r="B89" s="8" t="s">
        <v>227</v>
      </c>
      <c r="C89" s="1">
        <v>2</v>
      </c>
      <c r="D89" s="1">
        <v>0</v>
      </c>
      <c r="E89" s="18">
        <v>6</v>
      </c>
      <c r="F89" s="1">
        <v>6.0000000000000002E-6</v>
      </c>
      <c r="G89" s="1">
        <v>83.33</v>
      </c>
      <c r="H89" s="10"/>
      <c r="I89">
        <f t="shared" si="21"/>
        <v>0</v>
      </c>
      <c r="J89">
        <f t="shared" si="22"/>
        <v>0</v>
      </c>
      <c r="K89">
        <f t="shared" si="23"/>
        <v>0</v>
      </c>
      <c r="L89" s="144" t="b">
        <f t="shared" si="19"/>
        <v>1</v>
      </c>
      <c r="M89" s="144">
        <f t="shared" si="20"/>
        <v>0</v>
      </c>
      <c r="Q89" t="s">
        <v>417</v>
      </c>
      <c r="R89">
        <f>(R80-R75) + (R81-R76)</f>
        <v>4</v>
      </c>
      <c r="S89">
        <f t="shared" ref="S89:U89" si="27">(S80-S75) + (S81-S76)</f>
        <v>5</v>
      </c>
      <c r="T89">
        <f>(T80-T75) + (T81-T76)</f>
        <v>6</v>
      </c>
      <c r="U89">
        <f t="shared" si="27"/>
        <v>44</v>
      </c>
      <c r="AE89" t="s">
        <v>416</v>
      </c>
      <c r="AF89">
        <f>(AF85-AF81) + (AF86-AF82)</f>
        <v>15</v>
      </c>
      <c r="AG89">
        <f>(AG85-AG81) + (AG86-AG82)</f>
        <v>12</v>
      </c>
      <c r="AH89">
        <f>(AH85-AH81) + (AH86-AH82)</f>
        <v>30</v>
      </c>
      <c r="AI89">
        <f>(AI85-AI81) + (AI86-AI82)</f>
        <v>21</v>
      </c>
      <c r="AO89" s="16"/>
    </row>
    <row r="90" spans="1:41">
      <c r="A90" s="1" t="s">
        <v>211</v>
      </c>
      <c r="B90" s="8" t="s">
        <v>221</v>
      </c>
      <c r="C90" s="1">
        <v>2</v>
      </c>
      <c r="D90" s="1">
        <v>0</v>
      </c>
      <c r="E90" s="18">
        <v>1</v>
      </c>
      <c r="F90" s="1">
        <v>9.9999999999999995E-7</v>
      </c>
      <c r="G90" s="1" t="s">
        <v>451</v>
      </c>
      <c r="H90" s="10"/>
      <c r="I90">
        <f t="shared" si="21"/>
        <v>0</v>
      </c>
      <c r="J90">
        <f t="shared" si="22"/>
        <v>0</v>
      </c>
      <c r="K90">
        <f t="shared" si="23"/>
        <v>0</v>
      </c>
      <c r="L90" s="144" t="b">
        <f t="shared" si="19"/>
        <v>0</v>
      </c>
      <c r="M90" s="144">
        <f t="shared" si="20"/>
        <v>0</v>
      </c>
      <c r="Q90" t="s">
        <v>418</v>
      </c>
      <c r="R90">
        <f>R75+R76</f>
        <v>39</v>
      </c>
      <c r="S90">
        <f t="shared" ref="S90:U90" si="28">S75+S76</f>
        <v>38</v>
      </c>
      <c r="T90">
        <f t="shared" si="28"/>
        <v>60</v>
      </c>
      <c r="U90">
        <f t="shared" si="28"/>
        <v>48</v>
      </c>
      <c r="AE90" t="s">
        <v>417</v>
      </c>
      <c r="AF90">
        <f>(AF81-AF76) + (AF82-AF77)</f>
        <v>10</v>
      </c>
      <c r="AG90">
        <f>(AG81-AG76) + (AG82-AG77)</f>
        <v>13</v>
      </c>
      <c r="AH90">
        <f>(AH81-AH76) + (AH82-AH77)</f>
        <v>10</v>
      </c>
      <c r="AI90">
        <f>(AI81-AI76) + (AI82-AI77)</f>
        <v>3</v>
      </c>
      <c r="AO90" s="16"/>
    </row>
    <row r="91" spans="1:41">
      <c r="A91" s="1" t="s">
        <v>211</v>
      </c>
      <c r="B91" s="8" t="s">
        <v>164</v>
      </c>
      <c r="C91" s="1">
        <v>2</v>
      </c>
      <c r="D91" s="1">
        <v>0</v>
      </c>
      <c r="E91" s="18">
        <v>1</v>
      </c>
      <c r="F91" s="1">
        <v>9.9999999999999995E-7</v>
      </c>
      <c r="G91" s="1" t="s">
        <v>451</v>
      </c>
      <c r="I91">
        <f t="shared" si="21"/>
        <v>0</v>
      </c>
      <c r="J91">
        <f t="shared" si="22"/>
        <v>0</v>
      </c>
      <c r="K91">
        <f t="shared" si="23"/>
        <v>0</v>
      </c>
      <c r="L91" s="144" t="b">
        <f t="shared" si="19"/>
        <v>0</v>
      </c>
      <c r="M91" s="144">
        <f t="shared" si="20"/>
        <v>0</v>
      </c>
      <c r="AE91" t="s">
        <v>418</v>
      </c>
      <c r="AF91">
        <f>AF76+AF77</f>
        <v>18</v>
      </c>
      <c r="AG91">
        <f>AG76+AG77</f>
        <v>19</v>
      </c>
      <c r="AH91">
        <f>AH76+AH77</f>
        <v>26</v>
      </c>
      <c r="AI91">
        <f>AI76+AI77</f>
        <v>71</v>
      </c>
      <c r="AO91" s="16"/>
    </row>
    <row r="92" spans="1:41">
      <c r="A92" s="1" t="s">
        <v>218</v>
      </c>
      <c r="B92" s="8" t="s">
        <v>231</v>
      </c>
      <c r="C92" s="1">
        <v>2</v>
      </c>
      <c r="D92" s="1">
        <v>1</v>
      </c>
      <c r="E92" s="18">
        <v>22271</v>
      </c>
      <c r="F92" s="1">
        <v>1</v>
      </c>
      <c r="G92" s="1" t="s">
        <v>439</v>
      </c>
      <c r="I92">
        <f t="shared" si="21"/>
        <v>1</v>
      </c>
      <c r="J92">
        <f t="shared" si="22"/>
        <v>1</v>
      </c>
      <c r="K92">
        <f t="shared" si="23"/>
        <v>0</v>
      </c>
      <c r="L92" s="144" t="b">
        <f t="shared" si="19"/>
        <v>0</v>
      </c>
      <c r="M92" s="144">
        <f t="shared" si="20"/>
        <v>2</v>
      </c>
      <c r="AO92" s="16"/>
    </row>
    <row r="93" spans="1:41">
      <c r="A93" s="1" t="s">
        <v>218</v>
      </c>
      <c r="B93" s="8" t="s">
        <v>220</v>
      </c>
      <c r="C93" s="1">
        <v>2</v>
      </c>
      <c r="D93" s="1">
        <v>1</v>
      </c>
      <c r="E93" s="18">
        <v>682</v>
      </c>
      <c r="F93" s="1">
        <v>3.0622782991334023E-2</v>
      </c>
      <c r="G93" s="1">
        <v>57.41</v>
      </c>
      <c r="I93">
        <f t="shared" si="21"/>
        <v>1</v>
      </c>
      <c r="J93">
        <f t="shared" si="22"/>
        <v>0</v>
      </c>
      <c r="K93">
        <f t="shared" si="23"/>
        <v>1</v>
      </c>
      <c r="L93" s="144" t="b">
        <f t="shared" si="19"/>
        <v>1</v>
      </c>
      <c r="M93" s="144">
        <f t="shared" si="20"/>
        <v>2</v>
      </c>
    </row>
    <row r="94" spans="1:41">
      <c r="A94" s="1" t="s">
        <v>218</v>
      </c>
      <c r="B94" s="8" t="s">
        <v>229</v>
      </c>
      <c r="C94" s="1">
        <v>2</v>
      </c>
      <c r="D94" s="1">
        <v>1</v>
      </c>
      <c r="E94" s="18">
        <v>14</v>
      </c>
      <c r="F94" s="1">
        <v>6.2862017870773652E-4</v>
      </c>
      <c r="G94" s="1">
        <v>0</v>
      </c>
      <c r="I94">
        <f t="shared" si="21"/>
        <v>1</v>
      </c>
      <c r="J94">
        <f t="shared" si="22"/>
        <v>0</v>
      </c>
      <c r="K94">
        <f t="shared" si="23"/>
        <v>1</v>
      </c>
      <c r="L94" s="144" t="b">
        <f t="shared" si="19"/>
        <v>1</v>
      </c>
      <c r="M94" s="144">
        <f t="shared" si="20"/>
        <v>2</v>
      </c>
    </row>
    <row r="95" spans="1:41">
      <c r="A95" s="1" t="s">
        <v>217</v>
      </c>
      <c r="B95" s="8" t="s">
        <v>231</v>
      </c>
      <c r="C95" s="1">
        <v>2</v>
      </c>
      <c r="D95" s="1">
        <v>1</v>
      </c>
      <c r="E95" s="18">
        <v>336</v>
      </c>
      <c r="F95" s="1">
        <v>1</v>
      </c>
      <c r="G95" s="1" t="s">
        <v>439</v>
      </c>
      <c r="I95">
        <f t="shared" si="21"/>
        <v>1</v>
      </c>
      <c r="J95">
        <f t="shared" si="22"/>
        <v>0</v>
      </c>
      <c r="K95">
        <f t="shared" si="23"/>
        <v>0</v>
      </c>
      <c r="L95" s="144" t="b">
        <f t="shared" si="19"/>
        <v>0</v>
      </c>
      <c r="M95" s="144">
        <f t="shared" si="20"/>
        <v>1</v>
      </c>
    </row>
    <row r="96" spans="1:41">
      <c r="A96" s="1" t="s">
        <v>217</v>
      </c>
      <c r="B96" s="8" t="s">
        <v>235</v>
      </c>
      <c r="C96" s="1">
        <v>2</v>
      </c>
      <c r="D96" s="1">
        <v>0</v>
      </c>
      <c r="E96" s="18">
        <v>49</v>
      </c>
      <c r="F96" s="1">
        <v>0.14583333333333334</v>
      </c>
      <c r="G96" s="1">
        <v>68.959999999999994</v>
      </c>
      <c r="I96">
        <f t="shared" si="21"/>
        <v>1</v>
      </c>
      <c r="J96">
        <f t="shared" si="22"/>
        <v>0</v>
      </c>
      <c r="K96">
        <f t="shared" si="23"/>
        <v>1</v>
      </c>
      <c r="L96" s="144" t="b">
        <f t="shared" si="19"/>
        <v>1</v>
      </c>
      <c r="M96" s="144">
        <f t="shared" si="20"/>
        <v>2</v>
      </c>
    </row>
    <row r="97" spans="1:46">
      <c r="A97" s="1" t="s">
        <v>217</v>
      </c>
      <c r="B97" s="8" t="s">
        <v>229</v>
      </c>
      <c r="C97" s="1">
        <v>2</v>
      </c>
      <c r="D97" s="1">
        <v>0</v>
      </c>
      <c r="E97" s="18">
        <v>14</v>
      </c>
      <c r="F97" s="1">
        <v>4.1666666666666664E-2</v>
      </c>
      <c r="G97" s="1">
        <v>0</v>
      </c>
      <c r="I97">
        <f t="shared" si="21"/>
        <v>1</v>
      </c>
      <c r="J97">
        <f t="shared" si="22"/>
        <v>0</v>
      </c>
      <c r="K97">
        <f t="shared" si="23"/>
        <v>1</v>
      </c>
      <c r="L97" s="144" t="b">
        <f t="shared" si="19"/>
        <v>1</v>
      </c>
      <c r="M97" s="144">
        <f t="shared" si="20"/>
        <v>2</v>
      </c>
      <c r="AO97" s="16"/>
    </row>
    <row r="98" spans="1:46">
      <c r="A98" s="1" t="s">
        <v>217</v>
      </c>
      <c r="B98" s="8" t="s">
        <v>224</v>
      </c>
      <c r="C98" s="1">
        <v>2</v>
      </c>
      <c r="D98" s="1">
        <v>0</v>
      </c>
      <c r="E98" s="18">
        <v>9</v>
      </c>
      <c r="F98" s="1">
        <v>2.6785714285714284E-2</v>
      </c>
      <c r="G98" s="1">
        <v>100</v>
      </c>
      <c r="I98">
        <f t="shared" si="21"/>
        <v>1</v>
      </c>
      <c r="J98">
        <f t="shared" si="22"/>
        <v>0</v>
      </c>
      <c r="K98">
        <f t="shared" si="23"/>
        <v>0</v>
      </c>
      <c r="L98" s="144" t="b">
        <f t="shared" si="19"/>
        <v>1</v>
      </c>
      <c r="M98" s="144">
        <f t="shared" si="20"/>
        <v>1</v>
      </c>
      <c r="AO98" s="16"/>
    </row>
    <row r="99" spans="1:46">
      <c r="A99" s="1" t="s">
        <v>217</v>
      </c>
      <c r="B99" s="8" t="s">
        <v>230</v>
      </c>
      <c r="C99" s="1">
        <v>2</v>
      </c>
      <c r="D99" s="1">
        <v>0</v>
      </c>
      <c r="E99" s="18">
        <v>8</v>
      </c>
      <c r="F99" s="1">
        <v>2.3809523809523808E-2</v>
      </c>
      <c r="G99" s="1">
        <v>50</v>
      </c>
      <c r="I99">
        <f t="shared" si="21"/>
        <v>1</v>
      </c>
      <c r="J99">
        <f t="shared" si="22"/>
        <v>0</v>
      </c>
      <c r="K99">
        <f t="shared" si="23"/>
        <v>1</v>
      </c>
      <c r="L99" s="144" t="b">
        <f t="shared" si="19"/>
        <v>1</v>
      </c>
      <c r="M99" s="144">
        <f t="shared" si="20"/>
        <v>2</v>
      </c>
      <c r="AO99" s="16"/>
    </row>
    <row r="100" spans="1:46">
      <c r="A100" s="1" t="s">
        <v>217</v>
      </c>
      <c r="B100" s="8" t="s">
        <v>223</v>
      </c>
      <c r="C100" s="1">
        <v>2</v>
      </c>
      <c r="D100" s="1">
        <v>0</v>
      </c>
      <c r="E100" s="18">
        <v>3</v>
      </c>
      <c r="F100" s="1">
        <v>8.9285714285714281E-3</v>
      </c>
      <c r="G100" s="1" t="s">
        <v>451</v>
      </c>
      <c r="I100">
        <f t="shared" si="21"/>
        <v>1</v>
      </c>
      <c r="J100">
        <f t="shared" si="22"/>
        <v>0</v>
      </c>
      <c r="K100">
        <f t="shared" si="23"/>
        <v>0</v>
      </c>
      <c r="L100" s="144" t="b">
        <f t="shared" si="19"/>
        <v>0</v>
      </c>
      <c r="M100" s="144">
        <f t="shared" si="20"/>
        <v>1</v>
      </c>
      <c r="AO100" s="17"/>
    </row>
    <row r="101" spans="1:46">
      <c r="A101" s="1" t="s">
        <v>217</v>
      </c>
      <c r="B101" s="8" t="s">
        <v>221</v>
      </c>
      <c r="C101" s="1">
        <v>2</v>
      </c>
      <c r="D101" s="1">
        <v>0</v>
      </c>
      <c r="E101" s="18">
        <v>2</v>
      </c>
      <c r="F101" s="1">
        <v>5.9523809523809521E-3</v>
      </c>
      <c r="G101" s="1" t="s">
        <v>451</v>
      </c>
      <c r="I101">
        <f t="shared" ref="I101:I126" si="29">IF(F101&gt;$S$3,1,0)</f>
        <v>1</v>
      </c>
      <c r="J101">
        <f t="shared" si="22"/>
        <v>0</v>
      </c>
      <c r="K101">
        <f t="shared" si="23"/>
        <v>0</v>
      </c>
      <c r="L101" s="144" t="b">
        <f t="shared" si="19"/>
        <v>0</v>
      </c>
      <c r="M101" s="144">
        <f t="shared" si="20"/>
        <v>1</v>
      </c>
      <c r="AO101" s="17"/>
    </row>
    <row r="102" spans="1:46">
      <c r="A102" s="1" t="s">
        <v>217</v>
      </c>
      <c r="B102" s="8" t="s">
        <v>232</v>
      </c>
      <c r="C102" s="1">
        <v>2</v>
      </c>
      <c r="D102" s="1">
        <v>0</v>
      </c>
      <c r="E102" s="18">
        <v>2</v>
      </c>
      <c r="F102" s="1">
        <v>5.9523809523809521E-3</v>
      </c>
      <c r="G102" s="1" t="s">
        <v>451</v>
      </c>
      <c r="I102">
        <f t="shared" si="29"/>
        <v>1</v>
      </c>
      <c r="J102">
        <f t="shared" si="22"/>
        <v>0</v>
      </c>
      <c r="K102">
        <f t="shared" si="23"/>
        <v>0</v>
      </c>
      <c r="L102" s="144" t="b">
        <f t="shared" si="19"/>
        <v>0</v>
      </c>
      <c r="M102" s="144">
        <f t="shared" si="20"/>
        <v>1</v>
      </c>
      <c r="AO102" s="17"/>
    </row>
    <row r="103" spans="1:46">
      <c r="A103" s="1" t="s">
        <v>217</v>
      </c>
      <c r="B103" s="8" t="s">
        <v>233</v>
      </c>
      <c r="C103" s="1">
        <v>2</v>
      </c>
      <c r="D103" s="1">
        <v>0</v>
      </c>
      <c r="E103" s="18">
        <v>1</v>
      </c>
      <c r="F103" s="1">
        <v>2.976190476190476E-3</v>
      </c>
      <c r="G103" s="1" t="s">
        <v>451</v>
      </c>
      <c r="I103">
        <f t="shared" si="29"/>
        <v>1</v>
      </c>
      <c r="J103">
        <f t="shared" si="22"/>
        <v>0</v>
      </c>
      <c r="K103">
        <f t="shared" si="23"/>
        <v>0</v>
      </c>
      <c r="L103" s="144" t="b">
        <f t="shared" si="19"/>
        <v>0</v>
      </c>
      <c r="M103" s="144">
        <f t="shared" si="20"/>
        <v>1</v>
      </c>
      <c r="AO103" s="17"/>
    </row>
    <row r="104" spans="1:46">
      <c r="A104" s="1" t="s">
        <v>219</v>
      </c>
      <c r="B104" s="8" t="s">
        <v>233</v>
      </c>
      <c r="C104" s="1">
        <v>2</v>
      </c>
      <c r="D104" s="1">
        <v>1</v>
      </c>
      <c r="E104" s="18">
        <v>34301</v>
      </c>
      <c r="F104" s="1">
        <v>1</v>
      </c>
      <c r="G104" s="1" t="s">
        <v>439</v>
      </c>
      <c r="I104">
        <f t="shared" si="29"/>
        <v>1</v>
      </c>
      <c r="J104">
        <f t="shared" si="22"/>
        <v>1</v>
      </c>
      <c r="K104">
        <f t="shared" si="23"/>
        <v>0</v>
      </c>
      <c r="L104" s="144" t="b">
        <f t="shared" si="19"/>
        <v>0</v>
      </c>
      <c r="M104" s="144">
        <f t="shared" si="20"/>
        <v>2</v>
      </c>
      <c r="Q104" t="s">
        <v>405</v>
      </c>
      <c r="X104" s="138" t="s">
        <v>406</v>
      </c>
      <c r="Y104" s="48"/>
      <c r="Z104" s="48"/>
      <c r="AA104" s="48"/>
      <c r="AI104" s="138" t="s">
        <v>452</v>
      </c>
      <c r="AJ104" s="48"/>
      <c r="AK104" s="48"/>
      <c r="AL104" s="48"/>
      <c r="AO104" s="17"/>
      <c r="AP104" s="138" t="s">
        <v>455</v>
      </c>
      <c r="AQ104" s="48"/>
      <c r="AR104" s="48"/>
      <c r="AS104" s="48"/>
    </row>
    <row r="105" spans="1:46">
      <c r="A105" s="1" t="s">
        <v>219</v>
      </c>
      <c r="B105" s="8" t="s">
        <v>224</v>
      </c>
      <c r="C105" s="1">
        <v>2</v>
      </c>
      <c r="D105" s="1">
        <v>1</v>
      </c>
      <c r="E105" s="18">
        <v>1060</v>
      </c>
      <c r="F105" s="1">
        <v>3.0902889128596834E-2</v>
      </c>
      <c r="G105" s="1">
        <v>57.5</v>
      </c>
      <c r="I105">
        <f t="shared" si="29"/>
        <v>1</v>
      </c>
      <c r="J105">
        <f t="shared" si="22"/>
        <v>1</v>
      </c>
      <c r="K105">
        <f t="shared" si="23"/>
        <v>1</v>
      </c>
      <c r="L105" s="144" t="b">
        <f t="shared" si="19"/>
        <v>1</v>
      </c>
      <c r="M105" s="144">
        <f t="shared" si="20"/>
        <v>3</v>
      </c>
      <c r="Q105" t="s">
        <v>403</v>
      </c>
      <c r="R105" s="48"/>
      <c r="S105" s="48"/>
      <c r="T105" s="48"/>
      <c r="U105" s="48"/>
      <c r="X105" t="s">
        <v>404</v>
      </c>
      <c r="Y105" s="48"/>
      <c r="Z105" s="48"/>
      <c r="AA105" s="48"/>
      <c r="AB105" s="48"/>
      <c r="AI105" t="s">
        <v>453</v>
      </c>
      <c r="AJ105" s="48"/>
      <c r="AK105" s="48"/>
      <c r="AL105" s="48"/>
      <c r="AM105" s="48"/>
      <c r="AO105" s="17"/>
      <c r="AP105" t="s">
        <v>454</v>
      </c>
      <c r="AQ105" s="48">
        <v>365</v>
      </c>
      <c r="AR105" s="48">
        <v>800</v>
      </c>
      <c r="AS105" s="48">
        <v>209</v>
      </c>
      <c r="AT105" s="48">
        <v>565</v>
      </c>
    </row>
    <row r="106" spans="1:46">
      <c r="A106" s="1" t="s">
        <v>219</v>
      </c>
      <c r="B106" s="8" t="s">
        <v>235</v>
      </c>
      <c r="C106" s="1">
        <v>2</v>
      </c>
      <c r="D106" s="1">
        <v>1</v>
      </c>
      <c r="E106" s="18">
        <v>233</v>
      </c>
      <c r="F106" s="1">
        <v>6.7928048744934546E-3</v>
      </c>
      <c r="G106" s="1">
        <v>69.39</v>
      </c>
      <c r="I106">
        <f t="shared" si="29"/>
        <v>1</v>
      </c>
      <c r="J106">
        <f t="shared" si="22"/>
        <v>0</v>
      </c>
      <c r="K106">
        <f t="shared" si="23"/>
        <v>1</v>
      </c>
      <c r="L106" s="144" t="b">
        <f t="shared" si="19"/>
        <v>1</v>
      </c>
      <c r="M106" s="144">
        <f t="shared" si="20"/>
        <v>2</v>
      </c>
      <c r="Q106" s="86" t="s">
        <v>397</v>
      </c>
      <c r="R106" s="87">
        <f>COUNTIFS($D$2:$D$337,"=0",$C$2:$C$337,$R$79,$A$2:$A$337,"&lt;&gt;BSV",$E$2:$E$337,"&lt;365",$I$2:$I$337,"=0",$E$2:$E$337,"&gt;5")</f>
        <v>0</v>
      </c>
      <c r="S106" s="87">
        <f>COUNTIFS($D$2:$D$337,"=0",$C$2:$C$337,$S$79,$A$2:$A$337,"&lt;&gt;BSV",$E$2:$E$337,"&lt;800",$I$2:$I$337,"=0",$E$2:$E$337,"&gt;5")</f>
        <v>14</v>
      </c>
      <c r="T106" s="87">
        <f>COUNTIFS($D$2:$D$337,"=0",$C$2:$C$337,$T$79,$A$2:$A$337,"&lt;&gt;BSV",$E$2:$E$337,"&lt;209",$I$2:$I$337,"=0",$E$2:$E$337,"&gt;5")</f>
        <v>10</v>
      </c>
      <c r="U106" s="87">
        <f>COUNTIFS($D$2:$D$337,"=0",$C$2:$C$337,$U$79,$A$2:$A$337,"&lt;&gt;BSV",$E$2:$E$337,"&lt;565",$I$2:$I$337,"=0",$E$2:$E$337,"&gt;5")</f>
        <v>3</v>
      </c>
      <c r="X106" s="86" t="s">
        <v>397</v>
      </c>
      <c r="Y106" s="87">
        <f>COUNTIFS($D$2:$D$337,"=0",$C$2:$C$337,$R$79,$A$2:$A$337,"&lt;&gt;BSV",$E$2:$E$337,"&lt;365",$I$2:$I$337,"=0")</f>
        <v>9</v>
      </c>
      <c r="Z106" s="87">
        <f>COUNTIFS($D$2:$D$337,"=0",$C$2:$C$337,$S$79,$A$2:$A$337,"&lt;&gt;BSV",$E$2:$E$337,"&lt;800",$I$2:$I$337,"=0")</f>
        <v>21</v>
      </c>
      <c r="AA106" s="87">
        <f>COUNTIFS($D$2:$D$337,"=0",$C$2:$C$337,$T$79,$A$2:$A$337,"&lt;&gt;BSV",$E$2:$E$337,"&lt;209",$I$2:$I$337,"=0")</f>
        <v>39</v>
      </c>
      <c r="AB106" s="87">
        <f>COUNTIFS($D$2:$D$337,"=0",$C$2:$C$337,$U$79,$A$2:$A$337,"&lt;&gt;BSV",$E$2:$E$337,"&lt;565",$I$2:$I$337,"=0")</f>
        <v>10</v>
      </c>
      <c r="AI106" s="86" t="s">
        <v>397</v>
      </c>
      <c r="AJ106" s="87">
        <f>COUNTIFS($D$2:$D$337,"=0",$C$2:$C$337,$R$79,$A$2:$A$337,"&lt;&gt;BSV",$I$2:$I$337,"=0", U74:U409,"&lt;&gt;-",$K$2:$K$337,"=0")</f>
        <v>9</v>
      </c>
      <c r="AK106" s="87">
        <f>COUNTIFS($D$2:$D$337,"=0",$C$2:$C$337,$S$79,$A$2:$A$337,"&lt;&gt;BSV",$I$2:$I$337,"=0", U74:U409,"&lt;&gt;-",$K$2:$K$337,"=0")</f>
        <v>16</v>
      </c>
      <c r="AL106" s="87">
        <f>COUNTIFS($D$2:$D$337,"=0",$C$2:$C$337,$T$79,$A$2:$A$337,"&lt;&gt;BSV",$I$2:$I$337,"=0", U74:U409,"&lt;&gt;-",$K$2:$K$337,"=0")</f>
        <v>36</v>
      </c>
      <c r="AM106" s="87">
        <f>COUNTIFS($D$2:$D$337,"=0",$C$2:$C$337,$U$79,$A$2:$A$337,"&lt;&gt;BSV",$I$2:$I$337,"=0", U74:U409,"&lt;&gt;-",$K$2:$K$337,"=0")</f>
        <v>10</v>
      </c>
      <c r="AP106" s="86" t="s">
        <v>397</v>
      </c>
      <c r="AQ106" s="87">
        <f>COUNTIFS($D$2:$D$337,"=0",$C$2:$C$337,$R$79,$A$2:$A$337,"&lt;&gt;BSV",$E$2:$E$337,"&lt;365",AB74:AB409,"&lt;&gt;-",$K$2:$K$337,"=0")</f>
        <v>19</v>
      </c>
      <c r="AR106" s="87">
        <f>COUNTIFS($D$2:$D$337,"=0",$C$2:$C$337,$S$79,$A$2:$A$337,"&lt;&gt;BSV",$E$2:$E$337,"&lt;800",AB74:AB409,"&lt;&gt;-",$K$2:$K$337,"=0")</f>
        <v>23</v>
      </c>
      <c r="AS106" s="87">
        <f>COUNTIFS($D$2:$D$337,"=0",$C$2:$C$337,$T$79,$A$2:$A$337,"&lt;&gt;BSV",$E$2:$E$337,"&lt;209", AB74:AB409,"&lt;&gt;-",$K$2:$K$337,"=0")</f>
        <v>38</v>
      </c>
      <c r="AT106" s="87">
        <f>COUNTIFS($D$2:$D$337,"=0",$C$2:$C$337,$U$79,$A$2:$A$337,"&lt;&gt;BSV",$E$2:$E$337,"&lt;565", AB74:AB409,"&lt;&gt;-",$K$2:$K$337,"=0")</f>
        <v>12</v>
      </c>
    </row>
    <row r="107" spans="1:46">
      <c r="A107" s="1" t="s">
        <v>187</v>
      </c>
      <c r="B107" s="8" t="s">
        <v>228</v>
      </c>
      <c r="C107" s="1">
        <v>2</v>
      </c>
      <c r="D107" s="1">
        <v>1</v>
      </c>
      <c r="E107" s="18">
        <v>61654</v>
      </c>
      <c r="F107" s="1">
        <v>1</v>
      </c>
      <c r="G107" s="1" t="s">
        <v>451</v>
      </c>
      <c r="H107" s="10"/>
      <c r="I107">
        <f t="shared" si="29"/>
        <v>1</v>
      </c>
      <c r="J107">
        <f t="shared" si="22"/>
        <v>1</v>
      </c>
      <c r="K107">
        <f t="shared" si="23"/>
        <v>0</v>
      </c>
      <c r="L107" s="144" t="b">
        <f t="shared" si="19"/>
        <v>0</v>
      </c>
      <c r="M107" s="144">
        <f t="shared" si="20"/>
        <v>2</v>
      </c>
      <c r="Q107" s="86" t="s">
        <v>398</v>
      </c>
      <c r="R107" s="87">
        <f>COUNTIFS($D$2:$D$337,"=1",$C$2:$C$337,$R$79,$A$2:$A$337,"&lt;&gt;BSV",$E$2:$E$337,"&gt;365",$I$2:$I$337,"=1",$E$2:$E$337,"&gt;5")</f>
        <v>19</v>
      </c>
      <c r="S107" s="87">
        <f>COUNTIFS($D$2:$D$337,"=1",$C$2:$C$337,$S$79,$A$2:$A$337,"&lt;&gt;BSV",$E$2:$E$337,"&gt;800",$I$2:$I$337,"=1",$E$2:$E$337,"&gt;5")</f>
        <v>7</v>
      </c>
      <c r="T107" s="87">
        <f>COUNTIFS($D$2:$D$337,"=1",$C$2:$C$337,$T$79,$A$2:$A$337,"&lt;&gt;BSV",$E$2:$E$337,"&gt;209",$I$2:$I$337,"=1",$E$2:$E$337,"&gt;5")</f>
        <v>19</v>
      </c>
      <c r="U107" s="87">
        <f>COUNTIFS($D$2:$D$337,"=1",$C$2:$C$337,$U$79,$A$2:$A$337,"&lt;&gt;BSV",$E$2:$E$337,"&gt;565",$I$2:$I$337,"=1",$E$2:$E$337,"&gt;5")</f>
        <v>30</v>
      </c>
      <c r="X107" s="86" t="s">
        <v>398</v>
      </c>
      <c r="Y107" s="87">
        <f>COUNTIFS($D$2:$D$337,"=1",$C$2:$C$337,$R$79,$A$2:$A$337,"&lt;&gt;BSV",$E$2:$E$337,"&gt;365",$I$2:$I$337,"=1",$E$2:$E$337,"&gt;5")</f>
        <v>19</v>
      </c>
      <c r="Z107" s="87">
        <f>COUNTIFS($D$2:$D$337,"=1",$C$2:$C$337,$S$79,$A$2:$A$337,"&lt;&gt;BSV",$E$2:$E$337,"&gt;800",$I$2:$I$337,"=1",$E$2:$E$337,"&gt;5")</f>
        <v>7</v>
      </c>
      <c r="AA107" s="87">
        <f>COUNTIFS($D$2:$D$337,"=1",$C$2:$C$337,$T$79,$A$2:$A$337,"&lt;&gt;BSV",$E$2:$E$337,"&gt;209",$I$2:$I$337,"=1",$E$2:$E$337,"&gt;5")</f>
        <v>19</v>
      </c>
      <c r="AB107" s="87">
        <f>COUNTIFS($D$2:$D$337,"=1",$C$2:$C$337,$U$79,$A$2:$A$337,"&lt;&gt;BSV",$E$2:$E$337,"&gt;565",$I$2:$I$337,"=1",$E$2:$E$337,"&gt;5")</f>
        <v>30</v>
      </c>
      <c r="AI107" s="86" t="s">
        <v>398</v>
      </c>
      <c r="AJ107" s="87">
        <f>COUNTIFS($D$2:$D$337,"=1",$C$2:$C$337,$R$79,$A$2:$A$337,"&lt;&gt;BSV", U74:U409,"&lt;&gt;-",$K$2:$K$337,"=1",$I$2:$I$337,"=1",$E$2:$E$337,"&gt;5")</f>
        <v>13</v>
      </c>
      <c r="AK107" s="87">
        <f>COUNTIFS($D$2:$D$337,"=1",$C$2:$C$337,$S$79,$A$2:$A$337,"&lt;&gt;BSV", U74:U409,"&lt;&gt;-",$K$2:$K$337,"=1",$I$2:$I$337,"=1",$E$2:$E$337,"&gt;5")</f>
        <v>7</v>
      </c>
      <c r="AL107" s="87">
        <f>COUNTIFS($D$2:$D$337,"=1",$C$2:$C$337,$T$79,$A$2:$A$337,"&lt;&gt;BSV", U74:U409,"&lt;&gt;-",$K$2:$K$337,"=1",$I$2:$I$337,"=1",$E$2:$E$337,"&gt;5")</f>
        <v>18</v>
      </c>
      <c r="AM107" s="87">
        <f>COUNTIFS($D$2:$D$337,"=1",$C$2:$C$337,$U$79,$A$2:$A$337,"&lt;&gt;BSV", U74:U409,"&lt;&gt;-",$K$2:$K$337,"=1",$I$2:$I$337,"=1",$E$2:$E$337,"&gt;5")</f>
        <v>61</v>
      </c>
      <c r="AO107" s="16"/>
      <c r="AP107" s="86" t="s">
        <v>398</v>
      </c>
      <c r="AQ107" s="87">
        <f>COUNTIFS($D$2:$D$337,"=1",$C$2:$C$337,$R$79,$A$2:$A$337,"&lt;&gt;BSV", AB74:AB409,"&lt;&gt;-",$K$2:$K$337,"=1",$E$2:$E$337,"&gt;365",$E$2:$E$337,"&gt;5")</f>
        <v>11</v>
      </c>
      <c r="AR107" s="87">
        <f>COUNTIFS($D$2:$D$337,"=1",$C$2:$C$337,$S$79,$A$2:$A$337,"&lt;&gt;BSV", AB74:AB409,"&lt;&gt;-",$K$2:$K$337,"=1",$E$2:$E$337,"&gt;800",$E$2:$E$337,"&gt;5")</f>
        <v>4</v>
      </c>
      <c r="AS107" s="87">
        <f>COUNTIFS($D$2:$D$337,"=1",$C$2:$C$337,$T$79,$A$2:$A$337,"&lt;&gt;BSV", AB74:AB409,"&lt;&gt;-",$K$2:$K$337,"=1",$E$2:$E$337,"&gt;209",$E$2:$E$337,"&gt;5")</f>
        <v>14</v>
      </c>
      <c r="AT107" s="87">
        <f>COUNTIFS($D$2:$D$337,"=1",$C$2:$C$337,$U$79,$A$2:$A$337,"&lt;&gt;BSV", AB74:AB409,"&lt;&gt;-",$K$2:$K$337,"=1",$E$2:$E$337,"&gt;565",$E$2:$E$337,"&gt;5")</f>
        <v>27</v>
      </c>
    </row>
    <row r="108" spans="1:46">
      <c r="A108" s="1" t="s">
        <v>187</v>
      </c>
      <c r="B108" s="8" t="s">
        <v>229</v>
      </c>
      <c r="C108" s="1">
        <v>2</v>
      </c>
      <c r="D108" s="1">
        <v>1</v>
      </c>
      <c r="E108" s="18">
        <v>17217</v>
      </c>
      <c r="F108" s="1">
        <v>0.27925195445550977</v>
      </c>
      <c r="G108" s="1" t="s">
        <v>451</v>
      </c>
      <c r="I108">
        <f t="shared" si="29"/>
        <v>1</v>
      </c>
      <c r="J108">
        <f t="shared" si="22"/>
        <v>1</v>
      </c>
      <c r="K108">
        <f t="shared" si="23"/>
        <v>0</v>
      </c>
      <c r="L108" s="144" t="b">
        <f t="shared" si="19"/>
        <v>0</v>
      </c>
      <c r="M108" s="144">
        <f t="shared" si="20"/>
        <v>2</v>
      </c>
      <c r="AP108"/>
    </row>
    <row r="109" spans="1:46">
      <c r="A109" s="1" t="s">
        <v>187</v>
      </c>
      <c r="B109" s="8" t="s">
        <v>230</v>
      </c>
      <c r="C109" s="1">
        <v>2</v>
      </c>
      <c r="D109" s="1">
        <v>1</v>
      </c>
      <c r="E109" s="18">
        <v>4067</v>
      </c>
      <c r="F109" s="1">
        <v>6.5964900898562953E-2</v>
      </c>
      <c r="G109" s="1" t="s">
        <v>451</v>
      </c>
      <c r="I109">
        <f t="shared" si="29"/>
        <v>1</v>
      </c>
      <c r="J109">
        <f t="shared" si="22"/>
        <v>1</v>
      </c>
      <c r="K109">
        <f t="shared" si="23"/>
        <v>0</v>
      </c>
      <c r="L109" s="144" t="b">
        <f t="shared" si="19"/>
        <v>0</v>
      </c>
      <c r="M109" s="144">
        <f t="shared" si="20"/>
        <v>2</v>
      </c>
      <c r="AP109"/>
    </row>
    <row r="110" spans="1:46">
      <c r="A110" s="1" t="s">
        <v>187</v>
      </c>
      <c r="B110" s="8" t="s">
        <v>225</v>
      </c>
      <c r="C110" s="1">
        <v>2</v>
      </c>
      <c r="D110" s="1">
        <v>0</v>
      </c>
      <c r="E110" s="18">
        <v>2638</v>
      </c>
      <c r="F110" s="1">
        <v>4.2787167093781428E-2</v>
      </c>
      <c r="G110" s="1" t="s">
        <v>451</v>
      </c>
      <c r="I110">
        <f t="shared" si="29"/>
        <v>1</v>
      </c>
      <c r="J110">
        <f t="shared" si="22"/>
        <v>1</v>
      </c>
      <c r="K110">
        <f t="shared" si="23"/>
        <v>0</v>
      </c>
      <c r="L110" s="144" t="b">
        <f t="shared" si="19"/>
        <v>0</v>
      </c>
      <c r="M110" s="144">
        <f t="shared" si="20"/>
        <v>2</v>
      </c>
      <c r="Q110" s="86" t="s">
        <v>411</v>
      </c>
      <c r="R110" s="87">
        <f>COUNTIFS($C$2:$C$337,$R$79,$A$2:$A$337,"&lt;&gt;BSV",$E$2:$E$337,"&lt;365",$I$2:$I$337,"=0",$E$2:$E$337,"&gt;5")</f>
        <v>0</v>
      </c>
      <c r="S110" s="87">
        <f>COUNTIFS($C$2:$C$337,$S$79,$A$2:$A$337,"&lt;&gt;BSV",$E$2:$E$337,"&lt;800",$I$2:$I$337,"=0",$E$2:$E$337,"&gt;5")</f>
        <v>14</v>
      </c>
      <c r="T110" s="87">
        <f>COUNTIFS($C$2:$C$337,$T$79,$A$2:$A$337,"&lt;&gt;BSV",$E$2:$E$337,"&lt;209",$I$2:$I$337,"=0",$E$2:$E$337,"&gt;5")</f>
        <v>10</v>
      </c>
      <c r="U110" s="87">
        <f>COUNTIFS($C$2:$C$337,$U$79,$A$2:$A$337,"&lt;&gt;BSV",$E$2:$E$337,"&lt;565",$I$2:$I$337,"=0",$E$2:$E$337,"&gt;5")</f>
        <v>4</v>
      </c>
      <c r="X110" s="86" t="s">
        <v>399</v>
      </c>
      <c r="Y110" s="87">
        <f>COUNTIFS($C$2:$C$337,$R$79,$A$2:$A$337,"&lt;&gt;BSV",$E$2:$E$337,"&lt;365",$I$2:$I$337,"=0")</f>
        <v>9</v>
      </c>
      <c r="Z110" s="87">
        <f>COUNTIFS($C$2:$C$337,$S$79,$A$2:$A$337,"&lt;&gt;BSV",$E$2:$E$337,"&lt;800",$I$2:$I$337,"=0")</f>
        <v>21</v>
      </c>
      <c r="AA110" s="87">
        <f>COUNTIFS($C$2:$C$337,$T$79,$A$2:$A$337,"&lt;&gt;BSV",$E$2:$E$337,"&lt;209",$I$2:$I$337,"=0")</f>
        <v>39</v>
      </c>
      <c r="AB110" s="87">
        <f>COUNTIFS($C$2:$C$337,$U$79,$A$2:$A$337,"&lt;&gt;BSV",$E$2:$E$337,"&lt;565",$I$2:$I$337,"=0")</f>
        <v>11</v>
      </c>
      <c r="AI110" s="86" t="s">
        <v>399</v>
      </c>
      <c r="AJ110" s="87">
        <f>COUNTIFS($C$2:$C$337,$R$79,$A$2:$A$337,"&lt;&gt;BSV", U74:U409,"&lt;&gt;-",$K$2:$K$337,"=0",$I$2:$I$337,"=0")</f>
        <v>9</v>
      </c>
      <c r="AK110" s="87">
        <f>COUNTIFS($C$2:$C$337,$S$79,$A$2:$A$337,"&lt;&gt;BSV", U74:U409,"&lt;&gt;-",$K$2:$K$337,"=0",$I$2:$I$337,"=0")</f>
        <v>16</v>
      </c>
      <c r="AL110" s="87">
        <f>COUNTIFS($C$2:$C$337,$T$79,$A$2:$A$337,"&lt;&gt;BSV", U74:U409,"&lt;&gt;-",$K$2:$K$337,"=0",$I$2:$I$337,"=0")</f>
        <v>36</v>
      </c>
      <c r="AM110" s="87">
        <f>COUNTIFS($C$2:$C$337,$U$79,$A$2:$A$337,"&lt;&gt;BSV", U74:U409,"&lt;&gt;-",$K$2:$K$337,"=0",$I$2:$I$337,"=0")</f>
        <v>10</v>
      </c>
      <c r="AP110" s="86" t="s">
        <v>399</v>
      </c>
      <c r="AQ110" s="87">
        <f>COUNTIFS($C$2:$C$337,$R$79,$A$2:$A$337,"&lt;&gt;BSV", AB74:AB409,"&lt;&gt;-",$K$2:$K$337,"=0",$E$2:$E$337,"&lt;365")</f>
        <v>21</v>
      </c>
      <c r="AR110" s="87">
        <f>COUNTIFS($C$2:$C$337,$S$79,$A$2:$A$337,"&lt;&gt;BSV", AB74:AB409,"&lt;&gt;-",$K$2:$K$337,"=0",$E$2:$E$337,"&lt;800")</f>
        <v>24</v>
      </c>
      <c r="AS110" s="87">
        <f>COUNTIFS($C$2:$C$337,$T$79,$A$2:$A$337,"&lt;&gt;BSV", AB74:AB409,"&lt;&gt;-",$K$2:$K$337,"=0",$E$2:$E$337,"&lt;209")</f>
        <v>38</v>
      </c>
      <c r="AT110" s="87">
        <f>COUNTIFS($C$2:$C$337,$U$79,$A$2:$A$337,"&lt;&gt;BSV", AB74:AB409,"&lt;&gt;-",$K$2:$K$337,"=0",$E$2:$E$337,"&lt;565")</f>
        <v>21</v>
      </c>
    </row>
    <row r="111" spans="1:46">
      <c r="A111" s="1" t="s">
        <v>187</v>
      </c>
      <c r="B111" s="8" t="s">
        <v>48</v>
      </c>
      <c r="C111" s="1">
        <v>2</v>
      </c>
      <c r="D111" s="1">
        <v>0</v>
      </c>
      <c r="E111" s="18">
        <v>543</v>
      </c>
      <c r="F111" s="1">
        <v>8.8072144548609985E-3</v>
      </c>
      <c r="G111" s="1" t="s">
        <v>451</v>
      </c>
      <c r="I111">
        <f t="shared" si="29"/>
        <v>1</v>
      </c>
      <c r="J111">
        <f t="shared" si="22"/>
        <v>0</v>
      </c>
      <c r="K111">
        <f t="shared" si="23"/>
        <v>0</v>
      </c>
      <c r="L111" s="144" t="b">
        <f t="shared" si="19"/>
        <v>0</v>
      </c>
      <c r="M111" s="144">
        <f t="shared" si="20"/>
        <v>1</v>
      </c>
      <c r="Q111" s="86" t="s">
        <v>412</v>
      </c>
      <c r="R111" s="87">
        <f>COUNTIFS($C$2:$C$337,$R$79,$A$2:$A$337,"&lt;&gt;BSV",$E$2:$E$337,"&gt;365",$I$2:$I$337,"=1",$E$2:$E$337,"&gt;5")</f>
        <v>19</v>
      </c>
      <c r="S111" s="87">
        <f>COUNTIFS($C$2:$C$337,$S$79,$A$2:$A$337,"&lt;&gt;BSV",$E$2:$E$337,"&gt;800",$I$2:$I$337,"=1",$E$2:$E$337,"&gt;5")</f>
        <v>8</v>
      </c>
      <c r="T111" s="87">
        <f>COUNTIFS($C$2:$C$337,$T$79,$A$2:$A$337,"&lt;&gt;BSV",$E$2:$E$337,"&gt;209",$I$2:$I$337,"=1",$E$2:$E$337,"&gt;5")</f>
        <v>21</v>
      </c>
      <c r="U111" s="87">
        <f>COUNTIFS($C$2:$C$337,$U$79,$A$2:$A$337,"&lt;&gt;BSV",$E$2:$E$337,"&gt;565",$I$2:$I$337,"=1",$E$2:$E$337,"&gt;5")</f>
        <v>30</v>
      </c>
      <c r="X111" s="86" t="s">
        <v>400</v>
      </c>
      <c r="Y111" s="87">
        <f>COUNTIFS($C$2:$C$337,$R$79,$A$2:$A$337,"&lt;&gt;BSV",$E$2:$E$337,"&gt;365",$I$2:$I$337,"=1",$E$2:$E$337,"&gt;5")</f>
        <v>19</v>
      </c>
      <c r="Z111" s="87">
        <f>COUNTIFS($C$2:$C$337,$S$79,$A$2:$A$337,"&lt;&gt;BSV",$E$2:$E$337,"&gt;800",$I$2:$I$337,"=1",$E$2:$E$337,"&gt;5")</f>
        <v>8</v>
      </c>
      <c r="AA111" s="87">
        <f>COUNTIFS($C$2:$C$337,$T$79,$A$2:$A$337,"&lt;&gt;BSV",$E$2:$E$337,"&gt;209",$I$2:$I$337,"=1",$E$2:$E$337,"&gt;5")</f>
        <v>21</v>
      </c>
      <c r="AB111" s="87">
        <f>COUNTIFS($C$2:$C$337,$U$79,$A$2:$A$337,"&lt;&gt;BSV",$E$2:$E$337,"&gt;565",$I$2:$I$337,"=1",$E$2:$E$337,"&gt;5")</f>
        <v>30</v>
      </c>
      <c r="AI111" s="86" t="s">
        <v>400</v>
      </c>
      <c r="AJ111" s="87">
        <f>COUNTIFS($C$2:$C$337,$R$79,$A$2:$A$337,"&lt;&gt;BSV", U74:U409,"&lt;&gt;-",$K$2:$K$337,"=1",$I$2:$I$337,"=1",$E$2:$E$337,"&gt;5")</f>
        <v>14</v>
      </c>
      <c r="AK111" s="87">
        <f>COUNTIFS($C$2:$C$337,$S$79,$A$2:$A$337,"&lt;&gt;BSV", U74:U409,"&lt;&gt;-",$K$2:$K$337,"=1",$I$2:$I$337,"=1",$E$2:$E$337,"&gt;5")</f>
        <v>11</v>
      </c>
      <c r="AL111" s="87">
        <f>COUNTIFS($C$2:$C$337,$T$79,$A$2:$A$337,"&lt;&gt;BSV", U74:U409,"&lt;&gt;-",$K$2:$K$337,"=1",$I$2:$I$337,"=1",$E$2:$E$337,"&gt;5")</f>
        <v>20</v>
      </c>
      <c r="AM111" s="87">
        <f>COUNTIFS($C$2:$C$337,$U$79,$A$2:$A$337,"&lt;&gt;BSV", U74:U409,"&lt;&gt;-",$K$2:$K$337,"=1",$I$2:$I$337,"=1",$E$2:$E$337,"&gt;5")</f>
        <v>67</v>
      </c>
      <c r="AO111" s="16"/>
      <c r="AP111" s="86" t="s">
        <v>400</v>
      </c>
      <c r="AQ111" s="87">
        <f>COUNTIFS($C$2:$C$337,$R$79,$A$2:$A$337,"&lt;&gt;BSV", AB74:AB409,"&lt;&gt;-",$K$2:$K$337,"=1",$E$2:$E$337,"&gt;365",$E$2:$E$337,"&gt;5")</f>
        <v>11</v>
      </c>
      <c r="AR111" s="87">
        <f>COUNTIFS($C$2:$C$337,$S$79,$A$2:$A$337,"&lt;&gt;BSV", AB74:AB409,"&lt;&gt;-",$K$2:$K$337,"=1",$E$2:$E$337,"&gt;800",$E$2:$E$337,"&gt;5")</f>
        <v>5</v>
      </c>
      <c r="AS111" s="87">
        <f>COUNTIFS($C$2:$C$337,$T$79,$A$2:$A$337,"&lt;&gt;BSV", AB74:AB409,"&lt;&gt;-",$K$2:$K$337,"=1",$E$2:$E$337,"&gt;209",$E$2:$E$337,"&gt;5")</f>
        <v>16</v>
      </c>
      <c r="AT111" s="87">
        <f>COUNTIFS($C$2:$C$337,$U$79,$A$2:$A$337,"&lt;&gt;BSV", AB74:AB409,"&lt;&gt;-",$K$2:$K$337,"=1",$E$2:$E$337,"&gt;565",$E$2:$E$337,"&gt;5")</f>
        <v>27</v>
      </c>
    </row>
    <row r="112" spans="1:46">
      <c r="A112" s="1" t="s">
        <v>187</v>
      </c>
      <c r="B112" s="8" t="s">
        <v>231</v>
      </c>
      <c r="C112" s="1">
        <v>2</v>
      </c>
      <c r="D112" s="1">
        <v>1</v>
      </c>
      <c r="E112" s="18">
        <v>223</v>
      </c>
      <c r="F112" s="1">
        <v>3.6169591591786419E-3</v>
      </c>
      <c r="G112" s="1" t="s">
        <v>451</v>
      </c>
      <c r="I112">
        <f t="shared" si="29"/>
        <v>1</v>
      </c>
      <c r="J112">
        <f t="shared" si="22"/>
        <v>0</v>
      </c>
      <c r="K112">
        <f t="shared" si="23"/>
        <v>0</v>
      </c>
      <c r="L112" s="144" t="b">
        <f t="shared" si="19"/>
        <v>0</v>
      </c>
      <c r="M112" s="144">
        <f t="shared" si="20"/>
        <v>1</v>
      </c>
      <c r="AP112"/>
    </row>
    <row r="113" spans="1:46">
      <c r="A113" s="1" t="s">
        <v>187</v>
      </c>
      <c r="B113" s="8" t="s">
        <v>226</v>
      </c>
      <c r="C113" s="1">
        <v>2</v>
      </c>
      <c r="D113" s="1">
        <v>0</v>
      </c>
      <c r="E113" s="18">
        <v>199</v>
      </c>
      <c r="F113" s="1">
        <v>3.2276900120024655E-3</v>
      </c>
      <c r="G113" s="1" t="s">
        <v>451</v>
      </c>
      <c r="I113">
        <f t="shared" si="29"/>
        <v>1</v>
      </c>
      <c r="J113">
        <f t="shared" si="22"/>
        <v>0</v>
      </c>
      <c r="K113">
        <f t="shared" si="23"/>
        <v>0</v>
      </c>
      <c r="L113" s="144" t="b">
        <f t="shared" si="19"/>
        <v>0</v>
      </c>
      <c r="M113" s="144">
        <f t="shared" si="20"/>
        <v>1</v>
      </c>
      <c r="X113" s="84" t="s">
        <v>390</v>
      </c>
      <c r="Y113" s="84">
        <f>COUNTIFS($D$2:$D$337,"=0",$C$2:$C$337,$R$79,$A$2:$A$337,"&lt;&gt;BSV")</f>
        <v>20</v>
      </c>
      <c r="Z113" s="84">
        <f>COUNTIFS($D$2:$D$337,"=0",$C$2:$C$337,$S$79,$A$2:$A$337,"&lt;&gt;BSV")</f>
        <v>32</v>
      </c>
      <c r="AA113" s="84">
        <f>COUNTIFS($D$2:$D$337,"=0",$C$2:$C$337,$T$79,$A$2:$A$337,"&lt;&gt;BSV")</f>
        <v>43</v>
      </c>
      <c r="AB113" s="84">
        <f>COUNTIFS($D$2:$D$337,"=0",$C$2:$C$337,$U$79,$A$2:$A$337,"&lt;&gt;BSV")</f>
        <v>18</v>
      </c>
      <c r="AI113" s="84" t="s">
        <v>390</v>
      </c>
      <c r="AJ113" s="84">
        <f>COUNTIFS($D$2:$D$337,"=0",$C$2:$C$337,$R$79,$A$2:$A$337,"&lt;&gt;BSV")</f>
        <v>20</v>
      </c>
      <c r="AK113" s="84">
        <f>COUNTIFS($D$2:$D$337,"=0",$C$2:$C$337,$S$79,$A$2:$A$337,"&lt;&gt;BSV")</f>
        <v>32</v>
      </c>
      <c r="AL113" s="84">
        <f>COUNTIFS($D$2:$D$337,"=0",$C$2:$C$337,$T$79,$A$2:$A$337,"&lt;&gt;BSV")</f>
        <v>43</v>
      </c>
      <c r="AM113" s="84">
        <f>COUNTIFS($D$2:$D$337,"=0",$C$2:$C$337,$U$79,$A$2:$A$337,"&lt;&gt;BSV")</f>
        <v>18</v>
      </c>
      <c r="AP113" s="84" t="s">
        <v>390</v>
      </c>
      <c r="AQ113" s="84">
        <f>COUNTIFS($D$2:$D$337,"=0",$C$2:$C$337,$R$79,$A$2:$A$337,"&lt;&gt;BSV")</f>
        <v>20</v>
      </c>
      <c r="AR113" s="84">
        <f>COUNTIFS($D$2:$D$337,"=0",$C$2:$C$337,$S$79,$A$2:$A$337,"&lt;&gt;BSV")</f>
        <v>32</v>
      </c>
      <c r="AS113" s="84">
        <f>COUNTIFS($D$2:$D$337,"=0",$C$2:$C$337,$T$79,$A$2:$A$337,"&lt;&gt;BSV")</f>
        <v>43</v>
      </c>
      <c r="AT113" s="84">
        <f>COUNTIFS($D$2:$D$337,"=0",$C$2:$C$337,$U$79,$A$2:$A$337,"&lt;&gt;BSV")</f>
        <v>18</v>
      </c>
    </row>
    <row r="114" spans="1:46">
      <c r="A114" s="1" t="s">
        <v>187</v>
      </c>
      <c r="B114" s="8" t="s">
        <v>227</v>
      </c>
      <c r="C114" s="1">
        <v>2</v>
      </c>
      <c r="D114" s="1">
        <v>0</v>
      </c>
      <c r="E114" s="18">
        <v>172</v>
      </c>
      <c r="F114" s="1">
        <v>2.7897622214292667E-3</v>
      </c>
      <c r="G114" s="1" t="s">
        <v>451</v>
      </c>
      <c r="I114">
        <f t="shared" si="29"/>
        <v>1</v>
      </c>
      <c r="J114">
        <f t="shared" si="22"/>
        <v>0</v>
      </c>
      <c r="K114">
        <f t="shared" si="23"/>
        <v>0</v>
      </c>
      <c r="L114" s="144" t="b">
        <f t="shared" si="19"/>
        <v>0</v>
      </c>
      <c r="M114" s="144">
        <f t="shared" si="20"/>
        <v>1</v>
      </c>
      <c r="Q114" s="84" t="s">
        <v>390</v>
      </c>
      <c r="R114" s="84">
        <f>COUNTIFS($D$2:$D$337,"=0",$C$2:$C$337,$R$79,$A$2:$A$337,"&lt;&gt;BSV")</f>
        <v>20</v>
      </c>
      <c r="S114" s="84">
        <f>COUNTIFS($D$2:$D$337,"=0",$C$2:$C$337,$S$79,$A$2:$A$337,"&lt;&gt;BSV")</f>
        <v>32</v>
      </c>
      <c r="T114" s="84">
        <f>COUNTIFS($D$2:$D$337,"=0",$C$2:$C$337,$T$79,$A$2:$A$337,"&lt;&gt;BSV")</f>
        <v>43</v>
      </c>
      <c r="U114" s="84">
        <f>COUNTIFS($D$2:$D$337,"=0",$C$2:$C$337,$U$79,$A$2:$A$337,"&lt;&gt;BSV")</f>
        <v>18</v>
      </c>
      <c r="X114" s="84" t="s">
        <v>391</v>
      </c>
      <c r="Y114" s="84">
        <f>COUNTIFS($D$2:$D$337,"=1",$C$2:$C$337,$R$79,$A$2:$A$337,"&lt;&gt;BSV")</f>
        <v>23</v>
      </c>
      <c r="Z114" s="84">
        <f>COUNTIFS($D$2:$D$337,"=1",$C$2:$C$337,$S$79,$A$2:$A$337,"&lt;&gt;BSV")</f>
        <v>12</v>
      </c>
      <c r="AA114" s="84">
        <f>COUNTIFS($D$2:$D$337,"=1",$C$2:$C$337,$T$79,$A$2:$A$337,"&lt;&gt;BSV")</f>
        <v>23</v>
      </c>
      <c r="AB114" s="84">
        <f>COUNTIFS($D$2:$D$337,"=1",$C$2:$C$337,$U$79,$A$2:$A$337,"&lt;&gt;BSV")</f>
        <v>77</v>
      </c>
      <c r="AI114" s="84" t="s">
        <v>391</v>
      </c>
      <c r="AJ114" s="84">
        <f>COUNTIFS($D$2:$D$337,"=1",$C$2:$C$337,$R$79,$A$2:$A$337,"&lt;&gt;BSV")</f>
        <v>23</v>
      </c>
      <c r="AK114" s="84">
        <f>COUNTIFS($D$2:$D$337,"=1",$C$2:$C$337,$S$79,$A$2:$A$337,"&lt;&gt;BSV")</f>
        <v>12</v>
      </c>
      <c r="AL114" s="84">
        <f>COUNTIFS($D$2:$D$337,"=1",$C$2:$C$337,$T$79,$A$2:$A$337,"&lt;&gt;BSV")</f>
        <v>23</v>
      </c>
      <c r="AM114" s="84">
        <f>COUNTIFS($D$2:$D$337,"=1",$C$2:$C$337,$U$79,$A$2:$A$337,"&lt;&gt;BSV")</f>
        <v>77</v>
      </c>
      <c r="AP114" s="84" t="s">
        <v>391</v>
      </c>
      <c r="AQ114" s="84">
        <f>COUNTIFS($D$2:$D$337,"=1",$C$2:$C$337,$R$79,$A$2:$A$337,"&lt;&gt;BSV")</f>
        <v>23</v>
      </c>
      <c r="AR114" s="84">
        <f>COUNTIFS($D$2:$D$337,"=1",$C$2:$C$337,$S$79,$A$2:$A$337,"&lt;&gt;BSV")</f>
        <v>12</v>
      </c>
      <c r="AS114" s="84">
        <f>COUNTIFS($D$2:$D$337,"=1",$C$2:$C$337,$T$79,$A$2:$A$337,"&lt;&gt;BSV")</f>
        <v>23</v>
      </c>
      <c r="AT114" s="84">
        <f>COUNTIFS($D$2:$D$337,"=1",$C$2:$C$337,$U$79,$A$2:$A$337,"&lt;&gt;BSV")</f>
        <v>77</v>
      </c>
    </row>
    <row r="115" spans="1:46">
      <c r="A115" s="1" t="s">
        <v>187</v>
      </c>
      <c r="B115" s="8" t="s">
        <v>220</v>
      </c>
      <c r="C115" s="1">
        <v>2</v>
      </c>
      <c r="D115" s="1">
        <v>0</v>
      </c>
      <c r="E115" s="18">
        <v>109</v>
      </c>
      <c r="F115" s="1">
        <v>1.7679307100918027E-3</v>
      </c>
      <c r="G115" s="1" t="s">
        <v>451</v>
      </c>
      <c r="I115">
        <f t="shared" si="29"/>
        <v>1</v>
      </c>
      <c r="J115">
        <f t="shared" si="22"/>
        <v>0</v>
      </c>
      <c r="K115">
        <f t="shared" si="23"/>
        <v>0</v>
      </c>
      <c r="L115" s="144" t="b">
        <f t="shared" si="19"/>
        <v>0</v>
      </c>
      <c r="M115" s="144">
        <f t="shared" si="20"/>
        <v>1</v>
      </c>
      <c r="Q115" s="84" t="s">
        <v>391</v>
      </c>
      <c r="R115" s="84">
        <f>COUNTIFS($D$2:$D$337,"=1",$C$2:$C$337,$R$79,$A$2:$A$337,"&lt;&gt;BSV")</f>
        <v>23</v>
      </c>
      <c r="S115" s="84">
        <f>COUNTIFS($D$2:$D$337,"=1",$C$2:$C$337,$S$79,$A$2:$A$337,"&lt;&gt;BSV")</f>
        <v>12</v>
      </c>
      <c r="T115" s="84">
        <f>COUNTIFS($D$2:$D$337,"=1",$C$2:$C$337,$T$79,$A$2:$A$337,"&lt;&gt;BSV")</f>
        <v>23</v>
      </c>
      <c r="U115" s="84">
        <f>COUNTIFS($D$2:$D$337,"=1",$C$2:$C$337,$U$79,$A$2:$A$337,"&lt;&gt;BSV")</f>
        <v>77</v>
      </c>
      <c r="X115" s="84" t="s">
        <v>359</v>
      </c>
      <c r="Y115" s="84">
        <f>Y113+Y114</f>
        <v>43</v>
      </c>
      <c r="Z115" s="84">
        <f t="shared" ref="Z115:AB115" si="30">Z113+Z114</f>
        <v>44</v>
      </c>
      <c r="AA115" s="84">
        <f t="shared" si="30"/>
        <v>66</v>
      </c>
      <c r="AB115" s="84">
        <f t="shared" si="30"/>
        <v>95</v>
      </c>
      <c r="AI115" s="84" t="s">
        <v>359</v>
      </c>
      <c r="AJ115" s="84">
        <f>AJ113+AJ114</f>
        <v>43</v>
      </c>
      <c r="AK115" s="84">
        <f t="shared" ref="AK115:AM115" si="31">AK113+AK114</f>
        <v>44</v>
      </c>
      <c r="AL115" s="84">
        <f t="shared" si="31"/>
        <v>66</v>
      </c>
      <c r="AM115" s="84">
        <f t="shared" si="31"/>
        <v>95</v>
      </c>
      <c r="AO115" s="16"/>
      <c r="AP115" s="84" t="s">
        <v>359</v>
      </c>
      <c r="AQ115" s="84">
        <f>AQ113+AQ114</f>
        <v>43</v>
      </c>
      <c r="AR115" s="84">
        <f t="shared" ref="AR115:AT115" si="32">AR113+AR114</f>
        <v>44</v>
      </c>
      <c r="AS115" s="84">
        <f t="shared" si="32"/>
        <v>66</v>
      </c>
      <c r="AT115" s="84">
        <f t="shared" si="32"/>
        <v>95</v>
      </c>
    </row>
    <row r="116" spans="1:46">
      <c r="A116" s="1" t="s">
        <v>187</v>
      </c>
      <c r="B116" s="8" t="s">
        <v>221</v>
      </c>
      <c r="C116" s="1">
        <v>2</v>
      </c>
      <c r="D116" s="1">
        <v>0</v>
      </c>
      <c r="E116" s="18">
        <v>46</v>
      </c>
      <c r="F116" s="1">
        <v>7.4609919875433868E-4</v>
      </c>
      <c r="G116" s="1" t="s">
        <v>451</v>
      </c>
      <c r="H116" s="10"/>
      <c r="I116">
        <f t="shared" si="29"/>
        <v>1</v>
      </c>
      <c r="J116">
        <f t="shared" si="22"/>
        <v>0</v>
      </c>
      <c r="K116">
        <f t="shared" si="23"/>
        <v>0</v>
      </c>
      <c r="L116" s="144" t="b">
        <f t="shared" si="19"/>
        <v>0</v>
      </c>
      <c r="M116" s="144">
        <f t="shared" si="20"/>
        <v>1</v>
      </c>
      <c r="Q116" s="84" t="s">
        <v>359</v>
      </c>
      <c r="R116" s="84">
        <f>R114+R115</f>
        <v>43</v>
      </c>
      <c r="S116" s="84">
        <f t="shared" ref="S116:U116" si="33">S114+S115</f>
        <v>44</v>
      </c>
      <c r="T116" s="84">
        <f t="shared" si="33"/>
        <v>66</v>
      </c>
      <c r="U116" s="84">
        <f t="shared" si="33"/>
        <v>95</v>
      </c>
      <c r="AP116"/>
    </row>
    <row r="117" spans="1:46">
      <c r="A117" s="1" t="s">
        <v>187</v>
      </c>
      <c r="B117" s="8" t="s">
        <v>222</v>
      </c>
      <c r="C117" s="1">
        <v>2</v>
      </c>
      <c r="D117" s="1">
        <v>0</v>
      </c>
      <c r="E117" s="18">
        <v>46</v>
      </c>
      <c r="F117" s="1">
        <v>7.4609919875433868E-4</v>
      </c>
      <c r="G117" s="1" t="s">
        <v>451</v>
      </c>
      <c r="I117">
        <f t="shared" si="29"/>
        <v>1</v>
      </c>
      <c r="J117">
        <f t="shared" si="22"/>
        <v>0</v>
      </c>
      <c r="K117">
        <f t="shared" si="23"/>
        <v>0</v>
      </c>
      <c r="L117" s="144" t="b">
        <f t="shared" si="19"/>
        <v>0</v>
      </c>
      <c r="M117" s="144">
        <f t="shared" si="20"/>
        <v>1</v>
      </c>
      <c r="X117" t="s">
        <v>416</v>
      </c>
      <c r="Y117">
        <f>(Y113-Y110) + (Y114-Y111)</f>
        <v>15</v>
      </c>
      <c r="Z117">
        <f t="shared" ref="Z117:AB117" si="34">(Z113-Z110) + (Z114-Z111)</f>
        <v>15</v>
      </c>
      <c r="AA117">
        <f t="shared" si="34"/>
        <v>6</v>
      </c>
      <c r="AB117">
        <f t="shared" si="34"/>
        <v>54</v>
      </c>
      <c r="AI117" t="s">
        <v>416</v>
      </c>
      <c r="AJ117">
        <f>(AJ113-AJ110) + (AJ114-AJ111)</f>
        <v>20</v>
      </c>
      <c r="AK117">
        <f t="shared" ref="AK117:AL117" si="35">(AK113-AK110) + (AK114-AK111)</f>
        <v>17</v>
      </c>
      <c r="AL117">
        <f t="shared" si="35"/>
        <v>10</v>
      </c>
      <c r="AM117">
        <f>(AM113-AM110) + (AM114-AM111)</f>
        <v>18</v>
      </c>
      <c r="AP117" t="s">
        <v>416</v>
      </c>
      <c r="AQ117">
        <f>(AQ113-AQ110) + (AQ114-AQ111)</f>
        <v>11</v>
      </c>
      <c r="AR117">
        <f>(AR113-AR110) + (AR114-AR111)</f>
        <v>15</v>
      </c>
      <c r="AS117">
        <f t="shared" ref="AS117" si="36">(AS113-AS110) + (AS114-AS111)</f>
        <v>12</v>
      </c>
      <c r="AT117">
        <f>(AT113-AT110) + (AT114-AT111)</f>
        <v>47</v>
      </c>
    </row>
    <row r="118" spans="1:46">
      <c r="A118" s="1" t="s">
        <v>187</v>
      </c>
      <c r="B118" s="8" t="s">
        <v>223</v>
      </c>
      <c r="C118" s="1">
        <v>2</v>
      </c>
      <c r="D118" s="1">
        <v>0</v>
      </c>
      <c r="E118" s="18">
        <v>44</v>
      </c>
      <c r="F118" s="1">
        <v>7.1366010315632405E-4</v>
      </c>
      <c r="G118" s="1" t="s">
        <v>451</v>
      </c>
      <c r="H118" s="10"/>
      <c r="I118">
        <f t="shared" si="29"/>
        <v>1</v>
      </c>
      <c r="J118">
        <f t="shared" si="22"/>
        <v>0</v>
      </c>
      <c r="K118">
        <f t="shared" si="23"/>
        <v>0</v>
      </c>
      <c r="L118" s="144" t="b">
        <f t="shared" si="19"/>
        <v>0</v>
      </c>
      <c r="M118" s="144">
        <f t="shared" si="20"/>
        <v>1</v>
      </c>
      <c r="X118" t="s">
        <v>417</v>
      </c>
      <c r="Y118">
        <f>(Y110-Y106) + (Y111-Y107)</f>
        <v>0</v>
      </c>
      <c r="Z118">
        <f t="shared" ref="Z118:AB118" si="37">(Z110-Z106) + (Z111-Z107)</f>
        <v>1</v>
      </c>
      <c r="AA118">
        <f t="shared" si="37"/>
        <v>2</v>
      </c>
      <c r="AB118">
        <f t="shared" si="37"/>
        <v>1</v>
      </c>
      <c r="AI118" t="s">
        <v>417</v>
      </c>
      <c r="AJ118">
        <f>(AJ110-AJ106) + (AJ111-AJ107)</f>
        <v>1</v>
      </c>
      <c r="AK118">
        <f t="shared" ref="AK118:AM118" si="38">(AK110-AK106) + (AK111-AK107)</f>
        <v>4</v>
      </c>
      <c r="AL118">
        <f t="shared" si="38"/>
        <v>2</v>
      </c>
      <c r="AM118">
        <f t="shared" si="38"/>
        <v>6</v>
      </c>
      <c r="AP118" t="s">
        <v>417</v>
      </c>
      <c r="AQ118">
        <f>(AQ110-AQ106) + (AQ111-AQ107)</f>
        <v>2</v>
      </c>
      <c r="AR118">
        <f>(AR110-AR106) + (AR111-AR107)</f>
        <v>2</v>
      </c>
      <c r="AS118">
        <f t="shared" ref="AS118:AT118" si="39">(AS110-AS106) + (AS111-AS107)</f>
        <v>2</v>
      </c>
      <c r="AT118">
        <f t="shared" si="39"/>
        <v>9</v>
      </c>
    </row>
    <row r="119" spans="1:46">
      <c r="A119" s="1" t="s">
        <v>216</v>
      </c>
      <c r="B119" s="8" t="s">
        <v>48</v>
      </c>
      <c r="C119" s="1">
        <v>2</v>
      </c>
      <c r="D119" s="1">
        <v>1</v>
      </c>
      <c r="E119" s="18">
        <v>800000</v>
      </c>
      <c r="F119" s="1">
        <v>1</v>
      </c>
      <c r="G119" s="1">
        <v>48.24</v>
      </c>
      <c r="I119">
        <f t="shared" si="29"/>
        <v>1</v>
      </c>
      <c r="J119">
        <f t="shared" si="22"/>
        <v>1</v>
      </c>
      <c r="K119">
        <f t="shared" si="23"/>
        <v>1</v>
      </c>
      <c r="L119" s="144" t="b">
        <f t="shared" si="19"/>
        <v>1</v>
      </c>
      <c r="M119" s="144">
        <f t="shared" si="20"/>
        <v>3</v>
      </c>
      <c r="X119" t="s">
        <v>418</v>
      </c>
      <c r="Y119">
        <f>Y106+Y107</f>
        <v>28</v>
      </c>
      <c r="Z119">
        <f t="shared" ref="Z119:AB119" si="40">Z106+Z107</f>
        <v>28</v>
      </c>
      <c r="AA119">
        <f t="shared" si="40"/>
        <v>58</v>
      </c>
      <c r="AB119">
        <f t="shared" si="40"/>
        <v>40</v>
      </c>
      <c r="AI119" t="s">
        <v>418</v>
      </c>
      <c r="AJ119">
        <f>AJ106+AJ107</f>
        <v>22</v>
      </c>
      <c r="AK119">
        <f t="shared" ref="AK119:AM119" si="41">AK106+AK107</f>
        <v>23</v>
      </c>
      <c r="AL119">
        <f t="shared" si="41"/>
        <v>54</v>
      </c>
      <c r="AM119">
        <f t="shared" si="41"/>
        <v>71</v>
      </c>
      <c r="AP119" t="s">
        <v>418</v>
      </c>
      <c r="AQ119">
        <f>AQ106+AQ107</f>
        <v>30</v>
      </c>
      <c r="AR119">
        <f t="shared" ref="AR119:AT119" si="42">AR106+AR107</f>
        <v>27</v>
      </c>
      <c r="AS119">
        <f t="shared" si="42"/>
        <v>52</v>
      </c>
      <c r="AT119">
        <f t="shared" si="42"/>
        <v>39</v>
      </c>
    </row>
    <row r="120" spans="1:46">
      <c r="A120" s="1" t="s">
        <v>216</v>
      </c>
      <c r="B120" s="8" t="s">
        <v>164</v>
      </c>
      <c r="C120" s="1">
        <v>2</v>
      </c>
      <c r="D120" s="1">
        <v>1</v>
      </c>
      <c r="E120" s="18" t="s">
        <v>440</v>
      </c>
      <c r="F120" s="1">
        <v>0.89500000000000002</v>
      </c>
      <c r="G120" s="1" t="s">
        <v>439</v>
      </c>
      <c r="I120">
        <f t="shared" si="29"/>
        <v>1</v>
      </c>
      <c r="J120">
        <f t="shared" si="22"/>
        <v>1</v>
      </c>
      <c r="K120">
        <f t="shared" si="23"/>
        <v>0</v>
      </c>
      <c r="L120" s="144" t="b">
        <f t="shared" si="19"/>
        <v>0</v>
      </c>
      <c r="M120" s="144">
        <f t="shared" si="20"/>
        <v>2</v>
      </c>
    </row>
    <row r="121" spans="1:46">
      <c r="A121" s="1" t="s">
        <v>216</v>
      </c>
      <c r="B121" s="8" t="s">
        <v>234</v>
      </c>
      <c r="C121" s="1">
        <v>2</v>
      </c>
      <c r="D121" s="1">
        <v>1</v>
      </c>
      <c r="E121" s="18">
        <v>376701</v>
      </c>
      <c r="F121" s="1">
        <v>0.47087625</v>
      </c>
      <c r="G121" s="1">
        <v>10.76</v>
      </c>
      <c r="I121">
        <f t="shared" si="29"/>
        <v>1</v>
      </c>
      <c r="J121">
        <f t="shared" si="22"/>
        <v>1</v>
      </c>
      <c r="K121">
        <f t="shared" si="23"/>
        <v>1</v>
      </c>
      <c r="L121" s="144" t="b">
        <f t="shared" si="19"/>
        <v>1</v>
      </c>
      <c r="M121" s="144">
        <f t="shared" si="20"/>
        <v>3</v>
      </c>
    </row>
    <row r="122" spans="1:46">
      <c r="A122" s="1" t="s">
        <v>216</v>
      </c>
      <c r="B122" s="8" t="s">
        <v>220</v>
      </c>
      <c r="C122" s="1">
        <v>2</v>
      </c>
      <c r="D122" s="1">
        <v>0</v>
      </c>
      <c r="E122" s="18">
        <v>242</v>
      </c>
      <c r="F122" s="1">
        <v>3.0249999999999998E-4</v>
      </c>
      <c r="G122" s="1">
        <v>90.54</v>
      </c>
      <c r="I122">
        <f t="shared" si="29"/>
        <v>1</v>
      </c>
      <c r="J122">
        <f t="shared" si="22"/>
        <v>0</v>
      </c>
      <c r="K122">
        <f t="shared" si="23"/>
        <v>0</v>
      </c>
      <c r="L122" s="144" t="b">
        <f t="shared" si="19"/>
        <v>1</v>
      </c>
      <c r="M122" s="144">
        <f t="shared" si="20"/>
        <v>1</v>
      </c>
    </row>
    <row r="123" spans="1:46">
      <c r="A123" s="1" t="s">
        <v>216</v>
      </c>
      <c r="B123" s="8" t="s">
        <v>222</v>
      </c>
      <c r="C123" s="1">
        <v>2</v>
      </c>
      <c r="D123" s="1">
        <v>0</v>
      </c>
      <c r="E123" s="18">
        <v>151</v>
      </c>
      <c r="F123" s="1">
        <v>1.8875000000000001E-4</v>
      </c>
      <c r="G123" s="1">
        <v>93.65</v>
      </c>
      <c r="I123">
        <f t="shared" si="29"/>
        <v>1</v>
      </c>
      <c r="J123">
        <f t="shared" si="22"/>
        <v>0</v>
      </c>
      <c r="K123">
        <f t="shared" si="23"/>
        <v>0</v>
      </c>
      <c r="L123" s="144" t="b">
        <f t="shared" si="19"/>
        <v>1</v>
      </c>
      <c r="M123" s="144">
        <f t="shared" si="20"/>
        <v>1</v>
      </c>
    </row>
    <row r="124" spans="1:46" ht="16.5" customHeight="1">
      <c r="A124" s="1" t="s">
        <v>211</v>
      </c>
      <c r="B124" s="8" t="s">
        <v>229</v>
      </c>
      <c r="C124" s="1">
        <v>2</v>
      </c>
      <c r="D124" s="1">
        <v>1</v>
      </c>
      <c r="E124" s="18">
        <v>1000000</v>
      </c>
      <c r="F124" s="1">
        <v>1</v>
      </c>
      <c r="G124" s="1" t="s">
        <v>439</v>
      </c>
      <c r="H124" s="10"/>
      <c r="I124">
        <f t="shared" si="29"/>
        <v>1</v>
      </c>
      <c r="J124">
        <f t="shared" si="22"/>
        <v>1</v>
      </c>
      <c r="K124">
        <f t="shared" si="23"/>
        <v>0</v>
      </c>
      <c r="L124" s="144" t="b">
        <f t="shared" si="19"/>
        <v>0</v>
      </c>
      <c r="M124" s="144">
        <f t="shared" si="20"/>
        <v>2</v>
      </c>
    </row>
    <row r="125" spans="1:46">
      <c r="A125" s="1" t="s">
        <v>211</v>
      </c>
      <c r="B125" s="8" t="s">
        <v>223</v>
      </c>
      <c r="C125" s="1">
        <v>2</v>
      </c>
      <c r="D125" s="1">
        <v>1</v>
      </c>
      <c r="E125" s="18">
        <v>69111</v>
      </c>
      <c r="F125" s="1">
        <v>6.9111000000000006E-2</v>
      </c>
      <c r="G125" s="1">
        <v>0.13</v>
      </c>
      <c r="I125">
        <f t="shared" si="29"/>
        <v>1</v>
      </c>
      <c r="J125">
        <f t="shared" si="22"/>
        <v>1</v>
      </c>
      <c r="K125">
        <f t="shared" si="23"/>
        <v>1</v>
      </c>
      <c r="L125" s="144" t="b">
        <f t="shared" si="19"/>
        <v>1</v>
      </c>
      <c r="M125" s="144">
        <f t="shared" si="20"/>
        <v>3</v>
      </c>
    </row>
    <row r="126" spans="1:46">
      <c r="A126" s="1" t="s">
        <v>211</v>
      </c>
      <c r="B126" s="130" t="s">
        <v>220</v>
      </c>
      <c r="C126" s="129">
        <v>2</v>
      </c>
      <c r="D126" s="1">
        <v>0</v>
      </c>
      <c r="E126" s="18">
        <v>18286</v>
      </c>
      <c r="F126" s="1">
        <v>1.8286E-2</v>
      </c>
      <c r="G126" s="1">
        <v>0</v>
      </c>
      <c r="H126" s="10"/>
      <c r="I126">
        <f t="shared" si="29"/>
        <v>1</v>
      </c>
      <c r="J126">
        <f t="shared" si="22"/>
        <v>1</v>
      </c>
      <c r="K126">
        <f t="shared" si="23"/>
        <v>1</v>
      </c>
      <c r="L126" s="144" t="b">
        <f t="shared" si="19"/>
        <v>1</v>
      </c>
      <c r="M126" s="144">
        <f t="shared" si="20"/>
        <v>3</v>
      </c>
      <c r="AO126" s="16"/>
    </row>
    <row r="127" spans="1:46">
      <c r="A127" s="1" t="s">
        <v>217</v>
      </c>
      <c r="B127" s="8" t="s">
        <v>246</v>
      </c>
      <c r="C127" s="1">
        <v>3</v>
      </c>
      <c r="D127" s="1">
        <v>0</v>
      </c>
      <c r="E127" s="18">
        <v>89</v>
      </c>
      <c r="F127" s="1">
        <v>1.6396070101489831E-4</v>
      </c>
      <c r="G127" s="1">
        <v>81.42</v>
      </c>
      <c r="I127">
        <f t="shared" ref="I127:I158" si="43">IF(F127&gt;$T$3,1,0)</f>
        <v>0</v>
      </c>
      <c r="J127">
        <f>IF(E127&gt;$T$74,1,0)</f>
        <v>0</v>
      </c>
      <c r="K127">
        <f>IF(G127&gt;$AH$75,0,1)</f>
        <v>0</v>
      </c>
      <c r="L127" s="144" t="b">
        <f t="shared" si="19"/>
        <v>1</v>
      </c>
      <c r="M127" s="144">
        <f t="shared" si="20"/>
        <v>0</v>
      </c>
    </row>
    <row r="128" spans="1:46">
      <c r="A128" s="1" t="s">
        <v>217</v>
      </c>
      <c r="B128" s="8" t="s">
        <v>249</v>
      </c>
      <c r="C128" s="1">
        <v>3</v>
      </c>
      <c r="D128" s="1">
        <v>0</v>
      </c>
      <c r="E128" s="18">
        <v>7</v>
      </c>
      <c r="F128" s="1">
        <v>1.2895785473081891E-5</v>
      </c>
      <c r="G128" s="1">
        <v>62.5</v>
      </c>
      <c r="I128">
        <f t="shared" si="43"/>
        <v>0</v>
      </c>
      <c r="J128">
        <f t="shared" ref="J128:J191" si="44">IF(E128&gt;$T$74,1,0)</f>
        <v>0</v>
      </c>
      <c r="K128">
        <f t="shared" ref="K128:K191" si="45">IF(G128&gt;$AH$75,0,1)</f>
        <v>0</v>
      </c>
      <c r="L128" s="144" t="b">
        <f t="shared" si="19"/>
        <v>1</v>
      </c>
      <c r="M128" s="144">
        <f t="shared" si="20"/>
        <v>0</v>
      </c>
      <c r="AO128" s="16"/>
    </row>
    <row r="129" spans="1:47">
      <c r="A129" s="1" t="s">
        <v>217</v>
      </c>
      <c r="B129" s="8" t="s">
        <v>242</v>
      </c>
      <c r="C129" s="1">
        <v>3</v>
      </c>
      <c r="D129" s="1">
        <v>0</v>
      </c>
      <c r="E129" s="18">
        <v>4</v>
      </c>
      <c r="F129" s="1">
        <v>7.3690202703325089E-6</v>
      </c>
      <c r="G129" s="1" t="s">
        <v>451</v>
      </c>
      <c r="I129">
        <f t="shared" si="43"/>
        <v>0</v>
      </c>
      <c r="J129">
        <f t="shared" si="44"/>
        <v>0</v>
      </c>
      <c r="K129">
        <f t="shared" si="45"/>
        <v>0</v>
      </c>
      <c r="L129" s="144" t="b">
        <f t="shared" si="19"/>
        <v>0</v>
      </c>
      <c r="M129" s="144">
        <f t="shared" si="20"/>
        <v>0</v>
      </c>
    </row>
    <row r="130" spans="1:47">
      <c r="A130" s="1" t="s">
        <v>217</v>
      </c>
      <c r="B130" s="8" t="s">
        <v>258</v>
      </c>
      <c r="C130" s="1">
        <v>3</v>
      </c>
      <c r="D130" s="1">
        <v>0</v>
      </c>
      <c r="E130" s="18">
        <v>3</v>
      </c>
      <c r="F130" s="1">
        <v>5.5267652027493818E-6</v>
      </c>
      <c r="G130" s="1" t="s">
        <v>451</v>
      </c>
      <c r="I130">
        <f t="shared" si="43"/>
        <v>0</v>
      </c>
      <c r="J130">
        <f t="shared" si="44"/>
        <v>0</v>
      </c>
      <c r="K130">
        <f t="shared" si="45"/>
        <v>0</v>
      </c>
      <c r="L130" s="144" t="b">
        <f t="shared" si="19"/>
        <v>0</v>
      </c>
      <c r="M130" s="144">
        <f t="shared" si="20"/>
        <v>0</v>
      </c>
    </row>
    <row r="131" spans="1:47" ht="16.5" customHeight="1">
      <c r="A131" s="1" t="s">
        <v>217</v>
      </c>
      <c r="B131" s="8" t="s">
        <v>239</v>
      </c>
      <c r="C131" s="1">
        <v>3</v>
      </c>
      <c r="D131" s="1">
        <v>0</v>
      </c>
      <c r="E131" s="18">
        <v>3</v>
      </c>
      <c r="F131" s="1">
        <v>5.5267652027493818E-6</v>
      </c>
      <c r="G131" s="1" t="s">
        <v>451</v>
      </c>
      <c r="I131">
        <f t="shared" si="43"/>
        <v>0</v>
      </c>
      <c r="J131">
        <f t="shared" si="44"/>
        <v>0</v>
      </c>
      <c r="K131">
        <f t="shared" si="45"/>
        <v>0</v>
      </c>
      <c r="L131" s="144" t="b">
        <f t="shared" ref="L131:L194" si="46">ISNUMBER(G131)</f>
        <v>0</v>
      </c>
      <c r="M131" s="144">
        <f t="shared" ref="M131:M194" si="47">I131+J131+K131</f>
        <v>0</v>
      </c>
      <c r="Q131" t="s">
        <v>432</v>
      </c>
      <c r="R131" t="s">
        <v>415</v>
      </c>
    </row>
    <row r="132" spans="1:47" ht="16.5" thickBot="1">
      <c r="A132" s="1" t="s">
        <v>217</v>
      </c>
      <c r="B132" s="8" t="s">
        <v>245</v>
      </c>
      <c r="C132" s="1">
        <v>3</v>
      </c>
      <c r="D132" s="1">
        <v>0</v>
      </c>
      <c r="E132" s="18">
        <v>3</v>
      </c>
      <c r="F132" s="1">
        <v>5.5267652027493818E-6</v>
      </c>
      <c r="G132" s="1" t="s">
        <v>451</v>
      </c>
      <c r="I132">
        <f t="shared" si="43"/>
        <v>0</v>
      </c>
      <c r="J132">
        <f t="shared" si="44"/>
        <v>0</v>
      </c>
      <c r="K132">
        <f t="shared" si="45"/>
        <v>0</v>
      </c>
      <c r="L132" s="144" t="b">
        <f t="shared" si="46"/>
        <v>0</v>
      </c>
      <c r="M132" s="144">
        <f t="shared" si="47"/>
        <v>0</v>
      </c>
      <c r="Q132" s="86" t="s">
        <v>393</v>
      </c>
      <c r="R132" s="87">
        <f>COUNTIFS($D$2:$D$337,"=0",$C$2:$C$337,$R$79,$A$2:$A$337,"&lt;&gt;BSV",$J$2:$J$337,"=0",$I$2:$I$337,"=0")</f>
        <v>9</v>
      </c>
      <c r="S132" s="87">
        <f>COUNTIFS($D$2:$D$337,"=0",$C$2:$C$337,$S$79,$A$2:$A$337,"&lt;&gt;BSV",$J$2:$J$337,"=0",$I$2:$I$337,"=0")</f>
        <v>21</v>
      </c>
      <c r="T132" s="87">
        <f>COUNTIFS($D$2:$D$337,"=0",$C$2:$C$337,$T$79,$A$2:$A$337,"&lt;&gt;BSV",$J$2:$J$337,"=0",$I$2:$I$337,"=0")</f>
        <v>39</v>
      </c>
      <c r="U132" s="87">
        <f>COUNTIFS($D$2:$D$337,"=0",$C$2:$C$337,$U$79,$A$2:$A$337,"&lt;&gt;BSV",$J$2:$J$337,"=0",$I$2:$I$337,"=0")</f>
        <v>10</v>
      </c>
    </row>
    <row r="133" spans="1:47">
      <c r="A133" s="1" t="s">
        <v>217</v>
      </c>
      <c r="B133" s="8" t="s">
        <v>243</v>
      </c>
      <c r="C133" s="1">
        <v>3</v>
      </c>
      <c r="D133" s="1">
        <v>0</v>
      </c>
      <c r="E133" s="18">
        <v>2</v>
      </c>
      <c r="F133" s="1">
        <v>3.6845101351662544E-6</v>
      </c>
      <c r="G133" s="1" t="s">
        <v>451</v>
      </c>
      <c r="I133">
        <f t="shared" si="43"/>
        <v>0</v>
      </c>
      <c r="J133">
        <f t="shared" si="44"/>
        <v>0</v>
      </c>
      <c r="K133">
        <f t="shared" si="45"/>
        <v>0</v>
      </c>
      <c r="L133" s="144" t="b">
        <f t="shared" si="46"/>
        <v>0</v>
      </c>
      <c r="M133" s="144">
        <f t="shared" si="47"/>
        <v>0</v>
      </c>
      <c r="Q133" s="86" t="s">
        <v>409</v>
      </c>
      <c r="R133" s="87">
        <f>COUNTIFS($C$2:$C$337,$O$7,$A$2:$A$337,"&lt;&gt;BSV",$J$2:$J$337,"=0",$I$2:$I$337,"=0")</f>
        <v>9</v>
      </c>
      <c r="S133" s="87">
        <f>COUNTIFS($C$2:$C$337,$O$12,$A$2:$A$337,"&lt;&gt;BSV",$J$2:$J$337,"=0",$I$2:$I$337,"=0")</f>
        <v>21</v>
      </c>
      <c r="T133" s="87">
        <f>COUNTIFS($C$2:$C$337,$O$17,$A$2:$A$337,"&lt;&gt;BSV",$J$2:$J$337,"=0",$I$2:$I$337,"=0")</f>
        <v>39</v>
      </c>
      <c r="U133" s="87">
        <f>COUNTIFS($C$2:$C$337,$O$22,$A$2:$A$337,"&lt;&gt;BSV",$J$2:$J$337,"=0",$I$2:$I$337,"=0")</f>
        <v>11</v>
      </c>
      <c r="W133" t="s">
        <v>427</v>
      </c>
      <c r="X133" t="s">
        <v>401</v>
      </c>
      <c r="Y133" t="s">
        <v>402</v>
      </c>
      <c r="Z133" t="s">
        <v>423</v>
      </c>
      <c r="AA133" s="140" t="s">
        <v>429</v>
      </c>
      <c r="AC133" t="s">
        <v>472</v>
      </c>
      <c r="AI133" t="s">
        <v>461</v>
      </c>
      <c r="AP133" s="2" t="s">
        <v>464</v>
      </c>
      <c r="AQ133" t="s">
        <v>466</v>
      </c>
      <c r="AR133" t="s">
        <v>465</v>
      </c>
    </row>
    <row r="134" spans="1:47">
      <c r="A134" s="1" t="s">
        <v>217</v>
      </c>
      <c r="B134" s="8" t="s">
        <v>252</v>
      </c>
      <c r="C134" s="1">
        <v>3</v>
      </c>
      <c r="D134" s="1">
        <v>0</v>
      </c>
      <c r="E134" s="18">
        <v>1</v>
      </c>
      <c r="F134" s="1">
        <v>1.8422550675831272E-6</v>
      </c>
      <c r="G134" s="1" t="s">
        <v>451</v>
      </c>
      <c r="I134">
        <f t="shared" si="43"/>
        <v>0</v>
      </c>
      <c r="J134">
        <f t="shared" si="44"/>
        <v>0</v>
      </c>
      <c r="K134">
        <f t="shared" si="45"/>
        <v>0</v>
      </c>
      <c r="L134" s="144" t="b">
        <f t="shared" si="46"/>
        <v>0</v>
      </c>
      <c r="M134" s="144">
        <f t="shared" si="47"/>
        <v>0</v>
      </c>
      <c r="T134" s="48"/>
      <c r="W134" t="s">
        <v>419</v>
      </c>
      <c r="X134" t="s">
        <v>430</v>
      </c>
      <c r="Y134" s="139" t="s">
        <v>430</v>
      </c>
      <c r="Z134" t="s">
        <v>430</v>
      </c>
      <c r="AA134" s="141" t="s">
        <v>430</v>
      </c>
      <c r="AC134" s="146" t="s">
        <v>456</v>
      </c>
      <c r="AD134" s="84" t="s">
        <v>416</v>
      </c>
      <c r="AE134" s="87">
        <f>COUNTIFS($C$2:$C$337,$O$7,$A$2:$A$337,"&lt;&gt;BSV",$J$2:$J$337,"=0",$I$2:$I$337,"=1") + COUNTIFS($C$2:$C$337,$O$7,$A$2:$A$337,"&lt;&gt;BSV",$J$2:$J$337,"=1",$I$2:$I$337,"=0")</f>
        <v>15</v>
      </c>
      <c r="AF134" s="87">
        <f>COUNTIFS($C$2:$C$337,$O$12,$A$2:$A$337,"&lt;&gt;BSV",$J$2:$J$337,"=0",$I$2:$I$337,"=1") + COUNTIFS($C$2:$C$337,$O$12,$A$2:$A$337,"&lt;&gt;BSV",$J$2:$J$337,"=1",$I$2:$I$337,"=0")</f>
        <v>14</v>
      </c>
      <c r="AG134" s="87">
        <f>COUNTIFS($C$2:$C$337,$O$17,$A$2:$A$337,"&lt;&gt;BSV",$J$2:$J$337,"=0",$I$2:$I$337,"=1") + COUNTIFS($C$2:$C$337,$O$17,$A$2:$A$337,"&lt;&gt;BSV",$J$2:$J$337,"=1",$I$2:$I$337,"=0")</f>
        <v>6</v>
      </c>
      <c r="AH134" s="87">
        <f>COUNTIFS($C$2:$C$337,$O$22,$A$2:$A$337,"&lt;&gt;BSV",$J$2:$J$337,"=0",$I$2:$I$337,"=1") + COUNTIFS($C$2:$C$337,$O$22,$A$2:$A$337,"&lt;&gt;BSV",$J$2:$J$337,"=1",$I$2:$I$337,"=0")</f>
        <v>51</v>
      </c>
      <c r="AI134" s="146" t="s">
        <v>456</v>
      </c>
      <c r="AJ134" s="84" t="s">
        <v>416</v>
      </c>
      <c r="AK134" s="87">
        <f>COUNTIFS($C$2:$C$337,$O$7,$A$2:$A$337,"&lt;&gt;BSV",$J$2:$J$337,"=0",$I$2:$I$337,"=1") + COUNTIFS($C$2:$C$337,$O$7,$A$2:$A$337,"&lt;&gt;BSV",$J$2:$J$337,"=1",$I$2:$I$337,"=0")</f>
        <v>15</v>
      </c>
      <c r="AL134" s="87">
        <f>COUNTIFS($C$2:$C$337,$O$12,$A$2:$A$337,"&lt;&gt;BSV",$J$2:$J$337,"=0",$I$2:$I$337,"=1") + COUNTIFS($C$2:$C$337,$O$12,$A$2:$A$337,"&lt;&gt;BSV",$J$2:$J$337,"=1",$I$2:$I$337,"=0")</f>
        <v>14</v>
      </c>
      <c r="AM134" s="87">
        <f>COUNTIFS($C$2:$C$337,$O$17,$A$2:$A$337,"&lt;&gt;BSV",$J$2:$J$337,"=0",$I$2:$I$337,"=1") + COUNTIFS($C$2:$C$337,$O$17,$A$2:$A$337,"&lt;&gt;BSV",$J$2:$J$337,"=1",$I$2:$I$337,"=0")</f>
        <v>6</v>
      </c>
      <c r="AN134" s="87">
        <f>COUNTIFS($C$2:$C$337,$O$22,$A$2:$A$337,"&lt;&gt;BSV",$J$2:$J$337,"=0",$I$2:$I$337,"=1") + COUNTIFS($C$2:$C$337,$O$22,$A$2:$A$337,"&lt;&gt;BSV",$J$2:$J$337,"=1",$I$2:$I$337,"=0")</f>
        <v>51</v>
      </c>
      <c r="AP134" s="146" t="s">
        <v>461</v>
      </c>
      <c r="AQ134" s="84" t="s">
        <v>416</v>
      </c>
      <c r="AR134" s="87">
        <f>COUNTIFS($C$2:$C$337,$O$7,$A$2:$A$337,"&lt;&gt;BSV",$M$2:$M$337,"=1",$L$2:$L$337,FALSE)</f>
        <v>7</v>
      </c>
      <c r="AS134" s="87">
        <f>COUNTIFS($C$2:$C$337,$O$12,$A$2:$A$337,"&lt;&gt;BSV",$M$2:$M$337,"=1",$L$2:$L$337,FALSE)</f>
        <v>5</v>
      </c>
      <c r="AT134" s="87">
        <f>COUNTIFS($C$2:$C$337,$O$17,$A$2:$A$337,"&lt;&gt;BSV",$M$2:$M$337,"=1",$L$2:$L$337,FALSE)</f>
        <v>1</v>
      </c>
      <c r="AU134" s="87">
        <f>COUNTIFS($C$2:$C$337,$O$22,$A$2:$A$337,"&lt;&gt;BSV",$M$2:$M$337,"=1",$L$2:$L$337,FALSE)</f>
        <v>11</v>
      </c>
    </row>
    <row r="135" spans="1:47">
      <c r="A135" s="1" t="s">
        <v>217</v>
      </c>
      <c r="B135" s="8" t="s">
        <v>236</v>
      </c>
      <c r="C135" s="1">
        <v>3</v>
      </c>
      <c r="D135" s="1">
        <v>0</v>
      </c>
      <c r="E135" s="18">
        <v>1</v>
      </c>
      <c r="F135" s="1">
        <v>1.8422550675831272E-6</v>
      </c>
      <c r="G135" s="1" t="s">
        <v>451</v>
      </c>
      <c r="I135">
        <f t="shared" si="43"/>
        <v>0</v>
      </c>
      <c r="J135">
        <f t="shared" si="44"/>
        <v>0</v>
      </c>
      <c r="K135">
        <f t="shared" si="45"/>
        <v>0</v>
      </c>
      <c r="L135" s="144" t="b">
        <f t="shared" si="46"/>
        <v>0</v>
      </c>
      <c r="M135" s="144">
        <f t="shared" si="47"/>
        <v>0</v>
      </c>
      <c r="Q135" s="86" t="s">
        <v>386</v>
      </c>
      <c r="R135" s="87">
        <f>COUNTIFS($D$2:$D$337,"=1",$C$2:$C$337,$R$79,$A$2:$A$337,"&lt;&gt;BSV",I$2:$I$337,"=1",$J$2:$J$337,"=1")</f>
        <v>19</v>
      </c>
      <c r="S135" s="87">
        <f>COUNTIFS($D$2:$D$337,"=1",$C$2:$C$337,$S$79,$A$2:$A$337,"&lt;&gt;BSV",$I$2:$I$337,"=1",$J$2:$J$337,"=1")</f>
        <v>8</v>
      </c>
      <c r="T135" s="87">
        <f>COUNTIFS($D$2:$D$337,"=1",$C$2:$C$337,$T$79,$A$2:$A$337,"&lt;&gt;BSV",$I$2:$I$337,"=1",$J$2:$J$337,"=1")</f>
        <v>19</v>
      </c>
      <c r="U135" s="87">
        <f>COUNTIFS($D$2:$D$337,"=1",$C$2:$C$337,$U$79,$A$2:$A$337,"&lt;&gt;BSV",$I$2:$I$337,"=1",$J$2:$J$337,"=1")</f>
        <v>33</v>
      </c>
      <c r="W135" t="s">
        <v>420</v>
      </c>
      <c r="X135" t="s">
        <v>430</v>
      </c>
      <c r="Y135" t="s">
        <v>431</v>
      </c>
      <c r="Z135" t="s">
        <v>424</v>
      </c>
      <c r="AA135" s="141" t="s">
        <v>426</v>
      </c>
      <c r="AC135" s="146"/>
      <c r="AD135" s="84" t="s">
        <v>417</v>
      </c>
      <c r="AE135" s="87">
        <f>COUNTIFS($C$2:$C$337,$O$7,$A$2:$A$337,"&lt;&gt;BSV",$J$2:$J$337,"=0",$I$2:$I$337,"=0",$D$2:$D$337,"=1") + COUNTIFS($C$2:$C$337,$O$7,$A$2:$A$337,"&lt;&gt;BSV",$J$2:$J$337,"=1",$I$2:$I$337,"=1",$D$2:$D$337,"=0")</f>
        <v>0</v>
      </c>
      <c r="AF135" s="87">
        <f>COUNTIFS($C$2:$C$337,$O$12,$A$2:$A$337,"&lt;&gt;BSV",$J$2:$J$337,"=0",$I$2:$I$337,"=0",$D$2:$D$337,"=1") + COUNTIFS($C$2:$C$337,$O$12,$A$2:$A$337,"&lt;&gt;BSV",$J$2:$J$337,"=1",$I$2:$I$337,"=1",$D$2:$D$337,"=0")</f>
        <v>1</v>
      </c>
      <c r="AG135" s="87">
        <f>COUNTIFS($C$2:$C$337,$O$17,$A$2:$A$337,"&lt;&gt;BSV",$J$2:$J$337,"=0",$I$2:$I$337,"=0",$D$2:$D$337,"=1") + COUNTIFS($C$2:$C$337,$O$17,$A$2:$A$337,"&lt;&gt;BSV",$J$2:$J$337,"=1",$I$2:$I$337,"=1",$D$2:$D$337,"=0")</f>
        <v>2</v>
      </c>
      <c r="AH135" s="87">
        <f>COUNTIFS($C$2:$C$337,$O$22,$A$2:$A$337,"&lt;&gt;BSV",$J$2:$J$337,"=0",$I$2:$I$337,"=0",$D$2:$D$337,"=1") + COUNTIFS($C$2:$C$337,$O$22,$A$2:$A$337,"&lt;&gt;BSV",$J$2:$J$337,"=1",$I$2:$I$337,"=1",$D$2:$D$337,"=0")</f>
        <v>1</v>
      </c>
      <c r="AI135" s="146"/>
      <c r="AJ135" s="84" t="s">
        <v>417</v>
      </c>
      <c r="AK135" s="87">
        <f>COUNTIFS($C$2:$C$337,$O$7,$A$2:$A$337,"&lt;&gt;BSV",$J$2:$J$337,"=0",$I$2:$I$337,"=0",$D$2:$D$337,"=1") + COUNTIFS($C$2:$C$337,$O$7,$A$2:$A$337,"&lt;&gt;BSV",$J$2:$J$337,"=1",$I$2:$I$337,"=1",$D$2:$D$337,"=0")</f>
        <v>0</v>
      </c>
      <c r="AL135" s="87">
        <f>COUNTIFS($C$2:$C$337,$O$12,$A$2:$A$337,"&lt;&gt;BSV",$J$2:$J$337,"=0",$I$2:$I$337,"=0",$D$2:$D$337,"=1") + COUNTIFS($C$2:$C$337,$O$12,$A$2:$A$337,"&lt;&gt;BSV",$J$2:$J$337,"=1",$I$2:$I$337,"=1",$D$2:$D$337,"=0")</f>
        <v>1</v>
      </c>
      <c r="AM135" s="87">
        <f>COUNTIFS($C$2:$C$337,$O$17,$A$2:$A$337,"&lt;&gt;BSV",$J$2:$J$337,"=0",$I$2:$I$337,"=0",$D$2:$D$337,"=1") + COUNTIFS($C$2:$C$337,$O$17,$A$2:$A$337,"&lt;&gt;BSV",$J$2:$J$337,"=1",$I$2:$I$337,"=1",$D$2:$D$337,"=0")</f>
        <v>2</v>
      </c>
      <c r="AN135" s="87">
        <f>COUNTIFS($C$2:$C$337,$O$22,$A$2:$A$337,"&lt;&gt;BSV",$J$2:$J$337,"=0",$I$2:$I$337,"=0",$D$2:$D$337,"=1") + COUNTIFS($C$2:$C$337,$O$22,$A$2:$A$337,"&lt;&gt;BSV",$J$2:$J$337,"=1",$I$2:$I$337,"=1",$D$2:$D$337,"=0")</f>
        <v>1</v>
      </c>
      <c r="AP135" s="146"/>
      <c r="AQ135" s="84" t="s">
        <v>417</v>
      </c>
      <c r="AR135">
        <v>3</v>
      </c>
      <c r="AS135">
        <v>4</v>
      </c>
      <c r="AT135">
        <v>3</v>
      </c>
      <c r="AU135">
        <v>3</v>
      </c>
    </row>
    <row r="136" spans="1:47">
      <c r="A136" s="1" t="s">
        <v>217</v>
      </c>
      <c r="B136" s="8" t="s">
        <v>244</v>
      </c>
      <c r="C136" s="1">
        <v>3</v>
      </c>
      <c r="D136" s="1">
        <v>0</v>
      </c>
      <c r="E136" s="18">
        <v>1</v>
      </c>
      <c r="F136" s="1">
        <v>1.8422550675831272E-6</v>
      </c>
      <c r="G136" s="1" t="s">
        <v>451</v>
      </c>
      <c r="I136">
        <f t="shared" si="43"/>
        <v>0</v>
      </c>
      <c r="J136">
        <f t="shared" si="44"/>
        <v>0</v>
      </c>
      <c r="K136">
        <f t="shared" si="45"/>
        <v>0</v>
      </c>
      <c r="L136" s="144" t="b">
        <f t="shared" si="46"/>
        <v>0</v>
      </c>
      <c r="M136" s="144">
        <f t="shared" si="47"/>
        <v>0</v>
      </c>
      <c r="Q136" s="86" t="s">
        <v>389</v>
      </c>
      <c r="R136" s="87">
        <f>COUNTIFS($C$2:$C$337,$O$7,$A$2:$A$337,"&lt;&gt;BSV",$I$2:$I$337,"=1",$J$2:$J$337,"=1")</f>
        <v>19</v>
      </c>
      <c r="S136" s="87">
        <f>COUNTIFS($C$2:$C$337,$O$12,$A$2:$A$337,"&lt;&gt;BSV",$I$2:$I$337,"=1",$J$2:$J$337,"=1")</f>
        <v>9</v>
      </c>
      <c r="T136" s="87">
        <f>COUNTIFS($C$2:$C$337,$O$17,$A$2:$A$337,"&lt;&gt;BSV",$I$2:$I$337,"=1",$J$2:$J$337,"=1")</f>
        <v>21</v>
      </c>
      <c r="U136" s="87">
        <f>COUNTIFS($C$2:$C$337,$O$22,$A$2:$A$337,"&lt;&gt;BSV",$I$2:$I$337,"=1",$J$2:$J$337,"=1")</f>
        <v>33</v>
      </c>
      <c r="W136" t="s">
        <v>422</v>
      </c>
      <c r="X136" s="139" t="s">
        <v>431</v>
      </c>
      <c r="Y136" s="139" t="s">
        <v>430</v>
      </c>
      <c r="Z136" t="s">
        <v>425</v>
      </c>
      <c r="AA136" s="141" t="s">
        <v>426</v>
      </c>
      <c r="AC136" s="146"/>
      <c r="AD136" s="84" t="s">
        <v>418</v>
      </c>
      <c r="AE136" s="84">
        <f>$R$140-($R$142+$R$143)</f>
        <v>28</v>
      </c>
      <c r="AF136" s="84">
        <f>$S$140-($S$142+$S$143)</f>
        <v>29</v>
      </c>
      <c r="AG136" s="84">
        <f>$T$140-($T$142+$T$143)</f>
        <v>58</v>
      </c>
      <c r="AH136" s="84">
        <f>$U$140-($U$142+$U$143)</f>
        <v>43</v>
      </c>
      <c r="AI136" s="146"/>
      <c r="AJ136" s="84" t="s">
        <v>418</v>
      </c>
      <c r="AK136" s="84">
        <f>$R$140-($R$142+$R$143)</f>
        <v>28</v>
      </c>
      <c r="AL136" s="84">
        <f>$S$140-($S$142+$S$143)</f>
        <v>29</v>
      </c>
      <c r="AM136" s="84">
        <f>$T$140-($T$142+$T$143)</f>
        <v>58</v>
      </c>
      <c r="AN136" s="84">
        <f>$U$140-($U$142+$U$143)</f>
        <v>43</v>
      </c>
      <c r="AO136" s="16"/>
      <c r="AP136" s="146"/>
      <c r="AQ136" s="84" t="s">
        <v>418</v>
      </c>
      <c r="AR136">
        <v>33</v>
      </c>
      <c r="AS136">
        <v>35</v>
      </c>
      <c r="AT136">
        <v>62</v>
      </c>
      <c r="AU136">
        <v>81</v>
      </c>
    </row>
    <row r="137" spans="1:47" ht="16.5" thickBot="1">
      <c r="A137" s="1" t="s">
        <v>217</v>
      </c>
      <c r="B137" s="8" t="s">
        <v>257</v>
      </c>
      <c r="C137" s="1">
        <v>3</v>
      </c>
      <c r="D137" s="1">
        <v>0</v>
      </c>
      <c r="E137" s="18">
        <v>1</v>
      </c>
      <c r="F137" s="1">
        <v>1.8422550675831272E-6</v>
      </c>
      <c r="G137" s="1" t="s">
        <v>451</v>
      </c>
      <c r="I137">
        <f t="shared" si="43"/>
        <v>0</v>
      </c>
      <c r="J137">
        <f t="shared" si="44"/>
        <v>0</v>
      </c>
      <c r="K137">
        <f t="shared" si="45"/>
        <v>0</v>
      </c>
      <c r="L137" s="144" t="b">
        <f t="shared" si="46"/>
        <v>0</v>
      </c>
      <c r="M137" s="144">
        <f t="shared" si="47"/>
        <v>0</v>
      </c>
      <c r="T137" s="48"/>
      <c r="W137" t="s">
        <v>421</v>
      </c>
      <c r="X137" s="139" t="s">
        <v>431</v>
      </c>
      <c r="Y137" t="s">
        <v>431</v>
      </c>
      <c r="Z137" t="s">
        <v>431</v>
      </c>
      <c r="AA137" s="142" t="s">
        <v>431</v>
      </c>
      <c r="AC137" s="146"/>
      <c r="AD137" t="s">
        <v>359</v>
      </c>
      <c r="AE137">
        <f>AE134+AE135+AE136</f>
        <v>43</v>
      </c>
      <c r="AF137">
        <f t="shared" ref="AF137" si="48">AF134+AF135+AF136</f>
        <v>44</v>
      </c>
      <c r="AG137">
        <f t="shared" ref="AG137" si="49">AG134+AG135+AG136</f>
        <v>66</v>
      </c>
      <c r="AH137">
        <f t="shared" ref="AH137" si="50">AH134+AH135+AH136</f>
        <v>95</v>
      </c>
      <c r="AI137" s="146"/>
      <c r="AJ137" t="s">
        <v>359</v>
      </c>
      <c r="AK137">
        <f>AK134+AK135+AK136</f>
        <v>43</v>
      </c>
      <c r="AL137">
        <f t="shared" ref="AL137" si="51">AL134+AL135+AL136</f>
        <v>44</v>
      </c>
      <c r="AM137">
        <f t="shared" ref="AM137" si="52">AM134+AM135+AM136</f>
        <v>66</v>
      </c>
      <c r="AN137">
        <f t="shared" ref="AN137" si="53">AN134+AN135+AN136</f>
        <v>95</v>
      </c>
      <c r="AO137" s="16"/>
      <c r="AP137" s="146"/>
      <c r="AQ137" t="s">
        <v>359</v>
      </c>
      <c r="AR137">
        <f>AR134+AR135+AR136</f>
        <v>43</v>
      </c>
      <c r="AS137">
        <f>AS134+AS135+AS136</f>
        <v>44</v>
      </c>
      <c r="AT137">
        <f>AT134+AT135+AT136</f>
        <v>66</v>
      </c>
      <c r="AU137">
        <f>AU134+AU135+AU136</f>
        <v>95</v>
      </c>
    </row>
    <row r="138" spans="1:47">
      <c r="A138" s="1" t="s">
        <v>187</v>
      </c>
      <c r="B138" s="8" t="s">
        <v>254</v>
      </c>
      <c r="C138" s="1">
        <v>3</v>
      </c>
      <c r="D138" s="1">
        <v>0</v>
      </c>
      <c r="E138" s="18">
        <v>5</v>
      </c>
      <c r="F138" s="1">
        <v>2.1036687983843824E-4</v>
      </c>
      <c r="G138" s="1" t="s">
        <v>451</v>
      </c>
      <c r="H138" s="10"/>
      <c r="I138">
        <f t="shared" si="43"/>
        <v>0</v>
      </c>
      <c r="J138">
        <f t="shared" si="44"/>
        <v>0</v>
      </c>
      <c r="K138">
        <f t="shared" si="45"/>
        <v>0</v>
      </c>
      <c r="L138" s="144" t="b">
        <f t="shared" si="46"/>
        <v>0</v>
      </c>
      <c r="M138" s="144">
        <f t="shared" si="47"/>
        <v>0</v>
      </c>
      <c r="Q138" s="84" t="s">
        <v>390</v>
      </c>
      <c r="R138" s="84">
        <f>COUNTIFS($D$2:$D$337,"=0",$C$2:$C$337,$R$79,$A$2:$A$337,"&lt;&gt;BSV")</f>
        <v>20</v>
      </c>
      <c r="S138" s="84">
        <f>COUNTIFS($D$2:$D$337,"=0",$C$2:$C$337,$S$79,$A$2:$A$337,"&lt;&gt;BSV")</f>
        <v>32</v>
      </c>
      <c r="T138" s="84">
        <f>COUNTIFS($D$2:$D$337,"=0",$C$2:$C$337,$T$79,$A$2:$A$337,"&lt;&gt;BSV")</f>
        <v>43</v>
      </c>
      <c r="U138" s="84">
        <f>COUNTIFS($D$2:$D$337,"=0",$C$2:$C$337,$U$79,$A$2:$A$337,"&lt;&gt;BSV")</f>
        <v>18</v>
      </c>
      <c r="AP138"/>
    </row>
    <row r="139" spans="1:47">
      <c r="A139" s="1" t="s">
        <v>187</v>
      </c>
      <c r="B139" s="8" t="s">
        <v>248</v>
      </c>
      <c r="C139" s="1">
        <v>3</v>
      </c>
      <c r="D139" s="1">
        <v>0</v>
      </c>
      <c r="E139" s="18">
        <v>3</v>
      </c>
      <c r="F139" s="1">
        <v>1.2622012790306295E-4</v>
      </c>
      <c r="G139" s="1" t="s">
        <v>451</v>
      </c>
      <c r="I139">
        <f t="shared" si="43"/>
        <v>0</v>
      </c>
      <c r="J139">
        <f t="shared" si="44"/>
        <v>0</v>
      </c>
      <c r="K139">
        <f t="shared" si="45"/>
        <v>0</v>
      </c>
      <c r="L139" s="144" t="b">
        <f t="shared" si="46"/>
        <v>0</v>
      </c>
      <c r="M139" s="144">
        <f t="shared" si="47"/>
        <v>0</v>
      </c>
      <c r="Q139" s="84" t="s">
        <v>391</v>
      </c>
      <c r="R139" s="84">
        <f>COUNTIFS($D$2:$D$337,"=1",$C$2:$C$337,$R$79,$A$2:$A$337,"&lt;&gt;BSV")</f>
        <v>23</v>
      </c>
      <c r="S139" s="84">
        <f>COUNTIFS($D$2:$D$337,"=1",$C$2:$C$337,$S$79,$A$2:$A$337,"&lt;&gt;BSV")</f>
        <v>12</v>
      </c>
      <c r="T139" s="84">
        <f>COUNTIFS($D$2:$D$337,"=1",$C$2:$C$337,$T$79,$A$2:$A$337,"&lt;&gt;BSV")</f>
        <v>23</v>
      </c>
      <c r="U139" s="84">
        <f>COUNTIFS($D$2:$D$337,"=1",$C$2:$C$337,$U$79,$A$2:$A$337,"&lt;&gt;BSV")</f>
        <v>77</v>
      </c>
      <c r="AA139" t="s">
        <v>437</v>
      </c>
      <c r="AC139" s="146" t="s">
        <v>457</v>
      </c>
      <c r="AD139" s="86" t="s">
        <v>393</v>
      </c>
      <c r="AE139" s="87">
        <f>COUNTIFS($C$2:$C$337,$O$7,$A$2:$A$337,"&lt;&gt;BSV",$J$2:$J$337,"=0",$I$2:$I$337,"=1",$D$2:$D$337,"=0",$K$2:$K$337,"=0",$L$2:$L$337,TRUE) + COUNTIFS($C$2:$C$337,$O$7,$A$2:$A$337,"&lt;&gt;BSV",$J$2:$J$337,"=1",$I$2:$I$337,"=0",$D$2:$D$337,"=0",$K$2:$K$337,"=0",$L$2:$L$337,TRUE)</f>
        <v>5</v>
      </c>
      <c r="AF139" s="87">
        <f>COUNTIFS($C$2:$C$337,$O$12,$A$2:$A$337,"&lt;&gt;BSV",$J$2:$J$337,"=0",$I$2:$I$337,"=1",$D$2:$D$337,"=0",$K$2:$K$337,"=0",$L$2:$L$337,TRUE) + COUNTIFS($C$2:$C$337,$O$12,$A$2:$A$337,"&lt;&gt;BSV",$J$2:$J$337,"=1",$I$2:$I$337,"=0",$D$2:$D$337,"=0",$K$2:$K$337,"=0",$L$2:$L$337,TRUE)</f>
        <v>3</v>
      </c>
      <c r="AG139" s="87">
        <f>COUNTIFS($C$2:$C$337,$O$17,$A$2:$A$337,"&lt;&gt;BSV",$J$2:$J$337,"=0",$I$2:$I$337,"=1",$D$2:$D$337,"=0",$K$2:$K$337,"=0",$L$2:$L$337,TRUE) + COUNTIFS($C$2:$C$337,$O$17,$A$2:$A$337,"&lt;&gt;BSV",$J$2:$J$337,"=1",$I$2:$I$337,"=0",$D$2:$D$337,"=0",$K$2:$K$337,"=0",$L$2:$L$337,TRUE)</f>
        <v>1</v>
      </c>
      <c r="AH139" s="87">
        <f>COUNTIFS($C$2:$C$337,$O$22,$A$2:$A$337,"&lt;&gt;BSV",$J$2:$J$337,"=0",$I$2:$I$337,"=1",$D$2:$D$337,"=0",$K$2:$K$337,"=0",$L$2:$L$337,TRUE) + COUNTIFS($C$2:$C$337,$O$22,$A$2:$A$337,"&lt;&gt;BSV",$J$2:$J$337,"=1",$I$2:$I$337,"=0",$D$2:$D$337,"=0",$K$2:$K$337,"=0",$L$2:$L$337,TRUE)</f>
        <v>0</v>
      </c>
      <c r="AI139" s="146" t="s">
        <v>458</v>
      </c>
      <c r="AJ139" s="86" t="s">
        <v>393</v>
      </c>
      <c r="AK139" s="87">
        <f>COUNTIFS($C$2:$C$337,$O$7,$A$2:$A$337,"&lt;&gt;BSV",$M$2:$M$337,"&lt;2",$L$2:$L$337,TRUE,$D$2:$D$337,"=0")+COUNTIFS($C$2:$C$337,$O$7,$A$2:$A$337,"&lt;&gt;BSV",$M$2:$M$337,"&lt;1",$L$2:$L$337,FALSE,$D$2:$D$337,"=0")</f>
        <v>14</v>
      </c>
      <c r="AL139" s="87">
        <f>COUNTIFS($C$2:$C$337,$O$12,$A$2:$A$337,"&lt;&gt;BSV",$M$2:$M$337,"&lt;2",$L$2:$L$337,TRUE,$D$2:$D$337,"=0")+COUNTIFS($C$2:$C$337,$O$12,$A$2:$A$337,"&lt;&gt;BSV",$M$2:$M$337,"&lt;1",$L$2:$L$337,FALSE,$D$2:$D$337,"=0")</f>
        <v>24</v>
      </c>
      <c r="AM139" s="87">
        <f>COUNTIFS($C$2:$C$337,$O$17,$A$2:$A$337,"&lt;&gt;BSV",$M$2:$M$337,"&lt;2",$L$2:$L$337,TRUE,$D$2:$D$337,"=0")+COUNTIFS($C$2:$C$337,$O$17,$A$2:$A$337,"&lt;&gt;BSV",$M$2:$M$337,"&lt;1",$L$2:$L$337,FALSE,$D$2:$D$337,"=0")</f>
        <v>40</v>
      </c>
      <c r="AN139" s="87">
        <f>COUNTIFS($C$2:$C$337,$O$22,$A$2:$A$337,"&lt;&gt;BSV",$M$2:$M$337,"&lt;2",$L$2:$L$337,TRUE,$D$2:$D$337,"=0")+COUNTIFS($C$2:$C$337,$O$22,$A$2:$A$337,"&lt;&gt;BSV",$M$2:$M$337,"&lt;1",$L$2:$L$337,FALSE,$D$2:$D$337,"=0")</f>
        <v>10</v>
      </c>
      <c r="AQ139" s="86" t="s">
        <v>393</v>
      </c>
      <c r="AR139" s="87">
        <f>COUNTIFS($C$2:$C$337,$O$7,$A$2:$A$337,"&lt;&gt;BSV",$M$2:$M$337,"=1",$L$2:$L$337,FALSE,$D$2:$D$337,"=0",$E$2:$E$337,"&lt;6",$F$2:$F$337,"&lt;&gt;1")</f>
        <v>5</v>
      </c>
      <c r="AS139" s="87">
        <f>COUNTIFS($C$2:$C$337,$O$12,$A$2:$A$337,"&lt;&gt;BSV",$M$2:$M$337,"=1",$L$2:$L$337,FALSE,$D$2:$D$337,"=0",$E$2:$E$337,"&lt;6",$F$2:$F$337,"&lt;&gt;1")</f>
        <v>4</v>
      </c>
      <c r="AT139" s="87">
        <f>COUNTIFS($C$2:$C$337,$O$17,$A$2:$A$337,"&lt;&gt;BSV",$M$2:$M$337,"=1",$L$2:$L$337,FALSE,$D$2:$D$337,"=0",$E$2:$E$337,"&lt;6",$F$2:$F$337,"&lt;&gt;1")</f>
        <v>1</v>
      </c>
      <c r="AU139" s="87">
        <f>COUNTIFS($C$2:$C$337,$O$22,$A$2:$A$337,"&lt;&gt;BSV",$M$2:$M$337,"=1",$L$2:$L$337,FALSE,$D$2:$D$337,"=0",$E$2:$E$337,"&lt;6",$F$2:$F$337,"&lt;&gt;1")</f>
        <v>2</v>
      </c>
    </row>
    <row r="140" spans="1:47">
      <c r="A140" s="1" t="s">
        <v>216</v>
      </c>
      <c r="B140" s="8" t="s">
        <v>248</v>
      </c>
      <c r="C140" s="1">
        <v>3</v>
      </c>
      <c r="D140" s="1">
        <v>0</v>
      </c>
      <c r="E140" s="18">
        <v>36</v>
      </c>
      <c r="F140" s="1">
        <v>1.7179506757272658E-4</v>
      </c>
      <c r="G140" s="1">
        <v>92.31</v>
      </c>
      <c r="I140">
        <f t="shared" si="43"/>
        <v>0</v>
      </c>
      <c r="J140">
        <f t="shared" si="44"/>
        <v>0</v>
      </c>
      <c r="K140">
        <f t="shared" si="45"/>
        <v>0</v>
      </c>
      <c r="L140" s="144" t="b">
        <f t="shared" si="46"/>
        <v>1</v>
      </c>
      <c r="M140" s="144">
        <f t="shared" si="47"/>
        <v>0</v>
      </c>
      <c r="Q140" s="84" t="s">
        <v>359</v>
      </c>
      <c r="R140" s="84">
        <f>R138+R139</f>
        <v>43</v>
      </c>
      <c r="S140" s="84">
        <f t="shared" ref="S140:U140" si="54">S138+S139</f>
        <v>44</v>
      </c>
      <c r="T140" s="84">
        <f t="shared" si="54"/>
        <v>66</v>
      </c>
      <c r="U140" s="84">
        <f t="shared" si="54"/>
        <v>95</v>
      </c>
      <c r="AC140" s="146"/>
      <c r="AD140" s="86" t="s">
        <v>409</v>
      </c>
      <c r="AE140" s="87">
        <f>COUNTIFS($C$2:$C$337,$O$7,$A$2:$A$337,"&lt;&gt;BSV",$J$2:$J$337,"=0",$I$2:$I$337,"=1",$K$2:$K$337,"=0",$L$2:$L$337,TRUE) + COUNTIFS($C$2:$C$337,$O$7,$A$2:$A$337,"&lt;&gt;BSV",$J$2:$J$337,"=1",$I$2:$I$337,"=0",$K$2:$K$337,"=0",$L$2:$L$337,TRUE)</f>
        <v>5</v>
      </c>
      <c r="AF140" s="87">
        <f>COUNTIFS($C$2:$C$337,$O$12,$A$2:$A$337,"&lt;&gt;BSV",$J$2:$J$337,"=0",$I$2:$I$337,"=1",$K$2:$K$337,"=0",$L$2:$L$337,TRUE) + COUNTIFS($C$2:$C$337,$O$12,$A$2:$A$337,"&lt;&gt;BSV",$J$2:$J$337,"=1",$I$2:$I$337,"=0",$K$2:$K$337,"=0",$L$2:$L$337,TRUE)</f>
        <v>3</v>
      </c>
      <c r="AG140" s="87">
        <f>COUNTIFS($C$2:$C$337,$O$17,$A$2:$A$337,"&lt;&gt;BSV",$J$2:$J$337,"=0",$I$2:$I$337,"=1",$K$2:$K$337,"=0",$L$2:$L$337,TRUE) + COUNTIFS($C$2:$C$337,$O$17,$A$2:$A$337,"&lt;&gt;BSV",$J$2:$J$337,"=1",$I$2:$I$337,"=0",$K$2:$K$337,"=0",$L$2:$L$337,TRUE)</f>
        <v>1</v>
      </c>
      <c r="AH140" s="87">
        <f>COUNTIFS($C$2:$C$337,$O$22,$A$2:$A$337,"&lt;&gt;BSV",$J$2:$J$337,"=0",$I$2:$I$337,"=1",$K$2:$K$337,"=0",$L$2:$L$337,TRUE) + COUNTIFS($C$2:$C$337,$O$22,$A$2:$A$337,"&lt;&gt;BSV",$J$2:$J$337,"=1",$I$2:$I$337,"=0",$K$2:$K$337,"=0",$L$2:$L$337,TRUE)</f>
        <v>0</v>
      </c>
      <c r="AI140" s="146"/>
      <c r="AJ140" s="86" t="s">
        <v>409</v>
      </c>
      <c r="AK140" s="87">
        <f>COUNTIFS($C$2:$C$337,$O$7,$A$2:$A$337,"&lt;&gt;BSV",$M$2:$M$337,"&lt;2",$L$2:$L$337,TRUE)+COUNTIFS($C$2:$C$337,$O$7,$A$2:$A$337,"&lt;&gt;BSV",$M$2:$M$337,"&lt;1",$L$2:$L$337,FALSE)</f>
        <v>14</v>
      </c>
      <c r="AL140" s="87">
        <f>COUNTIFS($C$2:$C$337,$O$12,$A$2:$A$337,"&lt;&gt;BSV",$M$2:$M$337,"&lt;2",$L$2:$L$337,TRUE)+COUNTIFS($C$2:$C$337,$O$12,$A$2:$A$337,"&lt;&gt;BSV",$M$2:$M$337,"&lt;1",$L$2:$L$337,FALSE)</f>
        <v>24</v>
      </c>
      <c r="AM140" s="87">
        <f>COUNTIFS($C$2:$C$337,$O$17,$A$2:$A$337,"&lt;&gt;BSV",$M$2:$M$337,"&lt;2",$L$2:$L$337,TRUE)+COUNTIFS($C$2:$C$337,$O$17,$A$2:$A$337,"&lt;&gt;BSV",$M$2:$M$337,"&lt;1",$L$2:$L$337,FALSE)</f>
        <v>40</v>
      </c>
      <c r="AN140" s="87">
        <f>COUNTIFS($C$2:$C$337,$O$22,$A$2:$A$337,"&lt;&gt;BSV",$M$2:$M$337,"&lt;2",$L$2:$L$337,TRUE)+COUNTIFS($C$2:$C$337,$O$22,$A$2:$A$337,"&lt;&gt;BSV",$M$2:$M$337,"&lt;1",$L$2:$L$337,FALSE,$D$2:$D$337,"=0")</f>
        <v>11</v>
      </c>
      <c r="AQ140" s="86" t="s">
        <v>409</v>
      </c>
      <c r="AR140" s="87">
        <f>COUNTIFS($C$2:$C$337,$O$7,$A$2:$A$337,"&lt;&gt;BSV",$M$2:$M$337,"=1",$L$2:$L$337,FALSE,$E$2:$E$337,"&lt;6",$F$2:$F$337,"&lt;&gt;1")</f>
        <v>6</v>
      </c>
      <c r="AS140" s="87">
        <f>COUNTIFS($C$2:$C$337,$O$12,$A$2:$A$337,"&lt;&gt;BSV",$M$2:$M$337,"=1",$L$2:$L$337,FALSE,$E$2:$E$337,"&lt;6",$F$2:$F$337,"&lt;&gt;1")</f>
        <v>4</v>
      </c>
      <c r="AT140" s="87">
        <f>COUNTIFS($C$2:$C$337,$O$17,$A$2:$A$337,"&lt;&gt;BSV",$M$2:$M$337,"=1",$L$2:$L$337,FALSE,$E$2:$E$337,"&lt;6",$F$2:$F$337,"&lt;&gt;1")</f>
        <v>1</v>
      </c>
      <c r="AU140" s="87">
        <f>COUNTIFS($C$2:$C$337,$O$22,$A$2:$A$337,"&lt;&gt;BSV",$M$2:$M$337,"=1",$L$2:$L$337,FALSE,$E$2:$E$337,"&lt;6",$F$2:$F$337,"&lt;&gt;1")</f>
        <v>11</v>
      </c>
    </row>
    <row r="141" spans="1:47">
      <c r="A141" s="1" t="s">
        <v>216</v>
      </c>
      <c r="B141" s="8" t="s">
        <v>249</v>
      </c>
      <c r="C141" s="1">
        <v>3</v>
      </c>
      <c r="D141" s="1">
        <v>0</v>
      </c>
      <c r="E141" s="18">
        <v>34</v>
      </c>
      <c r="F141" s="1">
        <v>1.6225089715201954E-4</v>
      </c>
      <c r="G141" s="1">
        <v>90.91</v>
      </c>
      <c r="I141">
        <f t="shared" si="43"/>
        <v>0</v>
      </c>
      <c r="J141">
        <f t="shared" si="44"/>
        <v>0</v>
      </c>
      <c r="K141">
        <f t="shared" si="45"/>
        <v>0</v>
      </c>
      <c r="L141" s="144" t="b">
        <f t="shared" si="46"/>
        <v>1</v>
      </c>
      <c r="M141" s="144">
        <f t="shared" si="47"/>
        <v>0</v>
      </c>
      <c r="AC141" s="146"/>
      <c r="AD141" s="86" t="s">
        <v>386</v>
      </c>
      <c r="AE141" s="87">
        <f>COUNTIFS($C$2:$C$337,$O$7,$A$2:$A$337,"&lt;&gt;BSV",$J$2:$J$337,"=0",$I$2:$I$337,"=1",$D$2:$D$337,"=1",$K$2:$K$337,"=1",$L$2:$L$337,TRUE) + COUNTIFS($C$2:$C$337,$O$7,$A$2:$A$337,"&lt;&gt;BSV",$J$2:$J$337,"=1",$I$2:$I$337,"=0",$D$2:$D$337,"=1",$K$2:$K$337,"=1",$L$2:$L$337,TRUE)</f>
        <v>2</v>
      </c>
      <c r="AF141" s="87">
        <f>COUNTIFS($C$2:$C$337,$O$12,$A$2:$A$337,"&lt;&gt;BSV",$J$2:$J$337,"=0",$I$2:$I$337,"=1",$D$2:$D$337,"=1",$K$2:$K$337,"=1",$L$2:$L$337,TRUE) + COUNTIFS($C$2:$C$337,$O$12,$A$2:$A$337,"&lt;&gt;BSV",$J$2:$J$337,"=1",$I$2:$I$337,"=0",$D$2:$D$337,"=1",$K$2:$K$337,"=1",$L$2:$L$337,TRUE)</f>
        <v>3</v>
      </c>
      <c r="AG141" s="87">
        <f>COUNTIFS($C$2:$C$337,$O$17,$A$2:$A$337,"&lt;&gt;BSV",$J$2:$J$337,"=0",$I$2:$I$337,"=1",$D$2:$D$337,"=1",$K$2:$K$337,"=1",$L$2:$L$337,TRUE) + COUNTIFS($C$2:$C$337,$O$17,$A$2:$A$337,"&lt;&gt;BSV",$J$2:$J$337,"=1",$I$2:$I$337,"=0",$D$2:$D$337,"=1",$K$2:$K$337,"=1",$L$2:$L$337,TRUE)</f>
        <v>4</v>
      </c>
      <c r="AH141" s="87">
        <f>COUNTIFS($C$2:$C$337,$O$22,$A$2:$A$337,"&lt;&gt;BSV",$J$2:$J$337,"=0",$I$2:$I$337,"=1",$D$2:$D$337,"=1",$K$2:$K$337,"=1",$L$2:$L$337,TRUE) + COUNTIFS($C$2:$C$337,$O$22,$A$2:$A$337,"&lt;&gt;BSV",$J$2:$J$337,"=1",$I$2:$I$337,"=0",$D$2:$D$337,"=1",$K$2:$K$337,"=1",$L$2:$L$337,TRUE)</f>
        <v>34</v>
      </c>
      <c r="AI141" s="146"/>
      <c r="AJ141" s="86" t="s">
        <v>386</v>
      </c>
      <c r="AK141" s="87">
        <f>COUNTIFS($C$2:$C$337,$O$7,$A$2:$A$337,"&lt;&gt;BSV",$M$2:$M$337,"&gt;=2",$D$2:$D$337,"=1")</f>
        <v>21</v>
      </c>
      <c r="AL141" s="87">
        <f>COUNTIFS($C$2:$C$337,$O$12,$A$2:$A$337,"&lt;&gt;BSV",$M$2:$M$337,"&gt;=2",$D$2:$D$337,"=1")</f>
        <v>11</v>
      </c>
      <c r="AM141" s="87">
        <f>COUNTIFS($C$2:$C$337,$O$17,$A$2:$A$337,"&lt;&gt;BSV",$M$2:$M$337,"&gt;=2",$D$2:$D$337,"=1")</f>
        <v>23</v>
      </c>
      <c r="AN141" s="87">
        <f>COUNTIFS($C$2:$C$337,$O$22,$A$2:$A$337,"&lt;&gt;BSV",$M$2:$M$337,"&gt;=2",$D$2:$D$337,"=1")</f>
        <v>67</v>
      </c>
      <c r="AQ141" s="86" t="s">
        <v>386</v>
      </c>
      <c r="AR141" s="87">
        <f>COUNTIFS($C$2:$C$337,$O$7,$A$2:$A$337,"&lt;&gt;BSV",$M$2:$M$337,"=1",$L$2:$L$337,FALSE,$D$2:$D$337,"=1",$E$2:$E$337,"&gt;=6",$F$2:$F$337,"=1")</f>
        <v>1</v>
      </c>
      <c r="AS141" s="87">
        <f>COUNTIFS($C$2:$C$337,$O$12,$A$2:$A$337,"&lt;&gt;BSV",$M$2:$M$337,"=1",$L$2:$L$337,FALSE,$D$2:$D$337,"=1",$E$2:$E$337,"&gt;=6",$F$2:$F$337,"=1")</f>
        <v>1</v>
      </c>
      <c r="AT141" s="87">
        <f>COUNTIFS($C$2:$C$337,$O$17,$A$2:$A$337,"&lt;&gt;BSV",$M$2:$M$337,"=1",$L$2:$L$337,FALSE,$D$2:$D$337,"=1",$E$2:$E$337,"&gt;=6",$F$2:$F$337,"=1")</f>
        <v>0</v>
      </c>
      <c r="AU141" s="87">
        <f>COUNTIFS($C$2:$C$337,$O$22,$A$2:$A$337,"&lt;&gt;BSV",$M$2:$M$337,"=1",$L$2:$L$337,FALSE,$D$2:$D$337,"=1",$E$2:$E$337,"&gt;=6",$F$2:$F$337,"=1")</f>
        <v>0</v>
      </c>
    </row>
    <row r="142" spans="1:47" ht="16.5" customHeight="1">
      <c r="A142" s="1" t="s">
        <v>216</v>
      </c>
      <c r="B142" s="8" t="s">
        <v>250</v>
      </c>
      <c r="C142" s="1">
        <v>3</v>
      </c>
      <c r="D142" s="1">
        <v>0</v>
      </c>
      <c r="E142" s="18">
        <v>15</v>
      </c>
      <c r="F142" s="1">
        <v>7.1581278155302737E-5</v>
      </c>
      <c r="G142" s="1">
        <v>56.8</v>
      </c>
      <c r="H142" s="10"/>
      <c r="I142">
        <f t="shared" si="43"/>
        <v>0</v>
      </c>
      <c r="J142">
        <f t="shared" si="44"/>
        <v>0</v>
      </c>
      <c r="K142">
        <f t="shared" si="45"/>
        <v>0</v>
      </c>
      <c r="L142" s="144" t="b">
        <f t="shared" si="46"/>
        <v>1</v>
      </c>
      <c r="M142" s="144">
        <f t="shared" si="47"/>
        <v>0</v>
      </c>
      <c r="Q142" s="84" t="s">
        <v>416</v>
      </c>
      <c r="R142" s="87">
        <f>COUNTIFS($C$2:$C$337,$O$7,$A$2:$A$337,"&lt;&gt;BSV",$J$2:$J$337,"=0",$I$2:$I$337,"=1") + COUNTIFS($C$2:$C$337,$O$7,$A$2:$A$337,"&lt;&gt;BSV",$J$2:$J$337,"=1",$I$2:$I$337,"=0")</f>
        <v>15</v>
      </c>
      <c r="S142" s="87">
        <f>COUNTIFS($C$2:$C$337,$O$12,$A$2:$A$337,"&lt;&gt;BSV",$J$2:$J$337,"=0",$I$2:$I$337,"=1") + COUNTIFS($C$2:$C$337,$O$12,$A$2:$A$337,"&lt;&gt;BSV",$J$2:$J$337,"=1",$I$2:$I$337,"=0")</f>
        <v>14</v>
      </c>
      <c r="T142" s="87">
        <f>COUNTIFS($C$2:$C$337,$O$17,$A$2:$A$337,"&lt;&gt;BSV",$J$2:$J$337,"=0",$I$2:$I$337,"=1") + COUNTIFS($C$2:$C$337,$O$17,$A$2:$A$337,"&lt;&gt;BSV",$J$2:$J$337,"=1",$I$2:$I$337,"=0")</f>
        <v>6</v>
      </c>
      <c r="U142" s="87">
        <f>COUNTIFS($C$2:$C$337,$O$22,$A$2:$A$337,"&lt;&gt;BSV",$J$2:$J$337,"=0",$I$2:$I$337,"=1") + COUNTIFS($C$2:$C$337,$O$22,$A$2:$A$337,"&lt;&gt;BSV",$J$2:$J$337,"=1",$I$2:$I$337,"=0")</f>
        <v>51</v>
      </c>
      <c r="AC142" s="146"/>
      <c r="AD142" s="86" t="s">
        <v>389</v>
      </c>
      <c r="AE142" s="87">
        <f>COUNTIFS($C$2:$C$337,$O$7,$A$2:$A$337,"&lt;&gt;BSV",$J$2:$J$337,"=0",$I$2:$I$337,"=1",$K$2:$K$337,"=1",$L$2:$L$337,TRUE) + COUNTIFS($C$2:$C$337,$O$7,$A$2:$A$337,"&lt;&gt;BSV",$J$2:$J$337,"=1",$I$2:$I$337,"=0",$K$2:$K$337,"=1",$L$2:$L$337,TRUE)</f>
        <v>3</v>
      </c>
      <c r="AF142" s="87">
        <f>COUNTIFS($C$2:$C$337,$O$12,$A$2:$A$337,"&lt;&gt;BSV",$J$2:$J$337,"=0",$I$2:$I$337,"=1",$K$2:$K$337,"=1",$L$2:$L$337,TRUE) + COUNTIFS($C$2:$C$337,$O$12,$A$2:$A$337,"&lt;&gt;BSV",$J$2:$J$337,"=1",$I$2:$I$337,"=0",$K$2:$K$337,"=1",$L$2:$L$337,TRUE)</f>
        <v>6</v>
      </c>
      <c r="AG142" s="87">
        <f>COUNTIFS($C$2:$C$337,$O$17,$A$2:$A$337,"&lt;&gt;BSV",$J$2:$J$337,"=0",$I$2:$I$337,"=1",$K$2:$K$337,"=1",$L$2:$L$337,TRUE) + COUNTIFS($C$2:$C$337,$O$17,$A$2:$A$337,"&lt;&gt;BSV",$J$2:$J$337,"=1",$I$2:$I$337,"=0",$K$2:$K$337,"=1",$L$2:$L$337,TRUE)</f>
        <v>4</v>
      </c>
      <c r="AH142" s="87">
        <f>COUNTIFS($C$2:$C$337,$O$22,$A$2:$A$337,"&lt;&gt;BSV",$J$2:$J$337,"=0",$I$2:$I$337,"=1",$K$2:$K$337,"=1",$L$2:$L$337,TRUE) + COUNTIFS($C$2:$C$337,$O$22,$A$2:$A$337,"&lt;&gt;BSV",$J$2:$J$337,"=1",$I$2:$I$337,"=0",$K$2:$K$337,"=1",$L$2:$L$337,TRUE)</f>
        <v>40</v>
      </c>
      <c r="AI142" s="146"/>
      <c r="AJ142" s="86" t="s">
        <v>389</v>
      </c>
      <c r="AK142" s="87">
        <f>COUNTIFS($C$2:$C$337,$O$7,$A$2:$A$337,"&lt;&gt;BSV",$M$2:$M$337,"&gt;=2")</f>
        <v>22</v>
      </c>
      <c r="AL142" s="87">
        <f>COUNTIFS($C$2:$C$337,$O$12,$A$2:$A$337,"&lt;&gt;BSV",$M$2:$M$337,"&gt;=2")</f>
        <v>15</v>
      </c>
      <c r="AM142" s="87">
        <f>COUNTIFS($C$2:$C$337,$O$17,$A$2:$A$337,"&lt;&gt;BSV",$M$2:$M$337,"&gt;=2")</f>
        <v>25</v>
      </c>
      <c r="AN142" s="87">
        <f>COUNTIFS($C$2:$C$337,$O$22,$A$2:$A$337,"&lt;&gt;BSV",$M$2:$M$337,"&gt;=2")</f>
        <v>73</v>
      </c>
      <c r="AO142" s="16"/>
      <c r="AQ142" s="86" t="s">
        <v>389</v>
      </c>
      <c r="AR142" s="87">
        <f>COUNTIFS($C$2:$C$337,$O$7,$A$2:$A$337,"&lt;&gt;BSV",$M$2:$M$337,"=1",$L$2:$L$337,FALSE,$E$2:$E$337,"&gt;=6",$F$2:$F$337,"=1")</f>
        <v>1</v>
      </c>
      <c r="AS142" s="87">
        <f>COUNTIFS($C$2:$C$337,$O$12,$A$2:$A$337,"&lt;&gt;BSV",$M$2:$M$337,"=1",$L$2:$L$337,FALSE,$E$2:$E$337,"&gt;=6",$F$2:$F$337,"=1")</f>
        <v>1</v>
      </c>
      <c r="AT142" s="87">
        <f>COUNTIFS($C$2:$C$337,$O$17,$A$2:$A$337,"&lt;&gt;BSV",$M$2:$M$337,"=1",$L$2:$L$337,FALSE,$E$2:$E$337,"&gt;=6",$F$2:$F$337,"=1")</f>
        <v>0</v>
      </c>
      <c r="AU142" s="87">
        <f>COUNTIFS($C$2:$C$337,$O$22,$A$2:$A$337,"&lt;&gt;BSV",$M$2:$M$337,"=1",$L$2:$L$337,FALSE,$E$2:$E$337,"&gt;=6",$F$2:$F$337,"=1")</f>
        <v>0</v>
      </c>
    </row>
    <row r="143" spans="1:47">
      <c r="A143" s="1" t="s">
        <v>216</v>
      </c>
      <c r="B143" s="8" t="s">
        <v>236</v>
      </c>
      <c r="C143" s="1">
        <v>3</v>
      </c>
      <c r="D143" s="1">
        <v>0</v>
      </c>
      <c r="E143" s="18">
        <v>9</v>
      </c>
      <c r="F143" s="1">
        <v>4.2948766893181645E-5</v>
      </c>
      <c r="G143" s="1">
        <v>37.5</v>
      </c>
      <c r="I143">
        <f t="shared" si="43"/>
        <v>0</v>
      </c>
      <c r="J143">
        <f t="shared" si="44"/>
        <v>0</v>
      </c>
      <c r="K143">
        <f t="shared" si="45"/>
        <v>1</v>
      </c>
      <c r="L143" s="144" t="b">
        <f t="shared" si="46"/>
        <v>1</v>
      </c>
      <c r="M143" s="144">
        <f t="shared" si="47"/>
        <v>1</v>
      </c>
      <c r="Q143" s="84" t="s">
        <v>417</v>
      </c>
      <c r="R143" s="87">
        <f>COUNTIFS($C$2:$C$337,$O$7,$A$2:$A$337,"&lt;&gt;BSV",$J$2:$J$337,"=0",$I$2:$I$337,"=0",$D$2:$D$337,"=1") + COUNTIFS($C$2:$C$337,$O$7,$A$2:$A$337,"&lt;&gt;BSV",$J$2:$J$337,"=1",$I$2:$I$337,"=1",$D$2:$D$337,"=0")</f>
        <v>0</v>
      </c>
      <c r="S143" s="87">
        <f>COUNTIFS($C$2:$C$337,$O$12,$A$2:$A$337,"&lt;&gt;BSV",$J$2:$J$337,"=0",$I$2:$I$337,"=0",$D$2:$D$337,"=1") + COUNTIFS($C$2:$C$337,$O$12,$A$2:$A$337,"&lt;&gt;BSV",$J$2:$J$337,"=1",$I$2:$I$337,"=1",$D$2:$D$337,"=0")</f>
        <v>1</v>
      </c>
      <c r="T143" s="87">
        <f>COUNTIFS($C$2:$C$337,$O$17,$A$2:$A$337,"&lt;&gt;BSV",$J$2:$J$337,"=0",$I$2:$I$337,"=0",$D$2:$D$337,"=1") + COUNTIFS($C$2:$C$337,$O$17,$A$2:$A$337,"&lt;&gt;BSV",$J$2:$J$337,"=1",$I$2:$I$337,"=1",$D$2:$D$337,"=0")</f>
        <v>2</v>
      </c>
      <c r="U143" s="87">
        <f>COUNTIFS($C$2:$C$337,$O$22,$A$2:$A$337,"&lt;&gt;BSV",$J$2:$J$337,"=0",$I$2:$I$337,"=0",$D$2:$D$337,"=1") + COUNTIFS($C$2:$C$337,$O$22,$A$2:$A$337,"&lt;&gt;BSV",$J$2:$J$337,"=1",$I$2:$I$337,"=1",$D$2:$D$337,"=0")</f>
        <v>1</v>
      </c>
    </row>
    <row r="144" spans="1:47">
      <c r="A144" s="1" t="s">
        <v>216</v>
      </c>
      <c r="B144" s="8" t="s">
        <v>237</v>
      </c>
      <c r="C144" s="1">
        <v>3</v>
      </c>
      <c r="D144" s="1">
        <v>0</v>
      </c>
      <c r="E144" s="18">
        <v>8</v>
      </c>
      <c r="F144" s="1">
        <v>3.8176681682828127E-5</v>
      </c>
      <c r="G144" s="1">
        <v>71.430000000000007</v>
      </c>
      <c r="I144">
        <f t="shared" si="43"/>
        <v>0</v>
      </c>
      <c r="J144">
        <f t="shared" si="44"/>
        <v>0</v>
      </c>
      <c r="K144">
        <f t="shared" si="45"/>
        <v>0</v>
      </c>
      <c r="L144" s="144" t="b">
        <f t="shared" si="46"/>
        <v>1</v>
      </c>
      <c r="M144" s="144">
        <f t="shared" si="47"/>
        <v>0</v>
      </c>
      <c r="Q144" s="84" t="s">
        <v>418</v>
      </c>
      <c r="R144" s="84">
        <f>$R$140-($R$142+$R$143)</f>
        <v>28</v>
      </c>
      <c r="S144" s="84">
        <f>$S$140-($S$142+$S$143)</f>
        <v>29</v>
      </c>
      <c r="T144" s="84">
        <f>$T$140-($T$142+$T$143)</f>
        <v>58</v>
      </c>
      <c r="U144" s="84">
        <f>$U$140-($U$142+$U$143)</f>
        <v>43</v>
      </c>
      <c r="AD144" s="84" t="s">
        <v>416</v>
      </c>
      <c r="AE144" s="87">
        <f>AE134-(AE140+AE142)</f>
        <v>7</v>
      </c>
      <c r="AF144" s="87">
        <f t="shared" ref="AF144:AH144" si="55">AF134-(AF140+AF142)</f>
        <v>5</v>
      </c>
      <c r="AG144" s="87">
        <f t="shared" si="55"/>
        <v>1</v>
      </c>
      <c r="AH144" s="87">
        <f t="shared" si="55"/>
        <v>11</v>
      </c>
      <c r="AJ144" s="84" t="s">
        <v>416</v>
      </c>
      <c r="AK144" s="87">
        <f>COUNTIFS($C$2:$C$337,$O$7,$A$2:$A$337,"&lt;&gt;BSV",$M$2:$M$337,"=1",$L$2:$L$337,FALSE)</f>
        <v>7</v>
      </c>
      <c r="AL144" s="87">
        <f>COUNTIFS($C$2:$C$337,$O$12,$A$2:$A$337,"&lt;&gt;BSV",$M$2:$M$337,"=1",$L$2:$L$337,FALSE)</f>
        <v>5</v>
      </c>
      <c r="AM144" s="87">
        <f>COUNTIFS($C$2:$C$337,$O$17,$A$2:$A$337,"&lt;&gt;BSV",$M$2:$M$337,"=1",$L$2:$L$337,FALSE)</f>
        <v>1</v>
      </c>
      <c r="AN144" s="87">
        <f>COUNTIFS($C$2:$C$337,$O$22,$A$2:$A$337,"&lt;&gt;BSV",$M$2:$M$337,"=1",$L$2:$L$337,FALSE)</f>
        <v>11</v>
      </c>
      <c r="AO144" t="s">
        <v>462</v>
      </c>
      <c r="AQ144" s="84" t="s">
        <v>416</v>
      </c>
      <c r="AR144" s="87">
        <f>AR134-(AR140+AR142)</f>
        <v>0</v>
      </c>
      <c r="AS144" s="87">
        <f t="shared" ref="AS144:AU144" si="56">AS134-(AS140+AS142)</f>
        <v>0</v>
      </c>
      <c r="AT144" s="87">
        <f t="shared" si="56"/>
        <v>0</v>
      </c>
      <c r="AU144" s="87">
        <f t="shared" si="56"/>
        <v>0</v>
      </c>
    </row>
    <row r="145" spans="1:54">
      <c r="A145" s="1" t="s">
        <v>216</v>
      </c>
      <c r="B145" s="8" t="s">
        <v>251</v>
      </c>
      <c r="C145" s="1">
        <v>3</v>
      </c>
      <c r="D145" s="1">
        <v>0</v>
      </c>
      <c r="E145" s="18">
        <v>8</v>
      </c>
      <c r="F145" s="1">
        <v>3.8176681682828127E-5</v>
      </c>
      <c r="G145" s="1">
        <v>22.22</v>
      </c>
      <c r="I145">
        <f t="shared" si="43"/>
        <v>0</v>
      </c>
      <c r="J145">
        <f t="shared" si="44"/>
        <v>0</v>
      </c>
      <c r="K145">
        <f t="shared" si="45"/>
        <v>1</v>
      </c>
      <c r="L145" s="144" t="b">
        <f t="shared" si="46"/>
        <v>1</v>
      </c>
      <c r="M145" s="144">
        <f t="shared" si="47"/>
        <v>1</v>
      </c>
      <c r="Q145" t="s">
        <v>359</v>
      </c>
      <c r="R145">
        <f>R142+R143+R144</f>
        <v>43</v>
      </c>
      <c r="S145">
        <f t="shared" ref="S145:U145" si="57">S142+S143+S144</f>
        <v>44</v>
      </c>
      <c r="T145">
        <f t="shared" si="57"/>
        <v>66</v>
      </c>
      <c r="U145">
        <f t="shared" si="57"/>
        <v>95</v>
      </c>
      <c r="AD145" s="84" t="s">
        <v>417</v>
      </c>
      <c r="AE145" s="87">
        <f>AE135+(AE142-AE141)+(AE140-AE139)</f>
        <v>1</v>
      </c>
      <c r="AF145" s="87">
        <f t="shared" ref="AF145:AH145" si="58">AF135+(AF142-AF141)+(AF140-AF139)</f>
        <v>4</v>
      </c>
      <c r="AG145" s="87">
        <f t="shared" si="58"/>
        <v>2</v>
      </c>
      <c r="AH145" s="87">
        <f t="shared" si="58"/>
        <v>7</v>
      </c>
      <c r="AJ145" s="84" t="s">
        <v>417</v>
      </c>
      <c r="AK145">
        <f>(AK142-AK141)+(AK140-AK139)</f>
        <v>1</v>
      </c>
      <c r="AL145">
        <f t="shared" ref="AL145:AN145" si="59">(AL142-AL141)+(AL140-AL139)</f>
        <v>4</v>
      </c>
      <c r="AM145">
        <f t="shared" si="59"/>
        <v>2</v>
      </c>
      <c r="AN145">
        <f t="shared" si="59"/>
        <v>7</v>
      </c>
      <c r="AQ145" s="84" t="s">
        <v>417</v>
      </c>
      <c r="AR145" s="87">
        <f>AR135+(AR142-AR141)+(AR140-AR139)</f>
        <v>4</v>
      </c>
      <c r="AS145" s="87">
        <f t="shared" ref="AS145:AU145" si="60">AS135+(AS142-AS141)+(AS140-AS139)</f>
        <v>4</v>
      </c>
      <c r="AT145" s="87">
        <f t="shared" si="60"/>
        <v>3</v>
      </c>
      <c r="AU145" s="87">
        <f t="shared" si="60"/>
        <v>12</v>
      </c>
    </row>
    <row r="146" spans="1:54" ht="16.5" customHeight="1">
      <c r="A146" s="1" t="s">
        <v>216</v>
      </c>
      <c r="B146" s="8" t="s">
        <v>252</v>
      </c>
      <c r="C146" s="1">
        <v>3</v>
      </c>
      <c r="D146" s="1">
        <v>0</v>
      </c>
      <c r="E146" s="18">
        <v>7</v>
      </c>
      <c r="F146" s="1">
        <v>3.340459647247461E-5</v>
      </c>
      <c r="G146" s="1">
        <v>14.28</v>
      </c>
      <c r="I146">
        <f t="shared" si="43"/>
        <v>0</v>
      </c>
      <c r="J146">
        <f t="shared" si="44"/>
        <v>0</v>
      </c>
      <c r="K146">
        <f t="shared" si="45"/>
        <v>1</v>
      </c>
      <c r="L146" s="144" t="b">
        <f t="shared" si="46"/>
        <v>1</v>
      </c>
      <c r="M146" s="144">
        <f t="shared" si="47"/>
        <v>1</v>
      </c>
      <c r="AD146" s="84" t="s">
        <v>418</v>
      </c>
      <c r="AE146" s="84">
        <f>AE136+AE141+AE139</f>
        <v>35</v>
      </c>
      <c r="AF146" s="84">
        <f t="shared" ref="AF146:AH146" si="61">AF136+AF141+AF139</f>
        <v>35</v>
      </c>
      <c r="AG146" s="84">
        <f t="shared" si="61"/>
        <v>63</v>
      </c>
      <c r="AH146" s="84">
        <f t="shared" si="61"/>
        <v>77</v>
      </c>
      <c r="AJ146" s="84" t="s">
        <v>418</v>
      </c>
      <c r="AK146">
        <f>AK139+AK141</f>
        <v>35</v>
      </c>
      <c r="AL146">
        <f t="shared" ref="AL146:AN146" si="62">AL139+AL141</f>
        <v>35</v>
      </c>
      <c r="AM146">
        <f t="shared" si="62"/>
        <v>63</v>
      </c>
      <c r="AN146">
        <f t="shared" si="62"/>
        <v>77</v>
      </c>
      <c r="AO146" s="16"/>
      <c r="AQ146" s="84" t="s">
        <v>418</v>
      </c>
      <c r="AR146" s="84">
        <f>AR136+AR141+AR139</f>
        <v>39</v>
      </c>
      <c r="AS146" s="84">
        <f t="shared" ref="AS146:AU146" si="63">AS136+AS141+AS139</f>
        <v>40</v>
      </c>
      <c r="AT146" s="84">
        <f t="shared" si="63"/>
        <v>63</v>
      </c>
      <c r="AU146" s="84">
        <f t="shared" si="63"/>
        <v>83</v>
      </c>
    </row>
    <row r="147" spans="1:54">
      <c r="A147" s="1" t="s">
        <v>216</v>
      </c>
      <c r="B147" s="8" t="s">
        <v>238</v>
      </c>
      <c r="C147" s="1">
        <v>3</v>
      </c>
      <c r="D147" s="1">
        <v>0</v>
      </c>
      <c r="E147" s="18">
        <v>6</v>
      </c>
      <c r="F147" s="1">
        <v>2.8632511262121096E-5</v>
      </c>
      <c r="G147" s="1">
        <v>60</v>
      </c>
      <c r="I147">
        <f t="shared" si="43"/>
        <v>0</v>
      </c>
      <c r="J147">
        <f t="shared" si="44"/>
        <v>0</v>
      </c>
      <c r="K147">
        <f t="shared" si="45"/>
        <v>0</v>
      </c>
      <c r="L147" s="144" t="b">
        <f t="shared" si="46"/>
        <v>1</v>
      </c>
      <c r="M147" s="144">
        <f t="shared" si="47"/>
        <v>0</v>
      </c>
      <c r="AD147" t="s">
        <v>359</v>
      </c>
      <c r="AE147">
        <f>AE144+AE145+AE146</f>
        <v>43</v>
      </c>
      <c r="AF147">
        <f>AF144+AF145+AF146</f>
        <v>44</v>
      </c>
      <c r="AG147">
        <f>AG144+AG145+AG146</f>
        <v>66</v>
      </c>
      <c r="AH147">
        <f>AH144+AH145+AH146</f>
        <v>95</v>
      </c>
      <c r="AJ147" t="s">
        <v>359</v>
      </c>
      <c r="AK147">
        <f>AK144+AK145+AK146</f>
        <v>43</v>
      </c>
      <c r="AL147">
        <f>AL144+AL145+AL146</f>
        <v>44</v>
      </c>
      <c r="AM147">
        <f>AM144+AM145+AM146</f>
        <v>66</v>
      </c>
      <c r="AN147">
        <f>AN144+AN145+AN146</f>
        <v>95</v>
      </c>
      <c r="AQ147" t="s">
        <v>359</v>
      </c>
      <c r="AR147">
        <f>AR144+AR145+AR146</f>
        <v>43</v>
      </c>
      <c r="AS147">
        <f>AS144+AS145+AS146</f>
        <v>44</v>
      </c>
      <c r="AT147">
        <f>AT144+AT145+AT146</f>
        <v>66</v>
      </c>
      <c r="AU147">
        <f>AU144+AU145+AU146</f>
        <v>95</v>
      </c>
    </row>
    <row r="148" spans="1:54" ht="16.5" customHeight="1">
      <c r="A148" s="1" t="s">
        <v>216</v>
      </c>
      <c r="B148" s="8" t="s">
        <v>254</v>
      </c>
      <c r="C148" s="1">
        <v>3</v>
      </c>
      <c r="D148" s="1">
        <v>0</v>
      </c>
      <c r="E148" s="18">
        <v>5</v>
      </c>
      <c r="F148" s="1">
        <v>2.3860426051767581E-5</v>
      </c>
      <c r="G148" s="1" t="s">
        <v>451</v>
      </c>
      <c r="I148">
        <f t="shared" si="43"/>
        <v>0</v>
      </c>
      <c r="J148">
        <f t="shared" si="44"/>
        <v>0</v>
      </c>
      <c r="K148">
        <f t="shared" si="45"/>
        <v>0</v>
      </c>
      <c r="L148" s="144" t="b">
        <f t="shared" si="46"/>
        <v>0</v>
      </c>
      <c r="M148" s="144">
        <f t="shared" si="47"/>
        <v>0</v>
      </c>
    </row>
    <row r="149" spans="1:54" ht="16.5" customHeight="1">
      <c r="A149" s="1" t="s">
        <v>216</v>
      </c>
      <c r="B149" s="8" t="s">
        <v>253</v>
      </c>
      <c r="C149" s="1">
        <v>3</v>
      </c>
      <c r="D149" s="1">
        <v>0</v>
      </c>
      <c r="E149" s="18">
        <v>5</v>
      </c>
      <c r="F149" s="1">
        <v>2.3860426051767581E-5</v>
      </c>
      <c r="G149" s="1" t="s">
        <v>451</v>
      </c>
      <c r="I149">
        <f t="shared" si="43"/>
        <v>0</v>
      </c>
      <c r="J149">
        <f t="shared" si="44"/>
        <v>0</v>
      </c>
      <c r="K149">
        <f t="shared" si="45"/>
        <v>0</v>
      </c>
      <c r="L149" s="144" t="b">
        <f t="shared" si="46"/>
        <v>0</v>
      </c>
      <c r="M149" s="144">
        <f t="shared" si="47"/>
        <v>0</v>
      </c>
      <c r="AC149" s="147" t="s">
        <v>459</v>
      </c>
      <c r="AD149" s="84" t="s">
        <v>390</v>
      </c>
      <c r="AE149" s="84">
        <f>COUNTIFS($D$2:$D$337,"=0",$C$2:$C$337,$R$79,$A$2:$A$337,"&lt;&gt;BSV")</f>
        <v>20</v>
      </c>
      <c r="AF149" s="84">
        <f>COUNTIFS($D$2:$D$337,"=0",$C$2:$C$337,$S$79,$A$2:$A$337,"&lt;&gt;BSV")</f>
        <v>32</v>
      </c>
      <c r="AG149" s="84">
        <f>COUNTIFS($D$2:$D$337,"=0",$C$2:$C$337,$T$79,$A$2:$A$337,"&lt;&gt;BSV")</f>
        <v>43</v>
      </c>
      <c r="AH149" s="84">
        <f>COUNTIFS($D$2:$D$337,"=0",$C$2:$C$337,$U$79,$A$2:$A$337,"&lt;&gt;BSV")</f>
        <v>18</v>
      </c>
      <c r="AI149" s="147" t="s">
        <v>459</v>
      </c>
      <c r="AJ149" s="84" t="s">
        <v>390</v>
      </c>
      <c r="AK149" s="84">
        <f>COUNTIFS($D$2:$D$337,"=0",$C$2:$C$337,$R$79,$A$2:$A$337,"&lt;&gt;BSV")</f>
        <v>20</v>
      </c>
      <c r="AL149" s="84">
        <f>COUNTIFS($D$2:$D$337,"=0",$C$2:$C$337,$S$79,$A$2:$A$337,"&lt;&gt;BSV")</f>
        <v>32</v>
      </c>
      <c r="AM149" s="84">
        <f>COUNTIFS($D$2:$D$337,"=0",$C$2:$C$337,$T$79,$A$2:$A$337,"&lt;&gt;BSV")</f>
        <v>43</v>
      </c>
      <c r="AN149" s="84">
        <f>COUNTIFS($D$2:$D$337,"=0",$C$2:$C$337,$U$79,$A$2:$A$337,"&lt;&gt;BSV")</f>
        <v>18</v>
      </c>
      <c r="AP149" s="147" t="s">
        <v>459</v>
      </c>
      <c r="AQ149" s="84" t="s">
        <v>390</v>
      </c>
      <c r="AR149" s="84">
        <f>COUNTIFS($D$2:$D$337,"=0",$C$2:$C$337,$R$79,$A$2:$A$337,"&lt;&gt;BSV")</f>
        <v>20</v>
      </c>
      <c r="AS149" s="84">
        <f>COUNTIFS($D$2:$D$337,"=0",$C$2:$C$337,$S$79,$A$2:$A$337,"&lt;&gt;BSV")</f>
        <v>32</v>
      </c>
      <c r="AT149" s="84">
        <f>COUNTIFS($D$2:$D$337,"=0",$C$2:$C$337,$T$79,$A$2:$A$337,"&lt;&gt;BSV")</f>
        <v>43</v>
      </c>
      <c r="AU149" s="84">
        <f>COUNTIFS($D$2:$D$337,"=0",$C$2:$C$337,$U$79,$A$2:$A$337,"&lt;&gt;BSV")</f>
        <v>18</v>
      </c>
    </row>
    <row r="150" spans="1:54" ht="16.5" customHeight="1">
      <c r="A150" s="1" t="s">
        <v>216</v>
      </c>
      <c r="B150" s="8" t="s">
        <v>239</v>
      </c>
      <c r="C150" s="1">
        <v>3</v>
      </c>
      <c r="D150" s="1">
        <v>0</v>
      </c>
      <c r="E150" s="18">
        <v>5</v>
      </c>
      <c r="F150" s="1">
        <v>2.3860426051767581E-5</v>
      </c>
      <c r="G150" s="1" t="s">
        <v>451</v>
      </c>
      <c r="I150">
        <f t="shared" si="43"/>
        <v>0</v>
      </c>
      <c r="J150">
        <f t="shared" si="44"/>
        <v>0</v>
      </c>
      <c r="K150">
        <f t="shared" si="45"/>
        <v>0</v>
      </c>
      <c r="L150" s="144" t="b">
        <f t="shared" si="46"/>
        <v>0</v>
      </c>
      <c r="M150" s="144">
        <f t="shared" si="47"/>
        <v>0</v>
      </c>
      <c r="AC150" s="147"/>
      <c r="AD150" s="84" t="s">
        <v>391</v>
      </c>
      <c r="AE150" s="84">
        <f>COUNTIFS($D$2:$D$337,"=1",$C$2:$C$337,$R$79,$A$2:$A$337,"&lt;&gt;BSV")</f>
        <v>23</v>
      </c>
      <c r="AF150" s="84">
        <f>COUNTIFS($D$2:$D$337,"=1",$C$2:$C$337,$S$79,$A$2:$A$337,"&lt;&gt;BSV")</f>
        <v>12</v>
      </c>
      <c r="AG150" s="84">
        <f>COUNTIFS($D$2:$D$337,"=1",$C$2:$C$337,$T$79,$A$2:$A$337,"&lt;&gt;BSV")</f>
        <v>23</v>
      </c>
      <c r="AH150" s="84">
        <f>COUNTIFS($D$2:$D$337,"=1",$C$2:$C$337,$U$79,$A$2:$A$337,"&lt;&gt;BSV")</f>
        <v>77</v>
      </c>
      <c r="AI150" s="147"/>
      <c r="AJ150" s="84" t="s">
        <v>391</v>
      </c>
      <c r="AK150" s="84">
        <f>COUNTIFS($D$2:$D$337,"=1",$C$2:$C$337,$R$79,$A$2:$A$337,"&lt;&gt;BSV")</f>
        <v>23</v>
      </c>
      <c r="AL150" s="84">
        <f>COUNTIFS($D$2:$D$337,"=1",$C$2:$C$337,$S$79,$A$2:$A$337,"&lt;&gt;BSV")</f>
        <v>12</v>
      </c>
      <c r="AM150" s="84">
        <f>COUNTIFS($D$2:$D$337,"=1",$C$2:$C$337,$T$79,$A$2:$A$337,"&lt;&gt;BSV")</f>
        <v>23</v>
      </c>
      <c r="AN150" s="84">
        <f>COUNTIFS($D$2:$D$337,"=1",$C$2:$C$337,$U$79,$A$2:$A$337,"&lt;&gt;BSV")</f>
        <v>77</v>
      </c>
      <c r="AP150" s="147"/>
      <c r="AQ150" s="84" t="s">
        <v>391</v>
      </c>
      <c r="AR150" s="84">
        <f>COUNTIFS($D$2:$D$337,"=1",$C$2:$C$337,$R$79,$A$2:$A$337,"&lt;&gt;BSV")</f>
        <v>23</v>
      </c>
      <c r="AS150" s="84">
        <f>COUNTIFS($D$2:$D$337,"=1",$C$2:$C$337,$S$79,$A$2:$A$337,"&lt;&gt;BSV")</f>
        <v>12</v>
      </c>
      <c r="AT150" s="84">
        <f>COUNTIFS($D$2:$D$337,"=1",$C$2:$C$337,$T$79,$A$2:$A$337,"&lt;&gt;BSV")</f>
        <v>23</v>
      </c>
      <c r="AU150" s="84">
        <f>COUNTIFS($D$2:$D$337,"=1",$C$2:$C$337,$U$79,$A$2:$A$337,"&lt;&gt;BSV")</f>
        <v>77</v>
      </c>
    </row>
    <row r="151" spans="1:54">
      <c r="A151" s="1" t="s">
        <v>216</v>
      </c>
      <c r="B151" s="8" t="s">
        <v>240</v>
      </c>
      <c r="C151" s="1">
        <v>3</v>
      </c>
      <c r="D151" s="1">
        <v>0</v>
      </c>
      <c r="E151" s="18">
        <v>4</v>
      </c>
      <c r="F151" s="1">
        <v>1.9088340841414064E-5</v>
      </c>
      <c r="G151" s="1" t="s">
        <v>451</v>
      </c>
      <c r="I151">
        <f t="shared" si="43"/>
        <v>0</v>
      </c>
      <c r="J151">
        <f t="shared" si="44"/>
        <v>0</v>
      </c>
      <c r="K151">
        <f t="shared" si="45"/>
        <v>0</v>
      </c>
      <c r="L151" s="144" t="b">
        <f t="shared" si="46"/>
        <v>0</v>
      </c>
      <c r="M151" s="144">
        <f t="shared" si="47"/>
        <v>0</v>
      </c>
      <c r="AC151" s="147"/>
      <c r="AD151" s="84" t="s">
        <v>359</v>
      </c>
      <c r="AE151" s="84">
        <f>AE149+AE150</f>
        <v>43</v>
      </c>
      <c r="AF151" s="84">
        <f t="shared" ref="AF151:AH151" si="64">AF149+AF150</f>
        <v>44</v>
      </c>
      <c r="AG151" s="84">
        <f t="shared" si="64"/>
        <v>66</v>
      </c>
      <c r="AH151" s="84">
        <f t="shared" si="64"/>
        <v>95</v>
      </c>
      <c r="AI151" s="147"/>
      <c r="AJ151" s="84" t="s">
        <v>359</v>
      </c>
      <c r="AK151" s="84">
        <f>AK149+AK150</f>
        <v>43</v>
      </c>
      <c r="AL151" s="84">
        <f t="shared" ref="AL151:AN151" si="65">AL149+AL150</f>
        <v>44</v>
      </c>
      <c r="AM151" s="84">
        <f t="shared" si="65"/>
        <v>66</v>
      </c>
      <c r="AN151" s="84">
        <f t="shared" si="65"/>
        <v>95</v>
      </c>
      <c r="AP151" s="147"/>
      <c r="AQ151" s="84" t="s">
        <v>359</v>
      </c>
      <c r="AR151" s="84">
        <f>AR149+AR150</f>
        <v>43</v>
      </c>
      <c r="AS151" s="84">
        <f t="shared" ref="AS151:AU151" si="66">AS149+AS150</f>
        <v>44</v>
      </c>
      <c r="AT151" s="84">
        <f t="shared" si="66"/>
        <v>66</v>
      </c>
      <c r="AU151" s="84">
        <f t="shared" si="66"/>
        <v>95</v>
      </c>
    </row>
    <row r="152" spans="1:54">
      <c r="A152" s="1" t="s">
        <v>216</v>
      </c>
      <c r="B152" s="8" t="s">
        <v>241</v>
      </c>
      <c r="C152" s="1">
        <v>3</v>
      </c>
      <c r="D152" s="1">
        <v>0</v>
      </c>
      <c r="E152" s="18">
        <v>4</v>
      </c>
      <c r="F152" s="1">
        <v>1.9088340841414064E-5</v>
      </c>
      <c r="G152" s="1" t="s">
        <v>451</v>
      </c>
      <c r="I152">
        <f t="shared" si="43"/>
        <v>0</v>
      </c>
      <c r="J152">
        <f t="shared" si="44"/>
        <v>0</v>
      </c>
      <c r="K152">
        <f t="shared" si="45"/>
        <v>0</v>
      </c>
      <c r="L152" s="144" t="b">
        <f t="shared" si="46"/>
        <v>0</v>
      </c>
      <c r="M152" s="144">
        <f t="shared" si="47"/>
        <v>0</v>
      </c>
      <c r="AX152" s="84" t="s">
        <v>469</v>
      </c>
      <c r="AY152" s="87">
        <f>AE153+AR153</f>
        <v>-15</v>
      </c>
      <c r="AZ152" s="87">
        <f t="shared" ref="AZ152:BB154" si="67">AF153+AS153</f>
        <v>-14</v>
      </c>
      <c r="BA152" s="87">
        <f t="shared" si="67"/>
        <v>-6</v>
      </c>
      <c r="BB152" s="87">
        <f t="shared" si="67"/>
        <v>-51</v>
      </c>
    </row>
    <row r="153" spans="1:54">
      <c r="A153" s="1" t="s">
        <v>216</v>
      </c>
      <c r="B153" s="8" t="s">
        <v>255</v>
      </c>
      <c r="C153" s="1">
        <v>3</v>
      </c>
      <c r="D153" s="1">
        <v>0</v>
      </c>
      <c r="E153" s="18">
        <v>2</v>
      </c>
      <c r="F153" s="1">
        <v>9.5441704207070318E-6</v>
      </c>
      <c r="G153" s="1" t="s">
        <v>451</v>
      </c>
      <c r="I153">
        <f t="shared" si="43"/>
        <v>0</v>
      </c>
      <c r="J153">
        <f t="shared" si="44"/>
        <v>0</v>
      </c>
      <c r="K153">
        <f t="shared" si="45"/>
        <v>0</v>
      </c>
      <c r="L153" s="144" t="b">
        <f t="shared" si="46"/>
        <v>0</v>
      </c>
      <c r="M153" s="144">
        <f t="shared" si="47"/>
        <v>0</v>
      </c>
      <c r="AD153" s="84" t="s">
        <v>469</v>
      </c>
      <c r="AE153" s="87">
        <f>AE144-AE134</f>
        <v>-8</v>
      </c>
      <c r="AF153" s="87">
        <f t="shared" ref="AF153:AH153" si="68">AF144-AF134</f>
        <v>-9</v>
      </c>
      <c r="AG153" s="87">
        <f t="shared" si="68"/>
        <v>-5</v>
      </c>
      <c r="AH153" s="87">
        <f t="shared" si="68"/>
        <v>-40</v>
      </c>
      <c r="AQ153" s="84" t="s">
        <v>469</v>
      </c>
      <c r="AR153" s="87">
        <f>AR144-AR134</f>
        <v>-7</v>
      </c>
      <c r="AS153" s="87">
        <f t="shared" ref="AS153:AU153" si="69">AS144-AS134</f>
        <v>-5</v>
      </c>
      <c r="AT153" s="87">
        <f t="shared" si="69"/>
        <v>-1</v>
      </c>
      <c r="AU153" s="87">
        <f t="shared" si="69"/>
        <v>-11</v>
      </c>
      <c r="AX153" s="84" t="s">
        <v>470</v>
      </c>
      <c r="AY153" s="87">
        <f>AE154+AR154</f>
        <v>2</v>
      </c>
      <c r="AZ153" s="87">
        <f t="shared" si="67"/>
        <v>3</v>
      </c>
      <c r="BA153" s="87">
        <f t="shared" si="67"/>
        <v>0</v>
      </c>
      <c r="BB153" s="87">
        <f t="shared" si="67"/>
        <v>15</v>
      </c>
    </row>
    <row r="154" spans="1:54">
      <c r="A154" s="1" t="s">
        <v>216</v>
      </c>
      <c r="B154" s="8" t="s">
        <v>243</v>
      </c>
      <c r="C154" s="1">
        <v>3</v>
      </c>
      <c r="D154" s="1">
        <v>0</v>
      </c>
      <c r="E154" s="18">
        <v>2</v>
      </c>
      <c r="F154" s="1">
        <v>9.5441704207070318E-6</v>
      </c>
      <c r="G154" s="1" t="s">
        <v>451</v>
      </c>
      <c r="H154" s="10"/>
      <c r="I154">
        <f t="shared" si="43"/>
        <v>0</v>
      </c>
      <c r="J154">
        <f t="shared" si="44"/>
        <v>0</v>
      </c>
      <c r="K154">
        <f t="shared" si="45"/>
        <v>0</v>
      </c>
      <c r="L154" s="144" t="b">
        <f t="shared" si="46"/>
        <v>0</v>
      </c>
      <c r="M154" s="144">
        <f t="shared" si="47"/>
        <v>0</v>
      </c>
      <c r="AD154" s="84" t="s">
        <v>470</v>
      </c>
      <c r="AE154" s="87">
        <f>AE145-AE135</f>
        <v>1</v>
      </c>
      <c r="AF154" s="87">
        <f t="shared" ref="AF154:AH154" si="70">AF145-AF135</f>
        <v>3</v>
      </c>
      <c r="AG154" s="87">
        <f t="shared" si="70"/>
        <v>0</v>
      </c>
      <c r="AH154" s="87">
        <f t="shared" si="70"/>
        <v>6</v>
      </c>
      <c r="AQ154" s="84" t="s">
        <v>470</v>
      </c>
      <c r="AR154" s="87">
        <f>AR145-AR135</f>
        <v>1</v>
      </c>
      <c r="AS154" s="87">
        <f t="shared" ref="AS154:AU154" si="71">AS145-AS135</f>
        <v>0</v>
      </c>
      <c r="AT154" s="87">
        <f t="shared" si="71"/>
        <v>0</v>
      </c>
      <c r="AU154" s="87">
        <f t="shared" si="71"/>
        <v>9</v>
      </c>
      <c r="AX154" s="84" t="s">
        <v>471</v>
      </c>
      <c r="AY154" s="84">
        <f>AE155+AR155</f>
        <v>13</v>
      </c>
      <c r="AZ154" s="84">
        <f t="shared" si="67"/>
        <v>11</v>
      </c>
      <c r="BA154" s="84">
        <f t="shared" si="67"/>
        <v>6</v>
      </c>
      <c r="BB154" s="84">
        <f t="shared" si="67"/>
        <v>36</v>
      </c>
    </row>
    <row r="155" spans="1:54">
      <c r="A155" s="1" t="s">
        <v>216</v>
      </c>
      <c r="B155" s="8" t="s">
        <v>242</v>
      </c>
      <c r="C155" s="1">
        <v>3</v>
      </c>
      <c r="D155" s="1">
        <v>0</v>
      </c>
      <c r="E155" s="18">
        <v>2</v>
      </c>
      <c r="F155" s="1">
        <v>9.5441704207070318E-6</v>
      </c>
      <c r="G155" s="1" t="s">
        <v>451</v>
      </c>
      <c r="I155">
        <f t="shared" si="43"/>
        <v>0</v>
      </c>
      <c r="J155">
        <f t="shared" si="44"/>
        <v>0</v>
      </c>
      <c r="K155">
        <f t="shared" si="45"/>
        <v>0</v>
      </c>
      <c r="L155" s="144" t="b">
        <f t="shared" si="46"/>
        <v>0</v>
      </c>
      <c r="M155" s="144">
        <f t="shared" si="47"/>
        <v>0</v>
      </c>
      <c r="AD155" s="84" t="s">
        <v>471</v>
      </c>
      <c r="AE155" s="84">
        <f>AE146-AE136</f>
        <v>7</v>
      </c>
      <c r="AF155" s="84">
        <f t="shared" ref="AF155:AH155" si="72">AF146-AF136</f>
        <v>6</v>
      </c>
      <c r="AG155" s="84">
        <f t="shared" si="72"/>
        <v>5</v>
      </c>
      <c r="AH155" s="84">
        <f t="shared" si="72"/>
        <v>34</v>
      </c>
      <c r="AQ155" s="84" t="s">
        <v>471</v>
      </c>
      <c r="AR155" s="84">
        <f>AR146-AR136</f>
        <v>6</v>
      </c>
      <c r="AS155" s="84">
        <f t="shared" ref="AS155:AU155" si="73">AS146-AS136</f>
        <v>5</v>
      </c>
      <c r="AT155" s="84">
        <f t="shared" si="73"/>
        <v>1</v>
      </c>
      <c r="AU155" s="84">
        <f t="shared" si="73"/>
        <v>2</v>
      </c>
    </row>
    <row r="156" spans="1:54">
      <c r="A156" s="1" t="s">
        <v>216</v>
      </c>
      <c r="B156" s="8" t="s">
        <v>247</v>
      </c>
      <c r="C156" s="1">
        <v>3</v>
      </c>
      <c r="D156" s="1">
        <v>0</v>
      </c>
      <c r="E156" s="18">
        <v>1</v>
      </c>
      <c r="F156" s="1">
        <v>4.7720852103535159E-6</v>
      </c>
      <c r="G156" s="1" t="s">
        <v>451</v>
      </c>
      <c r="I156">
        <f t="shared" si="43"/>
        <v>0</v>
      </c>
      <c r="J156">
        <f t="shared" si="44"/>
        <v>0</v>
      </c>
      <c r="K156">
        <f t="shared" si="45"/>
        <v>0</v>
      </c>
      <c r="L156" s="144" t="b">
        <f t="shared" si="46"/>
        <v>0</v>
      </c>
      <c r="M156" s="144">
        <f t="shared" si="47"/>
        <v>0</v>
      </c>
    </row>
    <row r="157" spans="1:54">
      <c r="A157" s="1" t="s">
        <v>216</v>
      </c>
      <c r="B157" s="8" t="s">
        <v>245</v>
      </c>
      <c r="C157" s="1">
        <v>3</v>
      </c>
      <c r="D157" s="1">
        <v>0</v>
      </c>
      <c r="E157" s="18">
        <v>1</v>
      </c>
      <c r="F157" s="1">
        <v>4.7720852103535159E-6</v>
      </c>
      <c r="G157" s="1" t="s">
        <v>451</v>
      </c>
      <c r="I157">
        <f t="shared" si="43"/>
        <v>0</v>
      </c>
      <c r="J157">
        <f t="shared" si="44"/>
        <v>0</v>
      </c>
      <c r="K157">
        <f t="shared" si="45"/>
        <v>0</v>
      </c>
      <c r="L157" s="144" t="b">
        <f t="shared" si="46"/>
        <v>0</v>
      </c>
      <c r="M157" s="144">
        <f t="shared" si="47"/>
        <v>0</v>
      </c>
    </row>
    <row r="158" spans="1:54" ht="16.5" customHeight="1">
      <c r="A158" s="1" t="s">
        <v>216</v>
      </c>
      <c r="B158" s="8" t="s">
        <v>244</v>
      </c>
      <c r="C158" s="1">
        <v>3</v>
      </c>
      <c r="D158" s="1">
        <v>0</v>
      </c>
      <c r="E158" s="18">
        <v>1</v>
      </c>
      <c r="F158" s="1">
        <v>4.7720852103535159E-6</v>
      </c>
      <c r="G158" s="1" t="s">
        <v>451</v>
      </c>
      <c r="I158">
        <f t="shared" si="43"/>
        <v>0</v>
      </c>
      <c r="J158">
        <f t="shared" si="44"/>
        <v>0</v>
      </c>
      <c r="K158">
        <f t="shared" si="45"/>
        <v>0</v>
      </c>
      <c r="L158" s="144" t="b">
        <f t="shared" si="46"/>
        <v>0</v>
      </c>
      <c r="M158" s="144">
        <f t="shared" si="47"/>
        <v>0</v>
      </c>
    </row>
    <row r="159" spans="1:54" ht="16.5" thickBot="1">
      <c r="A159" s="1" t="s">
        <v>216</v>
      </c>
      <c r="B159" s="8" t="s">
        <v>246</v>
      </c>
      <c r="C159" s="1">
        <v>3</v>
      </c>
      <c r="D159" s="1">
        <v>0</v>
      </c>
      <c r="E159" s="18">
        <v>1</v>
      </c>
      <c r="F159" s="1">
        <v>4.7720852103535159E-6</v>
      </c>
      <c r="G159" s="1" t="s">
        <v>451</v>
      </c>
      <c r="I159">
        <f t="shared" ref="I159:I190" si="74">IF(F159&gt;$T$3,1,0)</f>
        <v>0</v>
      </c>
      <c r="J159">
        <f t="shared" si="44"/>
        <v>0</v>
      </c>
      <c r="K159">
        <f t="shared" si="45"/>
        <v>0</v>
      </c>
      <c r="L159" s="144" t="b">
        <f t="shared" si="46"/>
        <v>0</v>
      </c>
      <c r="M159" s="144">
        <f t="shared" si="47"/>
        <v>0</v>
      </c>
    </row>
    <row r="160" spans="1:54">
      <c r="A160" s="1" t="s">
        <v>211</v>
      </c>
      <c r="B160" s="8" t="s">
        <v>242</v>
      </c>
      <c r="C160" s="1">
        <v>3</v>
      </c>
      <c r="D160" s="1">
        <v>0</v>
      </c>
      <c r="E160" s="18">
        <v>3</v>
      </c>
      <c r="F160" s="1">
        <v>8.2765470245813451E-5</v>
      </c>
      <c r="G160" s="1" t="s">
        <v>451</v>
      </c>
      <c r="I160">
        <f t="shared" si="74"/>
        <v>0</v>
      </c>
      <c r="J160">
        <f t="shared" si="44"/>
        <v>0</v>
      </c>
      <c r="K160">
        <f t="shared" si="45"/>
        <v>0</v>
      </c>
      <c r="L160" s="144" t="b">
        <f t="shared" si="46"/>
        <v>0</v>
      </c>
      <c r="M160" s="144">
        <f t="shared" si="47"/>
        <v>0</v>
      </c>
      <c r="Q160" t="s">
        <v>433</v>
      </c>
      <c r="R160" t="s">
        <v>415</v>
      </c>
      <c r="W160" t="s">
        <v>428</v>
      </c>
      <c r="X160" t="s">
        <v>401</v>
      </c>
      <c r="Y160" t="s">
        <v>402</v>
      </c>
      <c r="Z160" t="s">
        <v>423</v>
      </c>
      <c r="AA160" s="140" t="s">
        <v>429</v>
      </c>
    </row>
    <row r="161" spans="1:41">
      <c r="A161" s="1" t="s">
        <v>211</v>
      </c>
      <c r="B161" s="8" t="s">
        <v>248</v>
      </c>
      <c r="C161" s="1">
        <v>3</v>
      </c>
      <c r="D161" s="1">
        <v>0</v>
      </c>
      <c r="E161" s="18">
        <v>2</v>
      </c>
      <c r="F161" s="1">
        <v>5.5176980163875629E-5</v>
      </c>
      <c r="G161" s="1" t="s">
        <v>451</v>
      </c>
      <c r="H161" s="10"/>
      <c r="I161">
        <f t="shared" si="74"/>
        <v>0</v>
      </c>
      <c r="J161">
        <f t="shared" si="44"/>
        <v>0</v>
      </c>
      <c r="K161">
        <f t="shared" si="45"/>
        <v>0</v>
      </c>
      <c r="L161" s="144" t="b">
        <f t="shared" si="46"/>
        <v>0</v>
      </c>
      <c r="M161" s="144">
        <f t="shared" si="47"/>
        <v>0</v>
      </c>
      <c r="Q161" s="86" t="s">
        <v>393</v>
      </c>
      <c r="R161" s="87">
        <f>COUNTIFS($D$2:$D$337,"=0",$C$2:$C$337,$R$79,$A$2:$A$337,"&lt;&gt;BSV",$J$2:$J$337,"=0",$I$2:$I$337,"=0")</f>
        <v>9</v>
      </c>
      <c r="S161" s="87">
        <f>COUNTIFS($D$2:$D$337,"=0",$C$2:$C$337,$S$79,$A$2:$A$337,"&lt;&gt;BSV",$J$2:$J$337,"=0",$I$2:$I$337,"=0")</f>
        <v>21</v>
      </c>
      <c r="T161" s="87">
        <f>COUNTIFS($D$2:$D$337,"=0",$C$2:$C$337,$T$79,$A$2:$A$337,"&lt;&gt;BSV",$J$2:$J$337,"=0",$I$2:$I$337,"=0")</f>
        <v>39</v>
      </c>
      <c r="U161" s="87">
        <f>COUNTIFS($D$2:$D$337,"=0",$C$2:$C$337,$U$79,$A$2:$A$337,"&lt;&gt;BSV",$J$2:$J$337,"=0",$I$2:$I$337,"=0")</f>
        <v>10</v>
      </c>
      <c r="W161" t="s">
        <v>419</v>
      </c>
      <c r="X161" t="s">
        <v>430</v>
      </c>
      <c r="Y161" s="139" t="s">
        <v>430</v>
      </c>
      <c r="Z161" t="s">
        <v>430</v>
      </c>
      <c r="AA161" s="141" t="s">
        <v>430</v>
      </c>
    </row>
    <row r="162" spans="1:41">
      <c r="A162" s="1" t="s">
        <v>211</v>
      </c>
      <c r="B162" s="8" t="s">
        <v>252</v>
      </c>
      <c r="C162" s="1">
        <v>3</v>
      </c>
      <c r="D162" s="1">
        <v>0</v>
      </c>
      <c r="E162" s="18">
        <v>2</v>
      </c>
      <c r="F162" s="1">
        <v>5.5176980163875629E-5</v>
      </c>
      <c r="G162" s="1" t="s">
        <v>451</v>
      </c>
      <c r="H162" s="10"/>
      <c r="I162">
        <f t="shared" si="74"/>
        <v>0</v>
      </c>
      <c r="J162">
        <f t="shared" si="44"/>
        <v>0</v>
      </c>
      <c r="K162">
        <f t="shared" si="45"/>
        <v>0</v>
      </c>
      <c r="L162" s="144" t="b">
        <f t="shared" si="46"/>
        <v>0</v>
      </c>
      <c r="M162" s="144">
        <f t="shared" si="47"/>
        <v>0</v>
      </c>
      <c r="Q162" s="86" t="s">
        <v>409</v>
      </c>
      <c r="R162" s="87">
        <f>COUNTIFS($C$2:$C$337,$O$7,$A$2:$A$337,"&lt;&gt;BSV",$J$2:$J$337,"=0",$I$2:$I$337,"=0")</f>
        <v>9</v>
      </c>
      <c r="S162" s="87">
        <f>COUNTIFS($C$2:$C$337,$O$12,$A$2:$A$337,"&lt;&gt;BSV",$J$2:$J$337,"=0",$I$2:$I$337,"=0")</f>
        <v>21</v>
      </c>
      <c r="T162" s="87">
        <f>COUNTIFS($C$2:$C$337,$O$17,$A$2:$A$337,"&lt;&gt;BSV",$J$2:$J$337,"=0",$I$2:$I$337,"=0")</f>
        <v>39</v>
      </c>
      <c r="U162" s="87">
        <f>COUNTIFS($C$2:$C$337,$O$22,$A$2:$A$337,"&lt;&gt;BSV",$J$2:$J$337,"=0",$I$2:$I$337,"=0")</f>
        <v>11</v>
      </c>
      <c r="W162" t="s">
        <v>420</v>
      </c>
      <c r="X162" t="s">
        <v>430</v>
      </c>
      <c r="Y162" t="s">
        <v>431</v>
      </c>
      <c r="Z162" t="s">
        <v>424</v>
      </c>
      <c r="AA162" s="141" t="s">
        <v>426</v>
      </c>
    </row>
    <row r="163" spans="1:41">
      <c r="A163" s="1" t="s">
        <v>211</v>
      </c>
      <c r="B163" s="8" t="s">
        <v>236</v>
      </c>
      <c r="C163" s="1">
        <v>3</v>
      </c>
      <c r="D163" s="1">
        <v>0</v>
      </c>
      <c r="E163" s="18">
        <v>2</v>
      </c>
      <c r="F163" s="1">
        <v>5.5176980163875629E-5</v>
      </c>
      <c r="G163" s="1" t="s">
        <v>451</v>
      </c>
      <c r="I163">
        <f t="shared" si="74"/>
        <v>0</v>
      </c>
      <c r="J163">
        <f t="shared" si="44"/>
        <v>0</v>
      </c>
      <c r="K163">
        <f t="shared" si="45"/>
        <v>0</v>
      </c>
      <c r="L163" s="144" t="b">
        <f t="shared" si="46"/>
        <v>0</v>
      </c>
      <c r="M163" s="144">
        <f t="shared" si="47"/>
        <v>0</v>
      </c>
      <c r="T163" s="48"/>
      <c r="W163" t="s">
        <v>422</v>
      </c>
      <c r="X163" s="139" t="s">
        <v>431</v>
      </c>
      <c r="Y163" s="139" t="s">
        <v>430</v>
      </c>
      <c r="Z163" t="s">
        <v>425</v>
      </c>
      <c r="AA163" s="141" t="s">
        <v>431</v>
      </c>
    </row>
    <row r="164" spans="1:41" ht="16.5" thickBot="1">
      <c r="A164" s="1" t="s">
        <v>211</v>
      </c>
      <c r="B164" s="8" t="s">
        <v>254</v>
      </c>
      <c r="C164" s="1">
        <v>3</v>
      </c>
      <c r="D164" s="1">
        <v>0</v>
      </c>
      <c r="E164" s="18">
        <v>1</v>
      </c>
      <c r="F164" s="1">
        <v>2.7588490081937815E-5</v>
      </c>
      <c r="G164" s="1" t="s">
        <v>451</v>
      </c>
      <c r="I164">
        <f t="shared" si="74"/>
        <v>0</v>
      </c>
      <c r="J164">
        <f t="shared" si="44"/>
        <v>0</v>
      </c>
      <c r="K164">
        <f t="shared" si="45"/>
        <v>0</v>
      </c>
      <c r="L164" s="144" t="b">
        <f t="shared" si="46"/>
        <v>0</v>
      </c>
      <c r="M164" s="144">
        <f t="shared" si="47"/>
        <v>0</v>
      </c>
      <c r="Q164" s="86" t="s">
        <v>386</v>
      </c>
      <c r="R164" s="87">
        <f>COUNTIFS($D$2:$D$337,"=1",$C$2:$C$337,$R$79,$A$2:$A$337,"&lt;&gt;BSV",I$2:$I$337,"=1")</f>
        <v>23</v>
      </c>
      <c r="S164" s="87">
        <f>COUNTIFS($D$2:$D$337,"=1",$C$2:$C$337,$S$79,$A$2:$A$337,"&lt;&gt;BSV",$I$2:$I$337,"=1")</f>
        <v>12</v>
      </c>
      <c r="T164" s="87">
        <f>COUNTIFS($D$2:$D$337,"=1",$C$2:$C$337,$T$79,$A$2:$A$337,"&lt;&gt;BSV",$I$2:$I$337,"=1")</f>
        <v>23</v>
      </c>
      <c r="U164" s="87">
        <f>COUNTIFS($D$2:$D$337,"=1",$C$2:$C$337,$U$79,$A$2:$A$337,"&lt;&gt;BSV",$I$2:$I$337,"=1")</f>
        <v>76</v>
      </c>
      <c r="W164" t="s">
        <v>421</v>
      </c>
      <c r="X164" s="139" t="s">
        <v>431</v>
      </c>
      <c r="Y164" t="s">
        <v>431</v>
      </c>
      <c r="Z164" t="s">
        <v>431</v>
      </c>
      <c r="AA164" s="142" t="s">
        <v>431</v>
      </c>
    </row>
    <row r="165" spans="1:41">
      <c r="A165" s="1" t="s">
        <v>211</v>
      </c>
      <c r="B165" s="8" t="s">
        <v>238</v>
      </c>
      <c r="C165" s="1">
        <v>3</v>
      </c>
      <c r="D165" s="1">
        <v>0</v>
      </c>
      <c r="E165" s="18">
        <v>1</v>
      </c>
      <c r="F165" s="1">
        <v>2.7588490081937815E-5</v>
      </c>
      <c r="G165" s="1" t="s">
        <v>451</v>
      </c>
      <c r="H165" s="10"/>
      <c r="I165">
        <f t="shared" si="74"/>
        <v>0</v>
      </c>
      <c r="J165">
        <f t="shared" si="44"/>
        <v>0</v>
      </c>
      <c r="K165">
        <f t="shared" si="45"/>
        <v>0</v>
      </c>
      <c r="L165" s="144" t="b">
        <f t="shared" si="46"/>
        <v>0</v>
      </c>
      <c r="M165" s="144">
        <f t="shared" si="47"/>
        <v>0</v>
      </c>
      <c r="Q165" s="86" t="s">
        <v>389</v>
      </c>
      <c r="R165" s="87">
        <f>COUNTIFS($C$2:$C$337,$O$7,$A$2:$A$337,"&lt;&gt;BSV",$I$2:$I$337,"=1")</f>
        <v>34</v>
      </c>
      <c r="S165" s="87">
        <f>COUNTIFS($C$2:$C$337,$O$12,$A$2:$A$337,"&lt;&gt;BSV",$I$2:$I$337,"=1")</f>
        <v>23</v>
      </c>
      <c r="T165" s="87">
        <f>COUNTIFS($C$2:$C$337,$O$17,$A$2:$A$337,"&lt;&gt;BSV",$I$2:$I$337,"=1")</f>
        <v>27</v>
      </c>
      <c r="U165" s="87">
        <f>COUNTIFS($C$2:$C$337,$O$22,$A$2:$A$337,"&lt;&gt;BSV",$I$2:$I$337,"=1")</f>
        <v>84</v>
      </c>
      <c r="AC165" t="s">
        <v>467</v>
      </c>
    </row>
    <row r="166" spans="1:41">
      <c r="A166" s="1" t="s">
        <v>211</v>
      </c>
      <c r="B166" s="8" t="s">
        <v>250</v>
      </c>
      <c r="C166" s="1">
        <v>3</v>
      </c>
      <c r="D166" s="1">
        <v>0</v>
      </c>
      <c r="E166" s="18">
        <v>1</v>
      </c>
      <c r="F166" s="1">
        <v>2.7588490081937815E-5</v>
      </c>
      <c r="G166" s="1" t="s">
        <v>451</v>
      </c>
      <c r="I166">
        <f t="shared" si="74"/>
        <v>0</v>
      </c>
      <c r="J166">
        <f t="shared" si="44"/>
        <v>0</v>
      </c>
      <c r="K166">
        <f t="shared" si="45"/>
        <v>0</v>
      </c>
      <c r="L166" s="144" t="b">
        <f t="shared" si="46"/>
        <v>0</v>
      </c>
      <c r="M166" s="144">
        <f t="shared" si="47"/>
        <v>0</v>
      </c>
      <c r="T166" s="48"/>
      <c r="AC166" s="146" t="s">
        <v>456</v>
      </c>
      <c r="AD166" s="84" t="s">
        <v>416</v>
      </c>
      <c r="AE166" s="87">
        <f>COUNTIFS($C$2:$C$337,$O$7,$A$2:$A$337,"&lt;&gt;BSV",$J$2:$J$337,"=0",$I$2:$I$337,"=1") + COUNTIFS($C$2:$C$337,$O$7,$A$2:$A$337,"&lt;&gt;BSV",$J$2:$J$337,"=1",$I$2:$I$337,"=0")</f>
        <v>15</v>
      </c>
      <c r="AF166" s="87">
        <f>COUNTIFS($C$2:$C$337,$O$12,$A$2:$A$337,"&lt;&gt;BSV",$J$2:$J$337,"=0",$I$2:$I$337,"=1") + COUNTIFS($C$2:$C$337,$O$12,$A$2:$A$337,"&lt;&gt;BSV",$J$2:$J$337,"=1",$I$2:$I$337,"=0")</f>
        <v>14</v>
      </c>
      <c r="AG166" s="87">
        <f>COUNTIFS($C$2:$C$337,$O$17,$A$2:$A$337,"&lt;&gt;BSV",$J$2:$J$337,"=0",$I$2:$I$337,"=1") + COUNTIFS($C$2:$C$337,$O$17,$A$2:$A$337,"&lt;&gt;BSV",$J$2:$J$337,"=1",$I$2:$I$337,"=0")</f>
        <v>6</v>
      </c>
      <c r="AH166" s="87">
        <f>COUNTIFS($C$2:$C$337,$O$22,$A$2:$A$337,"&lt;&gt;BSV",$J$2:$J$337,"=0",$I$2:$I$337,"=1") + COUNTIFS($C$2:$C$337,$O$22,$A$2:$A$337,"&lt;&gt;BSV",$J$2:$J$337,"=1",$I$2:$I$337,"=0")</f>
        <v>51</v>
      </c>
    </row>
    <row r="167" spans="1:41">
      <c r="A167" s="1" t="s">
        <v>211</v>
      </c>
      <c r="B167" s="8" t="s">
        <v>239</v>
      </c>
      <c r="C167" s="1">
        <v>3</v>
      </c>
      <c r="D167" s="1">
        <v>0</v>
      </c>
      <c r="E167" s="18">
        <v>1</v>
      </c>
      <c r="F167" s="1">
        <v>2.7588490081937815E-5</v>
      </c>
      <c r="G167" s="1" t="s">
        <v>451</v>
      </c>
      <c r="H167" s="10"/>
      <c r="I167">
        <f t="shared" si="74"/>
        <v>0</v>
      </c>
      <c r="J167">
        <f t="shared" si="44"/>
        <v>0</v>
      </c>
      <c r="K167">
        <f t="shared" si="45"/>
        <v>0</v>
      </c>
      <c r="L167" s="144" t="b">
        <f t="shared" si="46"/>
        <v>0</v>
      </c>
      <c r="M167" s="144">
        <f t="shared" si="47"/>
        <v>0</v>
      </c>
      <c r="Q167" s="84" t="s">
        <v>390</v>
      </c>
      <c r="R167" s="84">
        <f>COUNTIFS($D$2:$D$337,"=0",$C$2:$C$337,$R$79,$A$2:$A$337,"&lt;&gt;BSV")</f>
        <v>20</v>
      </c>
      <c r="S167" s="84">
        <f>COUNTIFS($D$2:$D$337,"=0",$C$2:$C$337,$S$79,$A$2:$A$337,"&lt;&gt;BSV")</f>
        <v>32</v>
      </c>
      <c r="T167" s="84">
        <f>COUNTIFS($D$2:$D$337,"=0",$C$2:$C$337,$T$79,$A$2:$A$337,"&lt;&gt;BSV")</f>
        <v>43</v>
      </c>
      <c r="U167" s="84">
        <f>COUNTIFS($D$2:$D$337,"=0",$C$2:$C$337,$U$79,$A$2:$A$337,"&lt;&gt;BSV")</f>
        <v>18</v>
      </c>
      <c r="AC167" s="146"/>
      <c r="AD167" s="84" t="s">
        <v>417</v>
      </c>
      <c r="AE167" s="87">
        <f>COUNTIFS($C$2:$C$337,$O$7,$A$2:$A$337,"&lt;&gt;BSV",$J$2:$J$337,"=0",$I$2:$I$337,"=0",$D$2:$D$337,"=1") + COUNTIFS($C$2:$C$337,$O$7,$A$2:$A$337,"&lt;&gt;BSV",$J$2:$J$337,"=1",$I$2:$I$337,"=1",$D$2:$D$337,"=0")</f>
        <v>0</v>
      </c>
      <c r="AF167" s="87">
        <f>COUNTIFS($C$2:$C$337,$O$12,$A$2:$A$337,"&lt;&gt;BSV",$J$2:$J$337,"=0",$I$2:$I$337,"=0",$D$2:$D$337,"=1") + COUNTIFS($C$2:$C$337,$O$12,$A$2:$A$337,"&lt;&gt;BSV",$J$2:$J$337,"=1",$I$2:$I$337,"=1",$D$2:$D$337,"=0")</f>
        <v>1</v>
      </c>
      <c r="AG167" s="87">
        <f>COUNTIFS($C$2:$C$337,$O$17,$A$2:$A$337,"&lt;&gt;BSV",$J$2:$J$337,"=0",$I$2:$I$337,"=0",$D$2:$D$337,"=1") + COUNTIFS($C$2:$C$337,$O$17,$A$2:$A$337,"&lt;&gt;BSV",$J$2:$J$337,"=1",$I$2:$I$337,"=1",$D$2:$D$337,"=0")</f>
        <v>2</v>
      </c>
      <c r="AH167" s="87">
        <f>COUNTIFS($C$2:$C$337,$O$22,$A$2:$A$337,"&lt;&gt;BSV",$J$2:$J$337,"=0",$I$2:$I$337,"=0",$D$2:$D$337,"=1") + COUNTIFS($C$2:$C$337,$O$22,$A$2:$A$337,"&lt;&gt;BSV",$J$2:$J$337,"=1",$I$2:$I$337,"=1",$D$2:$D$337,"=0")</f>
        <v>1</v>
      </c>
    </row>
    <row r="168" spans="1:41">
      <c r="A168" s="1" t="s">
        <v>218</v>
      </c>
      <c r="B168" s="8" t="s">
        <v>241</v>
      </c>
      <c r="C168" s="1">
        <v>3</v>
      </c>
      <c r="D168" s="1">
        <v>1</v>
      </c>
      <c r="E168" s="18">
        <v>3849</v>
      </c>
      <c r="F168" s="1">
        <v>1</v>
      </c>
      <c r="G168" s="1" t="s">
        <v>441</v>
      </c>
      <c r="I168">
        <f t="shared" si="74"/>
        <v>1</v>
      </c>
      <c r="J168">
        <f t="shared" si="44"/>
        <v>1</v>
      </c>
      <c r="K168">
        <f t="shared" si="45"/>
        <v>0</v>
      </c>
      <c r="L168" s="144" t="b">
        <f t="shared" si="46"/>
        <v>0</v>
      </c>
      <c r="M168" s="144">
        <f t="shared" si="47"/>
        <v>2</v>
      </c>
      <c r="Q168" s="84" t="s">
        <v>391</v>
      </c>
      <c r="R168" s="84">
        <f>COUNTIFS($D$2:$D$337,"=1",$C$2:$C$337,$R$79,$A$2:$A$337,"&lt;&gt;BSV")</f>
        <v>23</v>
      </c>
      <c r="S168" s="84">
        <f>COUNTIFS($D$2:$D$337,"=1",$C$2:$C$337,$S$79,$A$2:$A$337,"&lt;&gt;BSV")</f>
        <v>12</v>
      </c>
      <c r="T168" s="84">
        <f>COUNTIFS($D$2:$D$337,"=1",$C$2:$C$337,$T$79,$A$2:$A$337,"&lt;&gt;BSV")</f>
        <v>23</v>
      </c>
      <c r="U168" s="84">
        <f>COUNTIFS($D$2:$D$337,"=1",$C$2:$C$337,$U$79,$A$2:$A$337,"&lt;&gt;BSV")</f>
        <v>77</v>
      </c>
      <c r="AC168" s="146"/>
      <c r="AD168" s="84" t="s">
        <v>418</v>
      </c>
      <c r="AE168" s="84">
        <f>$R$140-($R$142+$R$143)</f>
        <v>28</v>
      </c>
      <c r="AF168" s="84">
        <f>$S$140-($S$142+$S$143)</f>
        <v>29</v>
      </c>
      <c r="AG168" s="84">
        <f>$T$140-($T$142+$T$143)</f>
        <v>58</v>
      </c>
      <c r="AH168" s="84">
        <f>$U$140-($U$142+$U$143)</f>
        <v>43</v>
      </c>
    </row>
    <row r="169" spans="1:41">
      <c r="A169" s="1" t="s">
        <v>218</v>
      </c>
      <c r="B169" s="8" t="s">
        <v>243</v>
      </c>
      <c r="C169" s="1">
        <v>3</v>
      </c>
      <c r="D169" s="1">
        <v>1</v>
      </c>
      <c r="E169" s="18">
        <v>1742</v>
      </c>
      <c r="F169" s="1">
        <v>0.45258508703559364</v>
      </c>
      <c r="G169" s="1">
        <v>0</v>
      </c>
      <c r="I169">
        <f t="shared" si="74"/>
        <v>1</v>
      </c>
      <c r="J169">
        <f t="shared" si="44"/>
        <v>1</v>
      </c>
      <c r="K169">
        <f t="shared" si="45"/>
        <v>1</v>
      </c>
      <c r="L169" s="144" t="b">
        <f t="shared" si="46"/>
        <v>1</v>
      </c>
      <c r="M169" s="144">
        <f t="shared" si="47"/>
        <v>3</v>
      </c>
      <c r="Q169" s="84" t="s">
        <v>359</v>
      </c>
      <c r="R169" s="84">
        <f>R167+R168</f>
        <v>43</v>
      </c>
      <c r="S169" s="84">
        <f t="shared" ref="S169:U169" si="75">S167+S168</f>
        <v>44</v>
      </c>
      <c r="T169" s="84">
        <f t="shared" si="75"/>
        <v>66</v>
      </c>
      <c r="U169" s="84">
        <f t="shared" si="75"/>
        <v>95</v>
      </c>
      <c r="AC169" s="146"/>
      <c r="AD169" t="s">
        <v>359</v>
      </c>
      <c r="AE169">
        <f>AE166+AE167+AE168</f>
        <v>43</v>
      </c>
      <c r="AF169">
        <f t="shared" ref="AF169:AH169" si="76">AF166+AF167+AF168</f>
        <v>44</v>
      </c>
      <c r="AG169">
        <f t="shared" si="76"/>
        <v>66</v>
      </c>
      <c r="AH169">
        <f t="shared" si="76"/>
        <v>95</v>
      </c>
    </row>
    <row r="170" spans="1:41">
      <c r="A170" s="1" t="s">
        <v>218</v>
      </c>
      <c r="B170" s="8" t="s">
        <v>261</v>
      </c>
      <c r="C170" s="1">
        <v>3</v>
      </c>
      <c r="D170" s="1">
        <v>1</v>
      </c>
      <c r="E170" s="18">
        <v>1431</v>
      </c>
      <c r="F170" s="1">
        <v>0.37178487918939984</v>
      </c>
      <c r="G170" s="1">
        <v>0</v>
      </c>
      <c r="I170">
        <f t="shared" si="74"/>
        <v>1</v>
      </c>
      <c r="J170">
        <f t="shared" si="44"/>
        <v>1</v>
      </c>
      <c r="K170">
        <f t="shared" si="45"/>
        <v>1</v>
      </c>
      <c r="L170" s="144" t="b">
        <f t="shared" si="46"/>
        <v>1</v>
      </c>
      <c r="M170" s="144">
        <f t="shared" si="47"/>
        <v>3</v>
      </c>
    </row>
    <row r="171" spans="1:41">
      <c r="A171" s="1" t="s">
        <v>218</v>
      </c>
      <c r="B171" s="8" t="s">
        <v>246</v>
      </c>
      <c r="C171" s="1">
        <v>3</v>
      </c>
      <c r="D171" s="1">
        <v>1</v>
      </c>
      <c r="E171" s="18">
        <v>1057</v>
      </c>
      <c r="F171" s="1">
        <v>0.27461678358015068</v>
      </c>
      <c r="G171" s="1">
        <v>0</v>
      </c>
      <c r="I171">
        <f t="shared" si="74"/>
        <v>1</v>
      </c>
      <c r="J171">
        <f t="shared" si="44"/>
        <v>1</v>
      </c>
      <c r="K171">
        <f t="shared" si="45"/>
        <v>1</v>
      </c>
      <c r="L171" s="144" t="b">
        <f t="shared" si="46"/>
        <v>1</v>
      </c>
      <c r="M171" s="144">
        <f t="shared" si="47"/>
        <v>3</v>
      </c>
      <c r="Q171" s="84" t="s">
        <v>416</v>
      </c>
      <c r="R171" s="87">
        <f>COUNTIFS($C$2:$C$337,$O$7,$A$2:$A$337,"&lt;&gt;BSV",$J$2:$J$337,"=1",$I$2:$I$337,"=0")</f>
        <v>0</v>
      </c>
      <c r="S171" s="87">
        <f xml:space="preserve"> COUNTIFS($C$2:$C$337,$O$12,$A$2:$A$337,"&lt;&gt;BSV",$J$2:$J$337,"=1",$I$2:$I$337,"=0")</f>
        <v>0</v>
      </c>
      <c r="T171" s="87">
        <f>COUNTIFS($C$2:$C$337,$O$17,$A$2:$A$337,"&lt;&gt;BSV",$J$2:$J$337,"=1",$I$2:$I$337,"=0")</f>
        <v>0</v>
      </c>
      <c r="U171" s="87">
        <f>COUNTIFS($C$2:$C$337,$O$22,$A$2:$A$337,"&lt;&gt;BSV",$J$2:$J$337,"=1",$I$2:$I$337,"=0")</f>
        <v>0</v>
      </c>
      <c r="AC171" s="146" t="s">
        <v>457</v>
      </c>
      <c r="AD171" s="86" t="s">
        <v>468</v>
      </c>
      <c r="AE171" s="87">
        <f>COUNTIFS($C$2:$C$337,$O$7,$A$2:$A$337,"&lt;&gt;BSV",$J$2:$J$337,"=0",$I$2:$I$337,"=1",$D$2:$D$337,"=0",$E$2:$E$337,"&lt;6",$F$2:$F$337,"&lt;&gt;1") + COUNTIFS($C$2:$C$337,$O$7,$A$2:$A$337,"&lt;&gt;BSV",$J$2:$J$337,"=1",$I$2:$I$337,"=0",$D$2:$D$337,"=0",$E$2:$E$337,"&lt;6",$F$2:$F$337,"&lt;&gt;1")</f>
        <v>5</v>
      </c>
      <c r="AF171" s="87">
        <f>COUNTIFS($C$2:$C$337,$O$12,$A$2:$A$337,"&lt;&gt;BSV",$J$2:$J$337,"=0",$I$2:$I$337,"=1",$D$2:$D$337,"=0",$E$2:$E$337,"&lt;6",$F$2:$F$337,"&lt;&gt;1") + COUNTIFS($C$2:$C$337,$O$12,$A$2:$A$337,"&lt;&gt;BSV",$J$2:$J$337,"=1",$I$2:$I$337,"=0",$D$2:$D$337,"=0",$E$2:$E$337,"&lt;6",$F$2:$F$337,"&lt;&gt;1")</f>
        <v>4</v>
      </c>
      <c r="AG171" s="87">
        <f>COUNTIFS($C$2:$C$337,$O$17,$A$2:$A$337,"&lt;&gt;BSV",$J$2:$J$337,"=0",$I$2:$I$337,"=1",$D$2:$D$337,"=0",$E$2:$E$337,"&lt;6",$F$2:$F$337,"&lt;&gt;1") + COUNTIFS($C$2:$C$337,$O$17,$A$2:$A$337,"&lt;&gt;BSV",$J$2:$J$337,"=1",$I$2:$I$337,"=0",$D$2:$D$337,"=0",$E$2:$E$337,"&lt;6",$F$2:$F$337,"&lt;&gt;1")</f>
        <v>1</v>
      </c>
      <c r="AH171" s="87">
        <f>COUNTIFS($C$2:$C$337,$O$22,$A$2:$A$337,"&lt;&gt;BSV",$J$2:$J$337,"=0",$I$2:$I$337,"=1",$D$2:$D$337,"=0",$E$2:$E$337,"&lt;6",$F$2:$F$337,"&lt;&gt;1") + COUNTIFS($C$2:$C$337,$O$22,$A$2:$A$337,"&lt;&gt;BSV",$J$2:$J$337,"=1",$I$2:$I$337,"=0",$D$2:$D$337,"=0",$E$2:$E$337,"&lt;6",$F$2:$F$337,"&lt;&gt;1")</f>
        <v>2</v>
      </c>
    </row>
    <row r="172" spans="1:41">
      <c r="A172" s="1" t="s">
        <v>218</v>
      </c>
      <c r="B172" s="8" t="s">
        <v>258</v>
      </c>
      <c r="C172" s="1">
        <v>3</v>
      </c>
      <c r="D172" s="1">
        <v>1</v>
      </c>
      <c r="E172" s="18">
        <v>732</v>
      </c>
      <c r="F172" s="1">
        <v>0.19017926734216681</v>
      </c>
      <c r="G172" s="1">
        <v>0</v>
      </c>
      <c r="I172">
        <f t="shared" si="74"/>
        <v>1</v>
      </c>
      <c r="J172">
        <f t="shared" si="44"/>
        <v>1</v>
      </c>
      <c r="K172">
        <f t="shared" si="45"/>
        <v>1</v>
      </c>
      <c r="L172" s="144" t="b">
        <f t="shared" si="46"/>
        <v>1</v>
      </c>
      <c r="M172" s="144">
        <f t="shared" si="47"/>
        <v>3</v>
      </c>
      <c r="Q172" s="84" t="s">
        <v>417</v>
      </c>
      <c r="R172" s="87">
        <f>(R165-R164)+(R162-R161)</f>
        <v>11</v>
      </c>
      <c r="S172" s="87">
        <f t="shared" ref="S172:U172" si="77">(S165-S164)+(S162-S161)</f>
        <v>11</v>
      </c>
      <c r="T172" s="87">
        <f t="shared" si="77"/>
        <v>4</v>
      </c>
      <c r="U172" s="87">
        <f t="shared" si="77"/>
        <v>9</v>
      </c>
      <c r="AC172" s="146"/>
      <c r="AD172" s="86" t="s">
        <v>409</v>
      </c>
      <c r="AE172" s="87">
        <f>COUNTIFS($C$2:$C$337,$O$7,$A$2:$A$337,"&lt;&gt;BSV",$J$2:$J$337,"=0",$I$2:$I$337,"=1",$E$2:$E$337,"&lt;6",$F$2:$F$337,"&lt;&gt;1") + COUNTIFS($C$2:$C$337,$O$7,$A$2:$A$337,"&lt;&gt;BSV",$J$2:$J$337,"=1",$I$2:$I$337,"=0",$E$2:$E$337,"&lt;6",$F$2:$F$337,"&lt;&gt;1")</f>
        <v>6</v>
      </c>
      <c r="AF172" s="87">
        <f>COUNTIFS($C$2:$C$337,$O$12,$A$2:$A$337,"&lt;&gt;BSV",$J$2:$J$337,"=0",$I$2:$I$337,"=1",$E$2:$E$337,"&lt;6",$F$2:$F$337,"&lt;&gt;1") + COUNTIFS($C$2:$C$337,$O$12,$A$2:$A$337,"&lt;&gt;BSV",$J$2:$J$337,"=1",$I$2:$I$337,"=0",$K$2:$K$337,"=0",$L$2:$L$337,TRUE)</f>
        <v>4</v>
      </c>
      <c r="AG172" s="87">
        <f>COUNTIFS($C$2:$C$337,$O$17,$A$2:$A$337,"&lt;&gt;BSV",$J$2:$J$337,"=0",$I$2:$I$337,"=1",$E$2:$E$337,"&lt;6",$F$2:$F$337,"&lt;&gt;1") + COUNTIFS($C$2:$C$337,$O$17,$A$2:$A$337,"&lt;&gt;BSV",$J$2:$J$337,"=1",$I$2:$I$337,"=0",$E$2:$E$337,"&lt;6",$F$2:$F$337,"&lt;&gt;1")</f>
        <v>1</v>
      </c>
      <c r="AH172" s="87">
        <f>COUNTIFS($C$2:$C$337,$O$22,$A$2:$A$337,"&lt;&gt;BSV",$J$2:$J$337,"=0",$I$2:$I$337,"=1",$E$2:$E$337,"&lt;6",$F$2:$F$337,"&lt;&gt;1") + COUNTIFS($C$2:$C$337,$O$22,$A$2:$A$337,"&lt;&gt;BSV",$J$2:$J$337,"=1",$I$2:$I$337,"=0",$E$2:$E$337,"&lt;6",$F$2:$F$337,"&lt;&gt;1")</f>
        <v>11</v>
      </c>
    </row>
    <row r="173" spans="1:41">
      <c r="A173" s="1" t="s">
        <v>218</v>
      </c>
      <c r="B173" s="8" t="s">
        <v>256</v>
      </c>
      <c r="C173" s="1">
        <v>3</v>
      </c>
      <c r="D173" s="1">
        <v>1</v>
      </c>
      <c r="E173" s="18">
        <v>681</v>
      </c>
      <c r="F173" s="1">
        <v>0.17692907248636008</v>
      </c>
      <c r="G173" s="1">
        <v>0</v>
      </c>
      <c r="I173">
        <f t="shared" si="74"/>
        <v>1</v>
      </c>
      <c r="J173">
        <f t="shared" si="44"/>
        <v>1</v>
      </c>
      <c r="K173">
        <f t="shared" si="45"/>
        <v>1</v>
      </c>
      <c r="L173" s="144" t="b">
        <f t="shared" si="46"/>
        <v>1</v>
      </c>
      <c r="M173" s="144">
        <f t="shared" si="47"/>
        <v>3</v>
      </c>
      <c r="Q173" s="84" t="s">
        <v>418</v>
      </c>
      <c r="R173" s="84">
        <f>R161+R164</f>
        <v>32</v>
      </c>
      <c r="S173" s="84">
        <f t="shared" ref="S173:U173" si="78">S161+S164</f>
        <v>33</v>
      </c>
      <c r="T173" s="84">
        <f t="shared" si="78"/>
        <v>62</v>
      </c>
      <c r="U173" s="84">
        <f t="shared" si="78"/>
        <v>86</v>
      </c>
      <c r="AC173" s="146"/>
      <c r="AD173" s="86" t="s">
        <v>386</v>
      </c>
      <c r="AE173" s="87">
        <f>COUNTIFS($C$2:$C$337,$O$7,$A$2:$A$337,"&lt;&gt;BSV",$J$2:$J$337,"=0",$I$2:$I$337,"=1",$D$2:$D$337,"=1",$E$2:$E$337,"&gt;=6") + COUNTIFS($C$2:$C$337,$O$7,$A$2:$A$337,"&lt;&gt;BSV",$J$2:$J$337,"=1",$I$2:$I$337,"=0",$D$2:$D$337,"=1",$E$2:$E$337,"&gt;=6")</f>
        <v>3</v>
      </c>
      <c r="AF173" s="87">
        <f>COUNTIFS($C$2:$C$337,$O$12,$A$2:$A$337,"&lt;&gt;BSV",$J$2:$J$337,"=0",$I$2:$I$337,"=1",$D$2:$D$337,"=1",$E$2:$E$337,"&gt;=6") + COUNTIFS($C$2:$C$337,$O$12,$A$2:$A$337,"&lt;&gt;BSV",$J$2:$J$337,"=1",$I$2:$I$337,"=0",$D$2:$D$337,"=1",$E$2:$E$337,"&gt;=6")</f>
        <v>4</v>
      </c>
      <c r="AG173" s="87">
        <f>COUNTIFS($C$2:$C$337,$O$17,$A$2:$A$337,"&lt;&gt;BSV",$J$2:$J$337,"=0",$I$2:$I$337,"=1",$D$2:$D$337,"=1",$E$2:$E$337,"&gt;=6") + COUNTIFS($C$2:$C$337,$O$17,$A$2:$A$337,"&lt;&gt;BSV",$J$2:$J$337,"=1",$I$2:$I$337,"=0",$D$2:$D$337,"=1",$E$2:$E$337,"&gt;=6")</f>
        <v>4</v>
      </c>
      <c r="AH173" s="87">
        <f>COUNTIFS($C$2:$C$337,$O$22,$A$2:$A$337,"&lt;&gt;BSV",$J$2:$J$337,"=0",$I$2:$I$337,"=1",$D$2:$D$337,"=1",$E$2:$E$337,"&gt;=6") + COUNTIFS($C$2:$C$337,$O$22,$A$2:$A$337,"&lt;&gt;BSV",$J$2:$J$337,"=1",$I$2:$I$337,"=0",$D$2:$D$337,"=1",$E$2:$E$337,"&gt;=6")</f>
        <v>34</v>
      </c>
      <c r="AO173" s="16"/>
    </row>
    <row r="174" spans="1:41">
      <c r="A174" s="1" t="s">
        <v>218</v>
      </c>
      <c r="B174" s="8" t="s">
        <v>259</v>
      </c>
      <c r="C174" s="1">
        <v>3</v>
      </c>
      <c r="D174" s="1">
        <v>1</v>
      </c>
      <c r="E174" s="18">
        <v>453</v>
      </c>
      <c r="F174" s="1">
        <v>0.11769290724863601</v>
      </c>
      <c r="G174" s="1">
        <v>0</v>
      </c>
      <c r="I174">
        <f t="shared" si="74"/>
        <v>1</v>
      </c>
      <c r="J174">
        <f t="shared" si="44"/>
        <v>1</v>
      </c>
      <c r="K174">
        <f t="shared" si="45"/>
        <v>1</v>
      </c>
      <c r="L174" s="144" t="b">
        <f t="shared" si="46"/>
        <v>1</v>
      </c>
      <c r="M174" s="144">
        <f t="shared" si="47"/>
        <v>3</v>
      </c>
      <c r="AC174" s="146"/>
      <c r="AD174" s="86" t="s">
        <v>389</v>
      </c>
      <c r="AE174" s="87">
        <f>COUNTIFS($C$2:$C$337,$O$7,$A$2:$A$337,"&lt;&gt;BSV",$J$2:$J$337,"=0",$I$2:$I$337,"=1",$E$2:$E$337,"&gt;=6") + COUNTIFS($C$2:$C$337,$O$7,$A$2:$A$337,"&lt;&gt;BSV",$J$2:$J$337,"=1",$I$2:$I$337,"=0",$E$2:$E$337,"&gt;=6")</f>
        <v>9</v>
      </c>
      <c r="AF174" s="87">
        <f>COUNTIFS($C$2:$C$337,$O$12,$A$2:$A$337,"&lt;&gt;BSV",$J$2:$J$337,"=0",$I$2:$I$337,"=1",$E$2:$E$337,"&gt;=6") + COUNTIFS($C$2:$C$337,$O$12,$A$2:$A$337,"&lt;&gt;BSV",$J$2:$J$337,"=1",$I$2:$I$337,"=0",$E$2:$E$337,"&gt;=6")</f>
        <v>10</v>
      </c>
      <c r="AG174" s="87">
        <f>COUNTIFS($C$2:$C$337,$O$17,$A$2:$A$337,"&lt;&gt;BSV",$J$2:$J$337,"=0",$I$2:$I$337,"=1",$E$2:$E$337,"&gt;=6") + COUNTIFS($C$2:$C$337,$O$17,$A$2:$A$337,"&lt;&gt;BSV",$J$2:$J$337,"=1",$I$2:$I$337,"=0",$E$2:$E$337,"&gt;=6")</f>
        <v>5</v>
      </c>
      <c r="AH174" s="87">
        <f>COUNTIFS($C$2:$C$337,$O$22,$A$2:$A$337,"&lt;&gt;BSV",$J$2:$J$337,"=0",$I$2:$I$337,"=1",$E$2:$E$337,"&gt;=6") + COUNTIFS($C$2:$C$337,$O$22,$A$2:$A$337,"&lt;&gt;BSV",$J$2:$J$337,"=1",$I$2:$I$337,"=0",$E$2:$E$337,"&gt;=6")</f>
        <v>40</v>
      </c>
    </row>
    <row r="175" spans="1:41">
      <c r="A175" s="1" t="s">
        <v>218</v>
      </c>
      <c r="B175" s="8" t="s">
        <v>236</v>
      </c>
      <c r="C175" s="1">
        <v>3</v>
      </c>
      <c r="D175" s="1">
        <v>1</v>
      </c>
      <c r="E175" s="18">
        <v>219</v>
      </c>
      <c r="F175" s="1">
        <v>5.6897895557287609E-2</v>
      </c>
      <c r="G175" s="1">
        <v>0</v>
      </c>
      <c r="I175">
        <f t="shared" si="74"/>
        <v>1</v>
      </c>
      <c r="J175">
        <f t="shared" si="44"/>
        <v>1</v>
      </c>
      <c r="K175">
        <f t="shared" si="45"/>
        <v>1</v>
      </c>
      <c r="L175" s="144" t="b">
        <f t="shared" si="46"/>
        <v>1</v>
      </c>
      <c r="M175" s="144">
        <f t="shared" si="47"/>
        <v>3</v>
      </c>
      <c r="AO175" s="16"/>
    </row>
    <row r="176" spans="1:41">
      <c r="A176" s="1" t="s">
        <v>218</v>
      </c>
      <c r="B176" s="8" t="s">
        <v>253</v>
      </c>
      <c r="C176" s="1">
        <v>3</v>
      </c>
      <c r="D176" s="1">
        <v>1</v>
      </c>
      <c r="E176" s="18">
        <v>206</v>
      </c>
      <c r="F176" s="1">
        <v>5.3520394907768248E-2</v>
      </c>
      <c r="G176" s="1">
        <v>0</v>
      </c>
      <c r="I176">
        <f t="shared" si="74"/>
        <v>1</v>
      </c>
      <c r="J176">
        <f t="shared" si="44"/>
        <v>0</v>
      </c>
      <c r="K176">
        <f t="shared" si="45"/>
        <v>1</v>
      </c>
      <c r="L176" s="144" t="b">
        <f t="shared" si="46"/>
        <v>1</v>
      </c>
      <c r="M176" s="144">
        <f t="shared" si="47"/>
        <v>2</v>
      </c>
      <c r="AD176" s="84" t="s">
        <v>416</v>
      </c>
      <c r="AE176" s="87">
        <f>AE166-(AE172+AE174)</f>
        <v>0</v>
      </c>
      <c r="AF176" s="87">
        <f t="shared" ref="AF176:AH176" si="79">AF166-(AF172+AF174)</f>
        <v>0</v>
      </c>
      <c r="AG176" s="87">
        <f t="shared" si="79"/>
        <v>0</v>
      </c>
      <c r="AH176" s="87">
        <f t="shared" si="79"/>
        <v>0</v>
      </c>
    </row>
    <row r="177" spans="1:41">
      <c r="A177" s="1" t="s">
        <v>218</v>
      </c>
      <c r="B177" s="8" t="s">
        <v>251</v>
      </c>
      <c r="C177" s="1">
        <v>3</v>
      </c>
      <c r="D177" s="1">
        <v>1</v>
      </c>
      <c r="E177" s="18">
        <v>177</v>
      </c>
      <c r="F177" s="1">
        <v>4.5985970381917381E-2</v>
      </c>
      <c r="G177" s="1">
        <v>0</v>
      </c>
      <c r="I177">
        <f t="shared" si="74"/>
        <v>1</v>
      </c>
      <c r="J177">
        <f t="shared" si="44"/>
        <v>0</v>
      </c>
      <c r="K177">
        <f t="shared" si="45"/>
        <v>1</v>
      </c>
      <c r="L177" s="144" t="b">
        <f t="shared" si="46"/>
        <v>1</v>
      </c>
      <c r="M177" s="144">
        <f t="shared" si="47"/>
        <v>2</v>
      </c>
      <c r="AD177" s="84" t="s">
        <v>417</v>
      </c>
      <c r="AE177" s="87">
        <f>AE167+(AE174-AE173)+(AE172-AE171)</f>
        <v>7</v>
      </c>
      <c r="AF177" s="87">
        <f t="shared" ref="AF177:AH177" si="80">AF167+(AF174-AF173)+(AF172-AF171)</f>
        <v>7</v>
      </c>
      <c r="AG177" s="87">
        <f t="shared" si="80"/>
        <v>3</v>
      </c>
      <c r="AH177" s="87">
        <f t="shared" si="80"/>
        <v>16</v>
      </c>
      <c r="AO177" s="16"/>
    </row>
    <row r="178" spans="1:41">
      <c r="A178" s="1" t="s">
        <v>218</v>
      </c>
      <c r="B178" s="8" t="s">
        <v>240</v>
      </c>
      <c r="C178" s="1">
        <v>3</v>
      </c>
      <c r="D178" s="1">
        <v>0</v>
      </c>
      <c r="E178" s="18">
        <v>3</v>
      </c>
      <c r="F178" s="1">
        <v>7.7942322681215901E-4</v>
      </c>
      <c r="G178" s="1" t="s">
        <v>451</v>
      </c>
      <c r="I178">
        <f t="shared" si="74"/>
        <v>1</v>
      </c>
      <c r="J178">
        <f t="shared" si="44"/>
        <v>0</v>
      </c>
      <c r="K178">
        <f t="shared" si="45"/>
        <v>0</v>
      </c>
      <c r="L178" s="144" t="b">
        <f t="shared" si="46"/>
        <v>0</v>
      </c>
      <c r="M178" s="144">
        <f t="shared" si="47"/>
        <v>1</v>
      </c>
      <c r="AD178" s="84" t="s">
        <v>418</v>
      </c>
      <c r="AE178" s="84">
        <f>AE168+AE173+AE171</f>
        <v>36</v>
      </c>
      <c r="AF178" s="84">
        <f t="shared" ref="AF178:AH178" si="81">AF168+AF173+AF171</f>
        <v>37</v>
      </c>
      <c r="AG178" s="84">
        <f t="shared" si="81"/>
        <v>63</v>
      </c>
      <c r="AH178" s="84">
        <f t="shared" si="81"/>
        <v>79</v>
      </c>
      <c r="AO178" s="16"/>
    </row>
    <row r="179" spans="1:41">
      <c r="A179" s="1" t="s">
        <v>217</v>
      </c>
      <c r="B179" s="8" t="s">
        <v>241</v>
      </c>
      <c r="C179" s="1">
        <v>3</v>
      </c>
      <c r="D179" s="1">
        <v>1</v>
      </c>
      <c r="E179" s="2">
        <v>542813</v>
      </c>
      <c r="F179" s="2">
        <v>1</v>
      </c>
      <c r="G179" s="2" t="s">
        <v>439</v>
      </c>
      <c r="I179">
        <f t="shared" si="74"/>
        <v>1</v>
      </c>
      <c r="J179">
        <f t="shared" si="44"/>
        <v>1</v>
      </c>
      <c r="K179">
        <f t="shared" si="45"/>
        <v>0</v>
      </c>
      <c r="L179" s="144" t="b">
        <f t="shared" si="46"/>
        <v>0</v>
      </c>
      <c r="M179" s="144">
        <f t="shared" si="47"/>
        <v>2</v>
      </c>
      <c r="AD179" t="s">
        <v>359</v>
      </c>
      <c r="AE179">
        <f>AE176+AE177+AE178</f>
        <v>43</v>
      </c>
      <c r="AF179">
        <f>AF176+AF177+AF178</f>
        <v>44</v>
      </c>
      <c r="AG179">
        <f>AG176+AG177+AG178</f>
        <v>66</v>
      </c>
      <c r="AH179">
        <f>AH176+AH177+AH178</f>
        <v>95</v>
      </c>
      <c r="AO179" s="16"/>
    </row>
    <row r="180" spans="1:41">
      <c r="A180" s="1" t="s">
        <v>217</v>
      </c>
      <c r="B180" s="8" t="s">
        <v>251</v>
      </c>
      <c r="C180" s="1">
        <v>3</v>
      </c>
      <c r="D180" s="1">
        <v>1</v>
      </c>
      <c r="E180" s="18">
        <v>12510</v>
      </c>
      <c r="F180" s="1">
        <v>2.304661089546492E-2</v>
      </c>
      <c r="G180" s="1">
        <v>7.0000000000000007E-2</v>
      </c>
      <c r="I180">
        <f t="shared" si="74"/>
        <v>1</v>
      </c>
      <c r="J180">
        <f t="shared" si="44"/>
        <v>1</v>
      </c>
      <c r="K180">
        <f t="shared" si="45"/>
        <v>1</v>
      </c>
      <c r="L180" s="144" t="b">
        <f t="shared" si="46"/>
        <v>1</v>
      </c>
      <c r="M180" s="144">
        <f t="shared" si="47"/>
        <v>3</v>
      </c>
      <c r="AO180" s="16"/>
    </row>
    <row r="181" spans="1:41">
      <c r="A181" s="1" t="s">
        <v>217</v>
      </c>
      <c r="B181" s="8" t="s">
        <v>253</v>
      </c>
      <c r="C181" s="1">
        <v>3</v>
      </c>
      <c r="D181" s="1">
        <v>1</v>
      </c>
      <c r="E181" s="18">
        <v>8765</v>
      </c>
      <c r="F181" s="1">
        <v>1.6147365667366111E-2</v>
      </c>
      <c r="G181" s="1">
        <v>0.05</v>
      </c>
      <c r="I181">
        <f t="shared" si="74"/>
        <v>1</v>
      </c>
      <c r="J181">
        <f t="shared" si="44"/>
        <v>1</v>
      </c>
      <c r="K181">
        <f t="shared" si="45"/>
        <v>1</v>
      </c>
      <c r="L181" s="144" t="b">
        <f t="shared" si="46"/>
        <v>1</v>
      </c>
      <c r="M181" s="144">
        <f t="shared" si="47"/>
        <v>3</v>
      </c>
      <c r="AC181" s="147" t="s">
        <v>459</v>
      </c>
      <c r="AD181" s="84" t="s">
        <v>390</v>
      </c>
      <c r="AE181" s="84">
        <f>COUNTIFS($D$2:$D$337,"=0",$C$2:$C$337,$R$79,$A$2:$A$337,"&lt;&gt;BSV")</f>
        <v>20</v>
      </c>
      <c r="AF181" s="84">
        <f>COUNTIFS($D$2:$D$337,"=0",$C$2:$C$337,$S$79,$A$2:$A$337,"&lt;&gt;BSV")</f>
        <v>32</v>
      </c>
      <c r="AG181" s="84">
        <f>COUNTIFS($D$2:$D$337,"=0",$C$2:$C$337,$T$79,$A$2:$A$337,"&lt;&gt;BSV")</f>
        <v>43</v>
      </c>
      <c r="AH181" s="84">
        <f>COUNTIFS($D$2:$D$337,"=0",$C$2:$C$337,$U$79,$A$2:$A$337,"&lt;&gt;BSV")</f>
        <v>18</v>
      </c>
    </row>
    <row r="182" spans="1:41">
      <c r="A182" s="1" t="s">
        <v>217</v>
      </c>
      <c r="B182" s="8" t="s">
        <v>254</v>
      </c>
      <c r="C182" s="1">
        <v>3</v>
      </c>
      <c r="D182" s="1">
        <v>1</v>
      </c>
      <c r="E182" s="2">
        <v>7605</v>
      </c>
      <c r="F182" s="2">
        <v>1.4010349788969681E-2</v>
      </c>
      <c r="G182" s="2">
        <v>7.67</v>
      </c>
      <c r="I182">
        <f t="shared" si="74"/>
        <v>1</v>
      </c>
      <c r="J182">
        <f t="shared" si="44"/>
        <v>1</v>
      </c>
      <c r="K182">
        <f t="shared" si="45"/>
        <v>1</v>
      </c>
      <c r="L182" s="144" t="b">
        <f t="shared" si="46"/>
        <v>1</v>
      </c>
      <c r="M182" s="144">
        <f t="shared" si="47"/>
        <v>3</v>
      </c>
      <c r="AC182" s="147"/>
      <c r="AD182" s="84" t="s">
        <v>391</v>
      </c>
      <c r="AE182" s="84">
        <f>COUNTIFS($D$2:$D$337,"=1",$C$2:$C$337,$R$79,$A$2:$A$337,"&lt;&gt;BSV")</f>
        <v>23</v>
      </c>
      <c r="AF182" s="84">
        <f>COUNTIFS($D$2:$D$337,"=1",$C$2:$C$337,$S$79,$A$2:$A$337,"&lt;&gt;BSV")</f>
        <v>12</v>
      </c>
      <c r="AG182" s="84">
        <f>COUNTIFS($D$2:$D$337,"=1",$C$2:$C$337,$T$79,$A$2:$A$337,"&lt;&gt;BSV")</f>
        <v>23</v>
      </c>
      <c r="AH182" s="84">
        <f>COUNTIFS($D$2:$D$337,"=1",$C$2:$C$337,$U$79,$A$2:$A$337,"&lt;&gt;BSV")</f>
        <v>77</v>
      </c>
      <c r="AO182" s="16"/>
    </row>
    <row r="183" spans="1:41">
      <c r="A183" s="1" t="s">
        <v>217</v>
      </c>
      <c r="B183" s="8" t="s">
        <v>255</v>
      </c>
      <c r="C183" s="1">
        <v>3</v>
      </c>
      <c r="D183" s="1">
        <v>1</v>
      </c>
      <c r="E183" s="2">
        <v>4672</v>
      </c>
      <c r="F183" s="2">
        <v>8.6070156757483696E-3</v>
      </c>
      <c r="G183" s="2">
        <v>9.9499999999999993</v>
      </c>
      <c r="I183">
        <f t="shared" si="74"/>
        <v>1</v>
      </c>
      <c r="J183">
        <f t="shared" si="44"/>
        <v>1</v>
      </c>
      <c r="K183">
        <f t="shared" si="45"/>
        <v>1</v>
      </c>
      <c r="L183" s="144" t="b">
        <f t="shared" si="46"/>
        <v>1</v>
      </c>
      <c r="M183" s="144">
        <f t="shared" si="47"/>
        <v>3</v>
      </c>
      <c r="AC183" s="147"/>
      <c r="AD183" s="84" t="s">
        <v>359</v>
      </c>
      <c r="AE183" s="84">
        <f>AE181+AE182</f>
        <v>43</v>
      </c>
      <c r="AF183" s="84">
        <f t="shared" ref="AF183:AH183" si="82">AF181+AF182</f>
        <v>44</v>
      </c>
      <c r="AG183" s="84">
        <f t="shared" si="82"/>
        <v>66</v>
      </c>
      <c r="AH183" s="84">
        <f t="shared" si="82"/>
        <v>95</v>
      </c>
      <c r="AO183" s="16"/>
    </row>
    <row r="184" spans="1:41">
      <c r="A184" s="1" t="s">
        <v>217</v>
      </c>
      <c r="B184" s="8" t="s">
        <v>248</v>
      </c>
      <c r="C184" s="1">
        <v>3</v>
      </c>
      <c r="D184" s="1">
        <v>1</v>
      </c>
      <c r="E184" s="2">
        <v>2222</v>
      </c>
      <c r="F184" s="2">
        <v>4.0934907601697084E-3</v>
      </c>
      <c r="G184" s="2">
        <v>10.24</v>
      </c>
      <c r="I184">
        <f t="shared" si="74"/>
        <v>1</v>
      </c>
      <c r="J184">
        <f t="shared" si="44"/>
        <v>1</v>
      </c>
      <c r="K184">
        <f t="shared" si="45"/>
        <v>1</v>
      </c>
      <c r="L184" s="144" t="b">
        <f t="shared" si="46"/>
        <v>1</v>
      </c>
      <c r="M184" s="144">
        <f t="shared" si="47"/>
        <v>3</v>
      </c>
    </row>
    <row r="185" spans="1:41">
      <c r="A185" s="1" t="s">
        <v>219</v>
      </c>
      <c r="B185" s="8" t="s">
        <v>249</v>
      </c>
      <c r="C185" s="1">
        <v>3</v>
      </c>
      <c r="D185" s="1">
        <v>1</v>
      </c>
      <c r="E185" s="18">
        <v>644</v>
      </c>
      <c r="F185" s="1">
        <v>1</v>
      </c>
      <c r="G185" s="1" t="s">
        <v>442</v>
      </c>
      <c r="I185">
        <f t="shared" si="74"/>
        <v>1</v>
      </c>
      <c r="J185">
        <f t="shared" si="44"/>
        <v>1</v>
      </c>
      <c r="K185">
        <f t="shared" si="45"/>
        <v>0</v>
      </c>
      <c r="L185" s="144" t="b">
        <f t="shared" si="46"/>
        <v>0</v>
      </c>
      <c r="M185" s="144">
        <f t="shared" si="47"/>
        <v>2</v>
      </c>
      <c r="AD185" s="84" t="s">
        <v>469</v>
      </c>
      <c r="AE185" s="87">
        <f>AE176-AE166</f>
        <v>-15</v>
      </c>
      <c r="AF185" s="87">
        <f t="shared" ref="AF185:AH185" si="83">AF176-AF166</f>
        <v>-14</v>
      </c>
      <c r="AG185" s="87">
        <f t="shared" si="83"/>
        <v>-6</v>
      </c>
      <c r="AH185" s="87">
        <f t="shared" si="83"/>
        <v>-51</v>
      </c>
    </row>
    <row r="186" spans="1:41" ht="16.5" thickBot="1">
      <c r="A186" s="1" t="s">
        <v>219</v>
      </c>
      <c r="B186" s="8" t="s">
        <v>253</v>
      </c>
      <c r="C186" s="1">
        <v>3</v>
      </c>
      <c r="D186" s="1">
        <v>1</v>
      </c>
      <c r="E186" s="18">
        <v>81</v>
      </c>
      <c r="F186" s="1">
        <v>0.12577639751552794</v>
      </c>
      <c r="G186" s="1">
        <v>13.85</v>
      </c>
      <c r="I186">
        <f t="shared" si="74"/>
        <v>1</v>
      </c>
      <c r="J186">
        <f t="shared" si="44"/>
        <v>0</v>
      </c>
      <c r="K186">
        <f t="shared" si="45"/>
        <v>1</v>
      </c>
      <c r="L186" s="144" t="b">
        <f t="shared" si="46"/>
        <v>1</v>
      </c>
      <c r="M186" s="144">
        <f t="shared" si="47"/>
        <v>2</v>
      </c>
      <c r="AD186" s="84" t="s">
        <v>470</v>
      </c>
      <c r="AE186" s="87">
        <f>AE177-AE167</f>
        <v>7</v>
      </c>
      <c r="AF186" s="87">
        <f t="shared" ref="AF186:AH186" si="84">AF177-AF167</f>
        <v>6</v>
      </c>
      <c r="AG186" s="87">
        <f t="shared" si="84"/>
        <v>1</v>
      </c>
      <c r="AH186" s="87">
        <f t="shared" si="84"/>
        <v>15</v>
      </c>
      <c r="AO186" s="16"/>
    </row>
    <row r="187" spans="1:41">
      <c r="A187" s="1" t="s">
        <v>219</v>
      </c>
      <c r="B187" s="8" t="s">
        <v>251</v>
      </c>
      <c r="C187" s="1">
        <v>3</v>
      </c>
      <c r="D187" s="1">
        <v>1</v>
      </c>
      <c r="E187" s="18">
        <v>63</v>
      </c>
      <c r="F187" s="1">
        <v>9.7826086956521743E-2</v>
      </c>
      <c r="G187" s="1">
        <v>0.05</v>
      </c>
      <c r="I187">
        <f t="shared" si="74"/>
        <v>1</v>
      </c>
      <c r="J187">
        <f t="shared" si="44"/>
        <v>0</v>
      </c>
      <c r="K187">
        <f t="shared" si="45"/>
        <v>1</v>
      </c>
      <c r="L187" s="144" t="b">
        <f t="shared" si="46"/>
        <v>1</v>
      </c>
      <c r="M187" s="144">
        <f t="shared" si="47"/>
        <v>2</v>
      </c>
      <c r="Q187" t="s">
        <v>435</v>
      </c>
      <c r="R187" t="s">
        <v>415</v>
      </c>
      <c r="W187" t="s">
        <v>434</v>
      </c>
      <c r="X187" t="s">
        <v>401</v>
      </c>
      <c r="Y187" t="s">
        <v>402</v>
      </c>
      <c r="Z187" t="s">
        <v>423</v>
      </c>
      <c r="AA187" s="140" t="s">
        <v>429</v>
      </c>
      <c r="AD187" s="84" t="s">
        <v>471</v>
      </c>
      <c r="AE187" s="84">
        <f>AE178-AE168</f>
        <v>8</v>
      </c>
      <c r="AF187" s="84">
        <f t="shared" ref="AF187:AH187" si="85">AF178-AF168</f>
        <v>8</v>
      </c>
      <c r="AG187" s="84">
        <f t="shared" si="85"/>
        <v>5</v>
      </c>
      <c r="AH187" s="84">
        <f t="shared" si="85"/>
        <v>36</v>
      </c>
    </row>
    <row r="188" spans="1:41">
      <c r="A188" s="1" t="s">
        <v>187</v>
      </c>
      <c r="B188" s="8" t="s">
        <v>239</v>
      </c>
      <c r="C188" s="1">
        <v>3</v>
      </c>
      <c r="D188" s="1">
        <v>1</v>
      </c>
      <c r="E188" s="18">
        <v>23768</v>
      </c>
      <c r="F188" s="1">
        <v>1</v>
      </c>
      <c r="G188" s="1" t="s">
        <v>451</v>
      </c>
      <c r="I188">
        <f t="shared" si="74"/>
        <v>1</v>
      </c>
      <c r="J188">
        <f t="shared" si="44"/>
        <v>1</v>
      </c>
      <c r="K188">
        <f t="shared" si="45"/>
        <v>0</v>
      </c>
      <c r="L188" s="144" t="b">
        <f t="shared" si="46"/>
        <v>0</v>
      </c>
      <c r="M188" s="144">
        <f t="shared" si="47"/>
        <v>2</v>
      </c>
      <c r="Q188" s="86" t="s">
        <v>393</v>
      </c>
      <c r="R188" s="87">
        <f>COUNTIFS($D$2:$D$337,"=0",$C$2:$C$337,$R$79,$A$2:$A$337,"&lt;&gt;BSV",$J$2:$J$337,"=0")</f>
        <v>20</v>
      </c>
      <c r="S188" s="87">
        <f>COUNTIFS($D$2:$D$337,"=0",$C$2:$C$337,$S$79,$A$2:$A$337,"&lt;&gt;BSV",$J$2:$J$337,"=0")</f>
        <v>31</v>
      </c>
      <c r="T188" s="87">
        <f>COUNTIFS($D$2:$D$337,"=0",$C$2:$C$337,$T$79,$A$2:$A$337,"&lt;&gt;BSV",$J$2:$J$337,"=0")</f>
        <v>41</v>
      </c>
      <c r="U188" s="87">
        <f>COUNTIFS($D$2:$D$337,"=0",$C$2:$C$337,$U$79,$A$2:$A$337,"&lt;&gt;BSV",$J$2:$J$337,"=0")</f>
        <v>18</v>
      </c>
      <c r="W188" t="s">
        <v>419</v>
      </c>
      <c r="X188" t="s">
        <v>430</v>
      </c>
      <c r="Y188" s="139" t="s">
        <v>430</v>
      </c>
      <c r="Z188" t="s">
        <v>430</v>
      </c>
      <c r="AA188" s="141" t="s">
        <v>430</v>
      </c>
    </row>
    <row r="189" spans="1:41">
      <c r="A189" s="1" t="s">
        <v>187</v>
      </c>
      <c r="B189" s="8" t="s">
        <v>259</v>
      </c>
      <c r="C189" s="1">
        <v>3</v>
      </c>
      <c r="D189" s="1">
        <v>0</v>
      </c>
      <c r="E189" s="18">
        <v>8761</v>
      </c>
      <c r="F189" s="1">
        <v>0.36860484685291151</v>
      </c>
      <c r="G189" s="1" t="s">
        <v>451</v>
      </c>
      <c r="I189">
        <f t="shared" si="74"/>
        <v>1</v>
      </c>
      <c r="J189">
        <f t="shared" si="44"/>
        <v>1</v>
      </c>
      <c r="K189">
        <f t="shared" si="45"/>
        <v>0</v>
      </c>
      <c r="L189" s="144" t="b">
        <f t="shared" si="46"/>
        <v>0</v>
      </c>
      <c r="M189" s="144">
        <f t="shared" si="47"/>
        <v>2</v>
      </c>
      <c r="Q189" s="86" t="s">
        <v>409</v>
      </c>
      <c r="R189" s="87">
        <f>COUNTIFS($C$2:$C$337,$O$7,$A$2:$A$337,"&lt;&gt;BSV",$J$2:$J$337,"=0")</f>
        <v>24</v>
      </c>
      <c r="S189" s="87">
        <f>COUNTIFS($C$2:$C$337,$O$12,$A$2:$A$337,"&lt;&gt;BSV",$J$2:$J$337,"=0")</f>
        <v>35</v>
      </c>
      <c r="T189" s="87">
        <f>COUNTIFS($C$2:$C$337,$O$17,$A$2:$A$337,"&lt;&gt;BSV",$J$2:$J$337,"=0")</f>
        <v>45</v>
      </c>
      <c r="U189" s="87">
        <f>COUNTIFS($C$2:$C$337,$O$22,$A$2:$A$337,"&lt;&gt;BSV",$J$2:$J$337,"=0")</f>
        <v>62</v>
      </c>
      <c r="W189" t="s">
        <v>420</v>
      </c>
      <c r="X189" t="s">
        <v>430</v>
      </c>
      <c r="Y189" t="s">
        <v>431</v>
      </c>
      <c r="Z189" t="s">
        <v>424</v>
      </c>
      <c r="AA189" s="141" t="s">
        <v>426</v>
      </c>
    </row>
    <row r="190" spans="1:41">
      <c r="A190" s="1" t="s">
        <v>187</v>
      </c>
      <c r="B190" s="8" t="s">
        <v>252</v>
      </c>
      <c r="C190" s="1">
        <v>3</v>
      </c>
      <c r="D190" s="1">
        <v>1</v>
      </c>
      <c r="E190" s="18">
        <v>6734</v>
      </c>
      <c r="F190" s="1">
        <v>0.28332211376640859</v>
      </c>
      <c r="G190" s="1" t="s">
        <v>451</v>
      </c>
      <c r="H190" s="10"/>
      <c r="I190">
        <f t="shared" si="74"/>
        <v>1</v>
      </c>
      <c r="J190">
        <f t="shared" si="44"/>
        <v>1</v>
      </c>
      <c r="K190">
        <f t="shared" si="45"/>
        <v>0</v>
      </c>
      <c r="L190" s="144" t="b">
        <f t="shared" si="46"/>
        <v>0</v>
      </c>
      <c r="M190" s="144">
        <f t="shared" si="47"/>
        <v>2</v>
      </c>
      <c r="P190" s="2"/>
      <c r="T190" s="48"/>
      <c r="W190" t="s">
        <v>422</v>
      </c>
      <c r="X190" s="139" t="s">
        <v>431</v>
      </c>
      <c r="Y190" s="139" t="s">
        <v>430</v>
      </c>
      <c r="Z190" t="s">
        <v>425</v>
      </c>
      <c r="AA190" s="141" t="s">
        <v>430</v>
      </c>
    </row>
    <row r="191" spans="1:41" ht="16.5" thickBot="1">
      <c r="A191" s="1" t="s">
        <v>187</v>
      </c>
      <c r="B191" s="8" t="s">
        <v>256</v>
      </c>
      <c r="C191" s="1">
        <v>3</v>
      </c>
      <c r="D191" s="1">
        <v>1</v>
      </c>
      <c r="E191" s="18">
        <v>4512</v>
      </c>
      <c r="F191" s="1">
        <v>0.18983507236620667</v>
      </c>
      <c r="G191" s="1" t="s">
        <v>451</v>
      </c>
      <c r="I191">
        <f t="shared" ref="I191:I218" si="86">IF(F191&gt;$T$3,1,0)</f>
        <v>1</v>
      </c>
      <c r="J191">
        <f t="shared" si="44"/>
        <v>1</v>
      </c>
      <c r="K191">
        <f t="shared" si="45"/>
        <v>0</v>
      </c>
      <c r="L191" s="144" t="b">
        <f t="shared" si="46"/>
        <v>0</v>
      </c>
      <c r="M191" s="144">
        <f t="shared" si="47"/>
        <v>2</v>
      </c>
      <c r="P191" s="2"/>
      <c r="Q191" s="86" t="s">
        <v>386</v>
      </c>
      <c r="R191" s="87">
        <f>COUNTIFS($D$2:$D$337,"=1",$C$2:$C$337,$R$79,$A$2:$A$337,"&lt;&gt;BSV",I$2:$I$337,"=1",$J$2:$J$337,"=1")</f>
        <v>19</v>
      </c>
      <c r="S191" s="87">
        <f>COUNTIFS($D$2:$D$337,"=1",$C$2:$C$337,$S$79,$A$2:$A$337,"&lt;&gt;BSV",$I$2:$I$337,"=1",$J$2:$J$337,"=1")</f>
        <v>8</v>
      </c>
      <c r="T191" s="87">
        <f>COUNTIFS($D$2:$D$337,"=1",$C$2:$C$337,$T$79,$A$2:$A$337,"&lt;&gt;BSV",$I$2:$I$337,"=1",$J$2:$J$337,"=1")</f>
        <v>19</v>
      </c>
      <c r="U191" s="87">
        <f>COUNTIFS($D$2:$D$337,"=1",$C$2:$C$337,$U$79,$A$2:$A$337,"&lt;&gt;BSV",$I$2:$I$337,"=1",$J$2:$J$337,"=1")</f>
        <v>33</v>
      </c>
      <c r="W191" t="s">
        <v>421</v>
      </c>
      <c r="X191" s="139" t="s">
        <v>431</v>
      </c>
      <c r="Y191" t="s">
        <v>431</v>
      </c>
      <c r="Z191" t="s">
        <v>431</v>
      </c>
      <c r="AA191" s="142" t="s">
        <v>431</v>
      </c>
      <c r="AO191" s="16"/>
    </row>
    <row r="192" spans="1:41">
      <c r="A192" s="1" t="s">
        <v>187</v>
      </c>
      <c r="B192" s="8" t="s">
        <v>242</v>
      </c>
      <c r="C192" s="1">
        <v>3</v>
      </c>
      <c r="D192" s="1">
        <v>1</v>
      </c>
      <c r="E192" s="18">
        <v>3894</v>
      </c>
      <c r="F192" s="1">
        <v>0.1638337260181757</v>
      </c>
      <c r="G192" s="1" t="s">
        <v>451</v>
      </c>
      <c r="I192">
        <f t="shared" si="86"/>
        <v>1</v>
      </c>
      <c r="J192">
        <f t="shared" ref="J192:J218" si="87">IF(E192&gt;$T$74,1,0)</f>
        <v>1</v>
      </c>
      <c r="K192">
        <f t="shared" ref="K192:K218" si="88">IF(G192&gt;$AH$75,0,1)</f>
        <v>0</v>
      </c>
      <c r="L192" s="144" t="b">
        <f t="shared" si="46"/>
        <v>0</v>
      </c>
      <c r="M192" s="144">
        <f t="shared" si="47"/>
        <v>2</v>
      </c>
      <c r="P192" s="2"/>
      <c r="Q192" s="86" t="s">
        <v>389</v>
      </c>
      <c r="R192" s="87">
        <f>COUNTIFS($C$2:$C$337,$O$7,$A$2:$A$337,"&lt;&gt;BSV",$I$2:$I$337,"=1",$J$2:$J$337,"=1")</f>
        <v>19</v>
      </c>
      <c r="S192" s="87">
        <f>COUNTIFS($C$2:$C$337,$O$12,$A$2:$A$337,"&lt;&gt;BSV",$I$2:$I$337,"=1",$J$2:$J$337,"=1")</f>
        <v>9</v>
      </c>
      <c r="T192" s="87">
        <f>COUNTIFS($C$2:$C$337,$O$17,$A$2:$A$337,"&lt;&gt;BSV",$I$2:$I$337,"=1",$J$2:$J$337,"=1")</f>
        <v>21</v>
      </c>
      <c r="U192" s="87">
        <f>COUNTIFS($C$2:$C$337,$O$22,$A$2:$A$337,"&lt;&gt;BSV",$I$2:$I$337,"=1",$J$2:$J$337,"=1")</f>
        <v>33</v>
      </c>
    </row>
    <row r="193" spans="1:41">
      <c r="A193" s="1" t="s">
        <v>187</v>
      </c>
      <c r="B193" s="8" t="s">
        <v>258</v>
      </c>
      <c r="C193" s="1">
        <v>3</v>
      </c>
      <c r="D193" s="1">
        <v>1</v>
      </c>
      <c r="E193" s="18">
        <v>3697</v>
      </c>
      <c r="F193" s="1">
        <v>0.15554527095254123</v>
      </c>
      <c r="G193" s="1" t="s">
        <v>451</v>
      </c>
      <c r="I193">
        <f t="shared" si="86"/>
        <v>1</v>
      </c>
      <c r="J193">
        <f t="shared" si="87"/>
        <v>1</v>
      </c>
      <c r="K193">
        <f t="shared" si="88"/>
        <v>0</v>
      </c>
      <c r="L193" s="144" t="b">
        <f t="shared" si="46"/>
        <v>0</v>
      </c>
      <c r="M193" s="144">
        <f t="shared" si="47"/>
        <v>2</v>
      </c>
      <c r="P193" s="2"/>
      <c r="T193" s="48"/>
      <c r="AA193" t="s">
        <v>436</v>
      </c>
    </row>
    <row r="194" spans="1:41">
      <c r="A194" s="1" t="s">
        <v>187</v>
      </c>
      <c r="B194" s="8" t="s">
        <v>253</v>
      </c>
      <c r="C194" s="1">
        <v>3</v>
      </c>
      <c r="D194" s="1">
        <v>1</v>
      </c>
      <c r="E194" s="18">
        <v>3234</v>
      </c>
      <c r="F194" s="1">
        <v>0.13606529787950186</v>
      </c>
      <c r="G194" s="1" t="s">
        <v>451</v>
      </c>
      <c r="I194">
        <f t="shared" si="86"/>
        <v>1</v>
      </c>
      <c r="J194">
        <f t="shared" si="87"/>
        <v>1</v>
      </c>
      <c r="K194">
        <f t="shared" si="88"/>
        <v>0</v>
      </c>
      <c r="L194" s="144" t="b">
        <f t="shared" si="46"/>
        <v>0</v>
      </c>
      <c r="M194" s="144">
        <f t="shared" si="47"/>
        <v>2</v>
      </c>
      <c r="Q194" s="84" t="s">
        <v>390</v>
      </c>
      <c r="R194" s="84">
        <f>COUNTIFS($D$2:$D$337,"=0",$C$2:$C$337,$R$79,$A$2:$A$337,"&lt;&gt;BSV")</f>
        <v>20</v>
      </c>
      <c r="S194" s="84">
        <f>COUNTIFS($D$2:$D$337,"=0",$C$2:$C$337,$S$79,$A$2:$A$337,"&lt;&gt;BSV")</f>
        <v>32</v>
      </c>
      <c r="T194" s="84">
        <f>COUNTIFS($D$2:$D$337,"=0",$C$2:$C$337,$T$79,$A$2:$A$337,"&lt;&gt;BSV")</f>
        <v>43</v>
      </c>
      <c r="U194" s="84">
        <f>COUNTIFS($D$2:$D$337,"=0",$C$2:$C$337,$U$79,$A$2:$A$337,"&lt;&gt;BSV")</f>
        <v>18</v>
      </c>
      <c r="AO194" s="16"/>
    </row>
    <row r="195" spans="1:41">
      <c r="A195" s="1" t="s">
        <v>187</v>
      </c>
      <c r="B195" s="8" t="s">
        <v>243</v>
      </c>
      <c r="C195" s="1">
        <v>3</v>
      </c>
      <c r="D195" s="1">
        <v>1</v>
      </c>
      <c r="E195" s="18">
        <v>2538</v>
      </c>
      <c r="F195" s="1">
        <v>0.10678222820599124</v>
      </c>
      <c r="G195" s="1" t="s">
        <v>451</v>
      </c>
      <c r="I195">
        <f t="shared" si="86"/>
        <v>1</v>
      </c>
      <c r="J195">
        <f t="shared" si="87"/>
        <v>1</v>
      </c>
      <c r="K195">
        <f t="shared" si="88"/>
        <v>0</v>
      </c>
      <c r="L195" s="144" t="b">
        <f t="shared" ref="L195:L258" si="89">ISNUMBER(G195)</f>
        <v>0</v>
      </c>
      <c r="M195" s="144">
        <f t="shared" ref="M195:M258" si="90">I195+J195+K195</f>
        <v>2</v>
      </c>
      <c r="Q195" s="84" t="s">
        <v>391</v>
      </c>
      <c r="R195" s="84">
        <f>COUNTIFS($D$2:$D$337,"=1",$C$2:$C$337,$R$79,$A$2:$A$337,"&lt;&gt;BSV")</f>
        <v>23</v>
      </c>
      <c r="S195" s="84">
        <f>COUNTIFS($D$2:$D$337,"=1",$C$2:$C$337,$S$79,$A$2:$A$337,"&lt;&gt;BSV")</f>
        <v>12</v>
      </c>
      <c r="T195" s="84">
        <f>COUNTIFS($D$2:$D$337,"=1",$C$2:$C$337,$T$79,$A$2:$A$337,"&lt;&gt;BSV")</f>
        <v>23</v>
      </c>
      <c r="U195" s="84">
        <f>COUNTIFS($D$2:$D$337,"=1",$C$2:$C$337,$U$79,$A$2:$A$337,"&lt;&gt;BSV")</f>
        <v>77</v>
      </c>
    </row>
    <row r="196" spans="1:41">
      <c r="A196" s="1" t="s">
        <v>187</v>
      </c>
      <c r="B196" s="8" t="s">
        <v>262</v>
      </c>
      <c r="C196" s="1">
        <v>3</v>
      </c>
      <c r="D196" s="1">
        <v>1</v>
      </c>
      <c r="E196" s="18">
        <v>2202</v>
      </c>
      <c r="F196" s="1">
        <v>1.0478828198612341E-2</v>
      </c>
      <c r="G196" s="1" t="s">
        <v>451</v>
      </c>
      <c r="I196">
        <f t="shared" si="86"/>
        <v>1</v>
      </c>
      <c r="J196">
        <f t="shared" si="87"/>
        <v>1</v>
      </c>
      <c r="K196">
        <f t="shared" si="88"/>
        <v>0</v>
      </c>
      <c r="L196" s="144" t="b">
        <f t="shared" si="89"/>
        <v>0</v>
      </c>
      <c r="M196" s="144">
        <f t="shared" si="90"/>
        <v>2</v>
      </c>
      <c r="Q196" s="84" t="s">
        <v>359</v>
      </c>
      <c r="R196" s="84">
        <f>R194+R195</f>
        <v>43</v>
      </c>
      <c r="S196" s="84">
        <f t="shared" ref="S196:U196" si="91">S194+S195</f>
        <v>44</v>
      </c>
      <c r="T196" s="84">
        <f t="shared" si="91"/>
        <v>66</v>
      </c>
      <c r="U196" s="84">
        <f t="shared" si="91"/>
        <v>95</v>
      </c>
    </row>
    <row r="197" spans="1:41">
      <c r="A197" s="1" t="s">
        <v>187</v>
      </c>
      <c r="B197" s="8" t="s">
        <v>251</v>
      </c>
      <c r="C197" s="1">
        <v>3</v>
      </c>
      <c r="D197" s="1">
        <v>1</v>
      </c>
      <c r="E197" s="18">
        <v>1434</v>
      </c>
      <c r="F197" s="1">
        <v>6.0333221137664088E-2</v>
      </c>
      <c r="G197" s="1" t="s">
        <v>451</v>
      </c>
      <c r="I197">
        <f t="shared" si="86"/>
        <v>1</v>
      </c>
      <c r="J197">
        <f t="shared" si="87"/>
        <v>1</v>
      </c>
      <c r="K197">
        <f t="shared" si="88"/>
        <v>0</v>
      </c>
      <c r="L197" s="144" t="b">
        <f t="shared" si="89"/>
        <v>0</v>
      </c>
      <c r="M197" s="144">
        <f t="shared" si="90"/>
        <v>2</v>
      </c>
    </row>
    <row r="198" spans="1:41">
      <c r="A198" s="1" t="s">
        <v>187</v>
      </c>
      <c r="B198" s="8" t="s">
        <v>246</v>
      </c>
      <c r="C198" s="1">
        <v>3</v>
      </c>
      <c r="D198" s="1">
        <v>1</v>
      </c>
      <c r="E198" s="18">
        <v>912</v>
      </c>
      <c r="F198" s="1">
        <v>3.8370918882531135E-2</v>
      </c>
      <c r="G198" s="1" t="s">
        <v>451</v>
      </c>
      <c r="I198">
        <f t="shared" si="86"/>
        <v>1</v>
      </c>
      <c r="J198">
        <f t="shared" si="87"/>
        <v>1</v>
      </c>
      <c r="K198">
        <f t="shared" si="88"/>
        <v>0</v>
      </c>
      <c r="L198" s="144" t="b">
        <f t="shared" si="89"/>
        <v>0</v>
      </c>
      <c r="M198" s="144">
        <f t="shared" si="90"/>
        <v>2</v>
      </c>
      <c r="Q198" s="84" t="s">
        <v>416</v>
      </c>
      <c r="R198" s="87">
        <f>COUNTIFS($C$2:$C$337,$O$7,$A$2:$A$337,"&lt;&gt;BSV",$J$2:$J$337,"=1",$I$2:$I$337,"=0")</f>
        <v>0</v>
      </c>
      <c r="S198" s="87">
        <f xml:space="preserve"> COUNTIFS($C$2:$C$337,$O$12,$A$2:$A$337,"&lt;&gt;BSV",$J$2:$J$337,"=1",$I$2:$I$337,"=0")</f>
        <v>0</v>
      </c>
      <c r="T198" s="87">
        <f>COUNTIFS($C$2:$C$337,$O$17,$A$2:$A$337,"&lt;&gt;BSV",$J$2:$J$337,"=1",$I$2:$I$337,"=0")</f>
        <v>0</v>
      </c>
      <c r="U198" s="87">
        <f>COUNTIFS($C$2:$C$337,$O$22,$A$2:$A$337,"&lt;&gt;BSV",$J$2:$J$337,"=1",$I$2:$I$337,"=0")</f>
        <v>0</v>
      </c>
    </row>
    <row r="199" spans="1:41">
      <c r="A199" s="1" t="s">
        <v>187</v>
      </c>
      <c r="B199" s="8" t="s">
        <v>241</v>
      </c>
      <c r="C199" s="1">
        <v>3</v>
      </c>
      <c r="D199" s="1">
        <v>0</v>
      </c>
      <c r="E199" s="18">
        <v>779</v>
      </c>
      <c r="F199" s="1">
        <v>3.2775159878828675E-2</v>
      </c>
      <c r="G199" s="1" t="s">
        <v>451</v>
      </c>
      <c r="I199">
        <f t="shared" si="86"/>
        <v>1</v>
      </c>
      <c r="J199">
        <f t="shared" si="87"/>
        <v>1</v>
      </c>
      <c r="K199">
        <f t="shared" si="88"/>
        <v>0</v>
      </c>
      <c r="L199" s="144" t="b">
        <f t="shared" si="89"/>
        <v>0</v>
      </c>
      <c r="M199" s="144">
        <f t="shared" si="90"/>
        <v>2</v>
      </c>
      <c r="Q199" s="84" t="s">
        <v>417</v>
      </c>
      <c r="R199" s="87">
        <f>(R192-R191)+(R189-R188)</f>
        <v>4</v>
      </c>
      <c r="S199" s="87">
        <f t="shared" ref="S199:U199" si="92">(S192-S191)+(S189-S188)</f>
        <v>5</v>
      </c>
      <c r="T199" s="87">
        <f t="shared" si="92"/>
        <v>6</v>
      </c>
      <c r="U199" s="87">
        <f t="shared" si="92"/>
        <v>44</v>
      </c>
    </row>
    <row r="200" spans="1:41">
      <c r="A200" s="1" t="s">
        <v>187</v>
      </c>
      <c r="B200" s="8" t="s">
        <v>236</v>
      </c>
      <c r="C200" s="1">
        <v>3</v>
      </c>
      <c r="D200" s="1">
        <v>1</v>
      </c>
      <c r="E200" s="18">
        <v>438</v>
      </c>
      <c r="F200" s="1">
        <v>0.14673366834170853</v>
      </c>
      <c r="G200" s="1" t="s">
        <v>451</v>
      </c>
      <c r="I200">
        <f t="shared" si="86"/>
        <v>1</v>
      </c>
      <c r="J200">
        <f t="shared" si="87"/>
        <v>1</v>
      </c>
      <c r="K200">
        <f t="shared" si="88"/>
        <v>0</v>
      </c>
      <c r="L200" s="144" t="b">
        <f t="shared" si="89"/>
        <v>0</v>
      </c>
      <c r="M200" s="144">
        <f t="shared" si="90"/>
        <v>2</v>
      </c>
      <c r="Q200" s="84" t="s">
        <v>418</v>
      </c>
      <c r="R200" s="84">
        <f>R188+R191</f>
        <v>39</v>
      </c>
      <c r="S200" s="84">
        <f t="shared" ref="S200:U200" si="93">S188+S191</f>
        <v>39</v>
      </c>
      <c r="T200" s="84">
        <f t="shared" si="93"/>
        <v>60</v>
      </c>
      <c r="U200" s="84">
        <f t="shared" si="93"/>
        <v>51</v>
      </c>
    </row>
    <row r="201" spans="1:41">
      <c r="A201" s="1" t="s">
        <v>187</v>
      </c>
      <c r="B201" s="8" t="s">
        <v>240</v>
      </c>
      <c r="C201" s="1">
        <v>3</v>
      </c>
      <c r="D201" s="1">
        <v>0</v>
      </c>
      <c r="E201" s="18">
        <v>390</v>
      </c>
      <c r="F201" s="1">
        <v>1.6408616627398183E-2</v>
      </c>
      <c r="G201" s="1" t="s">
        <v>451</v>
      </c>
      <c r="H201" s="10"/>
      <c r="I201">
        <f t="shared" si="86"/>
        <v>1</v>
      </c>
      <c r="J201">
        <f t="shared" si="87"/>
        <v>1</v>
      </c>
      <c r="K201">
        <f t="shared" si="88"/>
        <v>0</v>
      </c>
      <c r="L201" s="144" t="b">
        <f t="shared" si="89"/>
        <v>0</v>
      </c>
      <c r="M201" s="144">
        <f t="shared" si="90"/>
        <v>2</v>
      </c>
      <c r="AO201" s="19"/>
    </row>
    <row r="202" spans="1:41">
      <c r="A202" s="1" t="s">
        <v>187</v>
      </c>
      <c r="B202" s="8" t="s">
        <v>237</v>
      </c>
      <c r="C202" s="1">
        <v>3</v>
      </c>
      <c r="D202" s="1">
        <v>0</v>
      </c>
      <c r="E202" s="18">
        <v>337</v>
      </c>
      <c r="F202" s="1">
        <v>1.4178727701110738E-2</v>
      </c>
      <c r="G202" s="1" t="s">
        <v>451</v>
      </c>
      <c r="I202">
        <f t="shared" si="86"/>
        <v>1</v>
      </c>
      <c r="J202">
        <f t="shared" si="87"/>
        <v>1</v>
      </c>
      <c r="K202">
        <f t="shared" si="88"/>
        <v>0</v>
      </c>
      <c r="L202" s="144" t="b">
        <f t="shared" si="89"/>
        <v>0</v>
      </c>
      <c r="M202" s="144">
        <f t="shared" si="90"/>
        <v>2</v>
      </c>
      <c r="AO202" s="16"/>
    </row>
    <row r="203" spans="1:41">
      <c r="A203" s="1" t="s">
        <v>187</v>
      </c>
      <c r="B203" s="8" t="s">
        <v>247</v>
      </c>
      <c r="C203" s="1">
        <v>3</v>
      </c>
      <c r="D203" s="1">
        <v>0</v>
      </c>
      <c r="E203" s="18">
        <v>300</v>
      </c>
      <c r="F203" s="1">
        <v>1.2622012790306295E-2</v>
      </c>
      <c r="G203" s="1" t="s">
        <v>451</v>
      </c>
      <c r="H203" s="10"/>
      <c r="I203">
        <f t="shared" si="86"/>
        <v>1</v>
      </c>
      <c r="J203">
        <f t="shared" si="87"/>
        <v>1</v>
      </c>
      <c r="K203">
        <f t="shared" si="88"/>
        <v>0</v>
      </c>
      <c r="L203" s="144" t="b">
        <f t="shared" si="89"/>
        <v>0</v>
      </c>
      <c r="M203" s="144">
        <f t="shared" si="90"/>
        <v>2</v>
      </c>
    </row>
    <row r="204" spans="1:41">
      <c r="A204" s="1" t="s">
        <v>187</v>
      </c>
      <c r="B204" s="8" t="s">
        <v>238</v>
      </c>
      <c r="C204" s="1">
        <v>3</v>
      </c>
      <c r="D204" s="1">
        <v>0</v>
      </c>
      <c r="E204" s="18">
        <v>140</v>
      </c>
      <c r="F204" s="1">
        <v>5.8902726354762708E-3</v>
      </c>
      <c r="G204" s="1" t="s">
        <v>451</v>
      </c>
      <c r="H204" s="10"/>
      <c r="I204">
        <f t="shared" si="86"/>
        <v>1</v>
      </c>
      <c r="J204">
        <f t="shared" si="87"/>
        <v>0</v>
      </c>
      <c r="K204">
        <f t="shared" si="88"/>
        <v>0</v>
      </c>
      <c r="L204" s="144" t="b">
        <f t="shared" si="89"/>
        <v>0</v>
      </c>
      <c r="M204" s="144">
        <f t="shared" si="90"/>
        <v>1</v>
      </c>
      <c r="AO204" s="16"/>
    </row>
    <row r="205" spans="1:41">
      <c r="A205" s="1" t="s">
        <v>187</v>
      </c>
      <c r="B205" s="8" t="s">
        <v>244</v>
      </c>
      <c r="C205" s="1">
        <v>3</v>
      </c>
      <c r="D205" s="1">
        <v>0</v>
      </c>
      <c r="E205" s="18">
        <v>79</v>
      </c>
      <c r="F205" s="1">
        <v>3.3237967014473242E-3</v>
      </c>
      <c r="G205" s="1" t="s">
        <v>451</v>
      </c>
      <c r="I205">
        <f t="shared" si="86"/>
        <v>1</v>
      </c>
      <c r="J205">
        <f t="shared" si="87"/>
        <v>0</v>
      </c>
      <c r="K205">
        <f t="shared" si="88"/>
        <v>0</v>
      </c>
      <c r="L205" s="144" t="b">
        <f t="shared" si="89"/>
        <v>0</v>
      </c>
      <c r="M205" s="144">
        <f t="shared" si="90"/>
        <v>1</v>
      </c>
    </row>
    <row r="206" spans="1:41">
      <c r="A206" s="1" t="s">
        <v>187</v>
      </c>
      <c r="B206" s="8" t="s">
        <v>261</v>
      </c>
      <c r="C206" s="1">
        <v>3</v>
      </c>
      <c r="D206" s="1">
        <v>0</v>
      </c>
      <c r="E206" s="18">
        <v>74</v>
      </c>
      <c r="F206" s="1">
        <v>3.113429821608886E-3</v>
      </c>
      <c r="G206" s="1" t="s">
        <v>451</v>
      </c>
      <c r="I206">
        <f t="shared" si="86"/>
        <v>1</v>
      </c>
      <c r="J206">
        <f t="shared" si="87"/>
        <v>0</v>
      </c>
      <c r="K206">
        <f t="shared" si="88"/>
        <v>0</v>
      </c>
      <c r="L206" s="144" t="b">
        <f t="shared" si="89"/>
        <v>0</v>
      </c>
      <c r="M206" s="144">
        <f t="shared" si="90"/>
        <v>1</v>
      </c>
    </row>
    <row r="207" spans="1:41">
      <c r="A207" s="1" t="s">
        <v>187</v>
      </c>
      <c r="B207" s="8" t="s">
        <v>260</v>
      </c>
      <c r="C207" s="1">
        <v>3</v>
      </c>
      <c r="D207" s="1">
        <v>0</v>
      </c>
      <c r="E207" s="18">
        <v>49</v>
      </c>
      <c r="F207" s="1">
        <v>2.0615954224166948E-3</v>
      </c>
      <c r="G207" s="1" t="s">
        <v>451</v>
      </c>
      <c r="H207" s="10"/>
      <c r="I207">
        <f t="shared" si="86"/>
        <v>1</v>
      </c>
      <c r="J207">
        <f t="shared" si="87"/>
        <v>0</v>
      </c>
      <c r="K207">
        <f t="shared" si="88"/>
        <v>0</v>
      </c>
      <c r="L207" s="144" t="b">
        <f t="shared" si="89"/>
        <v>0</v>
      </c>
      <c r="M207" s="144">
        <f t="shared" si="90"/>
        <v>1</v>
      </c>
    </row>
    <row r="208" spans="1:41">
      <c r="A208" s="1" t="s">
        <v>187</v>
      </c>
      <c r="B208" s="8" t="s">
        <v>245</v>
      </c>
      <c r="C208" s="1">
        <v>3</v>
      </c>
      <c r="D208" s="1">
        <v>0</v>
      </c>
      <c r="E208" s="18">
        <v>24</v>
      </c>
      <c r="F208" s="1">
        <v>1.0097610232245036E-3</v>
      </c>
      <c r="G208" s="1" t="s">
        <v>451</v>
      </c>
      <c r="I208">
        <f t="shared" si="86"/>
        <v>1</v>
      </c>
      <c r="J208">
        <f t="shared" si="87"/>
        <v>0</v>
      </c>
      <c r="K208">
        <f t="shared" si="88"/>
        <v>0</v>
      </c>
      <c r="L208" s="144" t="b">
        <f t="shared" si="89"/>
        <v>0</v>
      </c>
      <c r="M208" s="144">
        <f t="shared" si="90"/>
        <v>1</v>
      </c>
    </row>
    <row r="209" spans="1:41">
      <c r="A209" s="1" t="s">
        <v>187</v>
      </c>
      <c r="B209" s="8" t="s">
        <v>255</v>
      </c>
      <c r="C209" s="1">
        <v>3</v>
      </c>
      <c r="D209" s="1">
        <v>0</v>
      </c>
      <c r="E209" s="18">
        <v>14</v>
      </c>
      <c r="F209" s="1">
        <v>5.8902726354762708E-4</v>
      </c>
      <c r="G209" s="1" t="s">
        <v>451</v>
      </c>
      <c r="H209" s="10"/>
      <c r="I209">
        <f t="shared" si="86"/>
        <v>1</v>
      </c>
      <c r="J209">
        <f t="shared" si="87"/>
        <v>0</v>
      </c>
      <c r="K209">
        <f t="shared" si="88"/>
        <v>0</v>
      </c>
      <c r="L209" s="144" t="b">
        <f t="shared" si="89"/>
        <v>0</v>
      </c>
      <c r="M209" s="144">
        <f t="shared" si="90"/>
        <v>1</v>
      </c>
    </row>
    <row r="210" spans="1:41">
      <c r="A210" s="1" t="s">
        <v>187</v>
      </c>
      <c r="B210" s="8" t="s">
        <v>250</v>
      </c>
      <c r="C210" s="1">
        <v>3</v>
      </c>
      <c r="D210" s="1">
        <v>0</v>
      </c>
      <c r="E210" s="18">
        <v>9</v>
      </c>
      <c r="F210" s="1">
        <v>3.7866038370918884E-4</v>
      </c>
      <c r="G210" s="1" t="s">
        <v>451</v>
      </c>
      <c r="I210">
        <f t="shared" si="86"/>
        <v>1</v>
      </c>
      <c r="J210">
        <f t="shared" si="87"/>
        <v>0</v>
      </c>
      <c r="K210">
        <f t="shared" si="88"/>
        <v>0</v>
      </c>
      <c r="L210" s="144" t="b">
        <f t="shared" si="89"/>
        <v>0</v>
      </c>
      <c r="M210" s="144">
        <f t="shared" si="90"/>
        <v>1</v>
      </c>
    </row>
    <row r="211" spans="1:41">
      <c r="A211" s="1" t="s">
        <v>187</v>
      </c>
      <c r="B211" s="8" t="s">
        <v>249</v>
      </c>
      <c r="C211" s="1">
        <v>3</v>
      </c>
      <c r="D211" s="1">
        <v>0</v>
      </c>
      <c r="E211" s="18">
        <v>7</v>
      </c>
      <c r="F211" s="1">
        <v>2.9451363177381354E-4</v>
      </c>
      <c r="G211" s="1" t="s">
        <v>451</v>
      </c>
      <c r="H211" s="10"/>
      <c r="I211">
        <f t="shared" si="86"/>
        <v>1</v>
      </c>
      <c r="J211">
        <f t="shared" si="87"/>
        <v>0</v>
      </c>
      <c r="K211">
        <f t="shared" si="88"/>
        <v>0</v>
      </c>
      <c r="L211" s="144" t="b">
        <f t="shared" si="89"/>
        <v>0</v>
      </c>
      <c r="M211" s="144">
        <f t="shared" si="90"/>
        <v>1</v>
      </c>
      <c r="AO211" s="16"/>
    </row>
    <row r="212" spans="1:41">
      <c r="A212" s="1" t="s">
        <v>216</v>
      </c>
      <c r="B212" s="8" t="s">
        <v>257</v>
      </c>
      <c r="C212" s="1">
        <v>3</v>
      </c>
      <c r="D212" s="1">
        <v>1</v>
      </c>
      <c r="E212" s="18">
        <v>209552</v>
      </c>
      <c r="F212" s="1">
        <v>1</v>
      </c>
      <c r="G212" s="1" t="s">
        <v>439</v>
      </c>
      <c r="I212">
        <f t="shared" si="86"/>
        <v>1</v>
      </c>
      <c r="J212">
        <f t="shared" si="87"/>
        <v>1</v>
      </c>
      <c r="K212">
        <f t="shared" si="88"/>
        <v>0</v>
      </c>
      <c r="L212" s="144" t="b">
        <f t="shared" si="89"/>
        <v>0</v>
      </c>
      <c r="M212" s="144">
        <f t="shared" si="90"/>
        <v>2</v>
      </c>
      <c r="AO212" s="16"/>
    </row>
    <row r="213" spans="1:41">
      <c r="A213" s="1" t="s">
        <v>216</v>
      </c>
      <c r="B213" s="8" t="s">
        <v>256</v>
      </c>
      <c r="C213" s="1">
        <v>3</v>
      </c>
      <c r="D213" s="1">
        <v>0</v>
      </c>
      <c r="E213" s="18">
        <v>143</v>
      </c>
      <c r="F213" s="1">
        <v>6.8240818508055279E-4</v>
      </c>
      <c r="G213" s="1">
        <v>68.42</v>
      </c>
      <c r="I213">
        <f t="shared" si="86"/>
        <v>1</v>
      </c>
      <c r="J213">
        <f t="shared" si="87"/>
        <v>0</v>
      </c>
      <c r="K213">
        <f t="shared" si="88"/>
        <v>0</v>
      </c>
      <c r="L213" s="144" t="b">
        <f t="shared" si="89"/>
        <v>1</v>
      </c>
      <c r="M213" s="144">
        <f t="shared" si="90"/>
        <v>1</v>
      </c>
      <c r="AO213" s="16"/>
    </row>
    <row r="214" spans="1:41">
      <c r="A214" s="1" t="s">
        <v>211</v>
      </c>
      <c r="B214" s="8" t="s">
        <v>253</v>
      </c>
      <c r="C214" s="1">
        <v>3</v>
      </c>
      <c r="D214" s="1">
        <v>1</v>
      </c>
      <c r="E214" s="18">
        <v>36247</v>
      </c>
      <c r="F214" s="1">
        <v>1</v>
      </c>
      <c r="G214" s="1" t="s">
        <v>439</v>
      </c>
      <c r="I214">
        <f t="shared" si="86"/>
        <v>1</v>
      </c>
      <c r="J214">
        <f t="shared" si="87"/>
        <v>1</v>
      </c>
      <c r="K214">
        <f t="shared" si="88"/>
        <v>0</v>
      </c>
      <c r="L214" s="144" t="b">
        <f t="shared" si="89"/>
        <v>0</v>
      </c>
      <c r="M214" s="144">
        <f t="shared" si="90"/>
        <v>2</v>
      </c>
      <c r="AO214" s="16"/>
    </row>
    <row r="215" spans="1:41">
      <c r="A215" s="1" t="s">
        <v>211</v>
      </c>
      <c r="B215" s="8" t="s">
        <v>251</v>
      </c>
      <c r="C215" s="1">
        <v>3</v>
      </c>
      <c r="D215" s="1">
        <v>1</v>
      </c>
      <c r="E215" s="18">
        <v>21168</v>
      </c>
      <c r="F215" s="1">
        <v>0.58399315805445973</v>
      </c>
      <c r="G215" s="1">
        <v>20.86</v>
      </c>
      <c r="H215" s="10"/>
      <c r="I215">
        <f t="shared" si="86"/>
        <v>1</v>
      </c>
      <c r="J215">
        <f t="shared" si="87"/>
        <v>1</v>
      </c>
      <c r="K215">
        <f t="shared" si="88"/>
        <v>1</v>
      </c>
      <c r="L215" s="144" t="b">
        <f t="shared" si="89"/>
        <v>1</v>
      </c>
      <c r="M215" s="144">
        <f t="shared" si="90"/>
        <v>3</v>
      </c>
      <c r="AO215" s="16"/>
    </row>
    <row r="216" spans="1:41">
      <c r="A216" s="1" t="s">
        <v>211</v>
      </c>
      <c r="B216" s="8" t="s">
        <v>246</v>
      </c>
      <c r="C216" s="1">
        <v>3</v>
      </c>
      <c r="D216" s="1">
        <v>1</v>
      </c>
      <c r="E216" s="18">
        <v>2627</v>
      </c>
      <c r="F216" s="1">
        <v>7.2474963445250645E-2</v>
      </c>
      <c r="G216" s="1">
        <v>0.05</v>
      </c>
      <c r="H216" s="10"/>
      <c r="I216">
        <f t="shared" si="86"/>
        <v>1</v>
      </c>
      <c r="J216">
        <f t="shared" si="87"/>
        <v>1</v>
      </c>
      <c r="K216">
        <f t="shared" si="88"/>
        <v>1</v>
      </c>
      <c r="L216" s="144" t="b">
        <f t="shared" si="89"/>
        <v>1</v>
      </c>
      <c r="M216" s="144">
        <f t="shared" si="90"/>
        <v>3</v>
      </c>
    </row>
    <row r="217" spans="1:41">
      <c r="A217" s="1" t="s">
        <v>211</v>
      </c>
      <c r="B217" s="8" t="s">
        <v>247</v>
      </c>
      <c r="C217" s="1">
        <v>3</v>
      </c>
      <c r="D217" s="1">
        <v>0</v>
      </c>
      <c r="E217" s="18">
        <v>411</v>
      </c>
      <c r="F217" s="1">
        <v>1.1338869423676443E-2</v>
      </c>
      <c r="G217" s="1">
        <v>1.08</v>
      </c>
      <c r="H217" s="10"/>
      <c r="I217">
        <f t="shared" si="86"/>
        <v>1</v>
      </c>
      <c r="J217">
        <f t="shared" si="87"/>
        <v>1</v>
      </c>
      <c r="K217">
        <f t="shared" si="88"/>
        <v>1</v>
      </c>
      <c r="L217" s="144" t="b">
        <f t="shared" si="89"/>
        <v>1</v>
      </c>
      <c r="M217" s="144">
        <f t="shared" si="90"/>
        <v>3</v>
      </c>
    </row>
    <row r="218" spans="1:41">
      <c r="A218" s="1" t="s">
        <v>211</v>
      </c>
      <c r="B218" s="8" t="s">
        <v>240</v>
      </c>
      <c r="C218" s="1">
        <v>3</v>
      </c>
      <c r="D218" s="1">
        <v>0</v>
      </c>
      <c r="E218" s="18">
        <v>402</v>
      </c>
      <c r="F218" s="1">
        <v>1.1090573012939002E-2</v>
      </c>
      <c r="G218" s="1">
        <v>1.19</v>
      </c>
      <c r="H218" s="10"/>
      <c r="I218">
        <f t="shared" si="86"/>
        <v>1</v>
      </c>
      <c r="J218">
        <f t="shared" si="87"/>
        <v>1</v>
      </c>
      <c r="K218">
        <f t="shared" si="88"/>
        <v>1</v>
      </c>
      <c r="L218" s="144" t="b">
        <f t="shared" si="89"/>
        <v>1</v>
      </c>
      <c r="M218" s="144">
        <f t="shared" si="90"/>
        <v>3</v>
      </c>
      <c r="AO218" s="16"/>
    </row>
    <row r="219" spans="1:41">
      <c r="A219" s="1" t="s">
        <v>217</v>
      </c>
      <c r="B219" s="8" t="s">
        <v>189</v>
      </c>
      <c r="C219" s="1">
        <v>4</v>
      </c>
      <c r="D219" s="1">
        <v>0</v>
      </c>
      <c r="E219" s="18">
        <v>1</v>
      </c>
      <c r="F219" s="1">
        <v>2.0000000000000002E-5</v>
      </c>
      <c r="G219" s="1" t="s">
        <v>451</v>
      </c>
      <c r="I219">
        <f t="shared" ref="I219:I250" si="94">IF(F219&gt;$U$3,1,0)</f>
        <v>0</v>
      </c>
      <c r="J219">
        <f>IF(E219&gt;$U$74,1,0)</f>
        <v>0</v>
      </c>
      <c r="K219">
        <f t="shared" ref="K219:K250" si="95">IF(G219&gt;$AI$75,0,1)</f>
        <v>0</v>
      </c>
      <c r="L219" s="144" t="b">
        <f t="shared" si="89"/>
        <v>0</v>
      </c>
      <c r="M219" s="144">
        <f t="shared" si="90"/>
        <v>0</v>
      </c>
      <c r="AO219" s="16"/>
    </row>
    <row r="220" spans="1:41">
      <c r="A220" s="1" t="s">
        <v>187</v>
      </c>
      <c r="B220" s="10" t="s">
        <v>291</v>
      </c>
      <c r="C220" s="1">
        <v>4</v>
      </c>
      <c r="D220" s="1">
        <v>1</v>
      </c>
      <c r="E220" s="18">
        <v>1</v>
      </c>
      <c r="F220" s="1">
        <v>4.2073375967687648E-5</v>
      </c>
      <c r="G220" s="1" t="s">
        <v>451</v>
      </c>
      <c r="H220" s="10" t="s">
        <v>272</v>
      </c>
      <c r="I220">
        <f t="shared" si="94"/>
        <v>0</v>
      </c>
      <c r="J220">
        <f t="shared" ref="J220:J283" si="96">IF(E220&gt;$U$74,1,0)</f>
        <v>0</v>
      </c>
      <c r="K220">
        <f t="shared" si="95"/>
        <v>0</v>
      </c>
      <c r="L220" s="144" t="b">
        <f t="shared" si="89"/>
        <v>0</v>
      </c>
      <c r="M220" s="144">
        <f t="shared" si="90"/>
        <v>0</v>
      </c>
    </row>
    <row r="221" spans="1:41">
      <c r="A221" s="1" t="s">
        <v>216</v>
      </c>
      <c r="B221" s="10" t="s">
        <v>188</v>
      </c>
      <c r="C221" s="1">
        <v>4</v>
      </c>
      <c r="D221" s="1">
        <v>0</v>
      </c>
      <c r="E221" s="18">
        <v>26</v>
      </c>
      <c r="F221" s="1">
        <v>4.5996125710949732E-5</v>
      </c>
      <c r="G221" s="1">
        <v>100</v>
      </c>
      <c r="H221" s="10"/>
      <c r="I221">
        <f t="shared" si="94"/>
        <v>0</v>
      </c>
      <c r="J221">
        <f t="shared" si="96"/>
        <v>0</v>
      </c>
      <c r="K221">
        <f t="shared" si="95"/>
        <v>0</v>
      </c>
      <c r="L221" s="144" t="b">
        <f t="shared" si="89"/>
        <v>1</v>
      </c>
      <c r="M221" s="144">
        <f t="shared" si="90"/>
        <v>0</v>
      </c>
    </row>
    <row r="222" spans="1:41">
      <c r="A222" s="1" t="s">
        <v>216</v>
      </c>
      <c r="B222" s="10" t="s">
        <v>95</v>
      </c>
      <c r="C222" s="1">
        <v>4</v>
      </c>
      <c r="D222" s="1">
        <v>0</v>
      </c>
      <c r="E222" s="18">
        <v>21</v>
      </c>
      <c r="F222" s="1">
        <v>3.7150716920382477E-5</v>
      </c>
      <c r="G222" s="1">
        <v>100</v>
      </c>
      <c r="H222" s="10"/>
      <c r="I222">
        <f t="shared" si="94"/>
        <v>0</v>
      </c>
      <c r="J222">
        <f t="shared" si="96"/>
        <v>0</v>
      </c>
      <c r="K222">
        <f t="shared" si="95"/>
        <v>0</v>
      </c>
      <c r="L222" s="144" t="b">
        <f t="shared" si="89"/>
        <v>1</v>
      </c>
      <c r="M222" s="144">
        <f t="shared" si="90"/>
        <v>0</v>
      </c>
    </row>
    <row r="223" spans="1:41">
      <c r="A223" s="1" t="s">
        <v>216</v>
      </c>
      <c r="B223" s="10" t="s">
        <v>189</v>
      </c>
      <c r="C223" s="1">
        <v>4</v>
      </c>
      <c r="D223" s="1">
        <v>0</v>
      </c>
      <c r="E223" s="18">
        <v>19</v>
      </c>
      <c r="F223" s="1">
        <v>3.3612553404155573E-5</v>
      </c>
      <c r="G223" s="1">
        <v>100</v>
      </c>
      <c r="H223" s="10"/>
      <c r="I223">
        <f t="shared" si="94"/>
        <v>0</v>
      </c>
      <c r="J223">
        <f t="shared" si="96"/>
        <v>0</v>
      </c>
      <c r="K223">
        <f t="shared" si="95"/>
        <v>0</v>
      </c>
      <c r="L223" s="144" t="b">
        <f t="shared" si="89"/>
        <v>1</v>
      </c>
      <c r="M223" s="144">
        <f t="shared" si="90"/>
        <v>0</v>
      </c>
    </row>
    <row r="224" spans="1:41">
      <c r="A224" s="1" t="s">
        <v>216</v>
      </c>
      <c r="B224" s="10" t="s">
        <v>266</v>
      </c>
      <c r="C224" s="1">
        <v>4</v>
      </c>
      <c r="D224" s="1">
        <v>0</v>
      </c>
      <c r="E224" s="18">
        <v>4</v>
      </c>
      <c r="F224" s="1">
        <v>7.0763270324538048E-6</v>
      </c>
      <c r="G224" s="1" t="s">
        <v>451</v>
      </c>
      <c r="H224" s="10"/>
      <c r="I224">
        <f t="shared" si="94"/>
        <v>0</v>
      </c>
      <c r="J224">
        <f t="shared" si="96"/>
        <v>0</v>
      </c>
      <c r="K224">
        <f t="shared" si="95"/>
        <v>0</v>
      </c>
      <c r="L224" s="144" t="b">
        <f t="shared" si="89"/>
        <v>0</v>
      </c>
      <c r="M224" s="144">
        <f t="shared" si="90"/>
        <v>0</v>
      </c>
    </row>
    <row r="225" spans="1:41">
      <c r="A225" s="1" t="s">
        <v>216</v>
      </c>
      <c r="B225" s="10" t="s">
        <v>289</v>
      </c>
      <c r="C225" s="1">
        <v>4</v>
      </c>
      <c r="D225" s="1">
        <v>0</v>
      </c>
      <c r="E225" s="18">
        <v>1</v>
      </c>
      <c r="F225" s="1">
        <v>1.7690817581134512E-6</v>
      </c>
      <c r="G225" s="1" t="s">
        <v>451</v>
      </c>
      <c r="H225" s="10"/>
      <c r="I225">
        <f t="shared" si="94"/>
        <v>0</v>
      </c>
      <c r="J225">
        <f t="shared" si="96"/>
        <v>0</v>
      </c>
      <c r="K225">
        <f t="shared" si="95"/>
        <v>0</v>
      </c>
      <c r="L225" s="144" t="b">
        <f t="shared" si="89"/>
        <v>0</v>
      </c>
      <c r="M225" s="144">
        <f t="shared" si="90"/>
        <v>0</v>
      </c>
    </row>
    <row r="226" spans="1:41">
      <c r="A226" s="1" t="s">
        <v>216</v>
      </c>
      <c r="B226" s="10" t="s">
        <v>273</v>
      </c>
      <c r="C226" s="1">
        <v>4</v>
      </c>
      <c r="D226" s="1">
        <v>0</v>
      </c>
      <c r="E226" s="18">
        <v>1</v>
      </c>
      <c r="F226" s="1">
        <v>1.7690817581134512E-6</v>
      </c>
      <c r="G226" s="1" t="s">
        <v>451</v>
      </c>
      <c r="H226" s="10"/>
      <c r="I226">
        <f t="shared" si="94"/>
        <v>0</v>
      </c>
      <c r="J226">
        <f t="shared" si="96"/>
        <v>0</v>
      </c>
      <c r="K226">
        <f t="shared" si="95"/>
        <v>0</v>
      </c>
      <c r="L226" s="144" t="b">
        <f t="shared" si="89"/>
        <v>0</v>
      </c>
      <c r="M226" s="144">
        <f t="shared" si="90"/>
        <v>0</v>
      </c>
    </row>
    <row r="227" spans="1:41">
      <c r="A227" s="1" t="s">
        <v>216</v>
      </c>
      <c r="B227" s="10" t="s">
        <v>285</v>
      </c>
      <c r="C227" s="1">
        <v>4</v>
      </c>
      <c r="D227" s="1">
        <v>0</v>
      </c>
      <c r="E227" s="18">
        <v>1</v>
      </c>
      <c r="F227" s="1">
        <v>1.7690817581134512E-6</v>
      </c>
      <c r="G227" s="1" t="s">
        <v>451</v>
      </c>
      <c r="H227" s="10"/>
      <c r="I227">
        <f t="shared" si="94"/>
        <v>0</v>
      </c>
      <c r="J227">
        <f t="shared" si="96"/>
        <v>0</v>
      </c>
      <c r="K227">
        <f t="shared" si="95"/>
        <v>0</v>
      </c>
      <c r="L227" s="144" t="b">
        <f t="shared" si="89"/>
        <v>0</v>
      </c>
      <c r="M227" s="144">
        <f t="shared" si="90"/>
        <v>0</v>
      </c>
    </row>
    <row r="228" spans="1:41" ht="31.5">
      <c r="A228" s="1" t="s">
        <v>211</v>
      </c>
      <c r="B228" s="10" t="s">
        <v>274</v>
      </c>
      <c r="C228" s="1">
        <v>4</v>
      </c>
      <c r="D228" s="1">
        <v>1</v>
      </c>
      <c r="E228" s="18">
        <v>10</v>
      </c>
      <c r="F228" s="1">
        <v>1.4971942579605819E-5</v>
      </c>
      <c r="G228" s="1">
        <v>65</v>
      </c>
      <c r="H228" t="s">
        <v>272</v>
      </c>
      <c r="I228">
        <f t="shared" si="94"/>
        <v>0</v>
      </c>
      <c r="J228">
        <f t="shared" si="96"/>
        <v>0</v>
      </c>
      <c r="K228">
        <f t="shared" si="95"/>
        <v>1</v>
      </c>
      <c r="L228" s="144" t="b">
        <f t="shared" si="89"/>
        <v>1</v>
      </c>
      <c r="M228" s="144">
        <f t="shared" si="90"/>
        <v>1</v>
      </c>
    </row>
    <row r="229" spans="1:41">
      <c r="A229" s="1" t="s">
        <v>211</v>
      </c>
      <c r="B229" s="10" t="s">
        <v>295</v>
      </c>
      <c r="C229" s="1">
        <v>4</v>
      </c>
      <c r="D229" s="1">
        <v>0</v>
      </c>
      <c r="E229" s="18">
        <v>1</v>
      </c>
      <c r="F229" s="1">
        <v>1.4971942579605818E-6</v>
      </c>
      <c r="G229" s="1" t="s">
        <v>451</v>
      </c>
      <c r="I229">
        <f t="shared" si="94"/>
        <v>0</v>
      </c>
      <c r="J229">
        <f t="shared" si="96"/>
        <v>0</v>
      </c>
      <c r="K229">
        <f t="shared" si="95"/>
        <v>0</v>
      </c>
      <c r="L229" s="144" t="b">
        <f t="shared" si="89"/>
        <v>0</v>
      </c>
      <c r="M229" s="144">
        <f t="shared" si="90"/>
        <v>0</v>
      </c>
    </row>
    <row r="230" spans="1:41">
      <c r="A230" s="1" t="s">
        <v>211</v>
      </c>
      <c r="B230" s="10" t="s">
        <v>188</v>
      </c>
      <c r="C230" s="1">
        <v>4</v>
      </c>
      <c r="D230" s="1">
        <v>0</v>
      </c>
      <c r="E230" s="18">
        <v>1</v>
      </c>
      <c r="F230" s="1">
        <v>1.4971942579605818E-6</v>
      </c>
      <c r="G230" s="1" t="s">
        <v>451</v>
      </c>
      <c r="I230">
        <f t="shared" si="94"/>
        <v>0</v>
      </c>
      <c r="J230">
        <f t="shared" si="96"/>
        <v>0</v>
      </c>
      <c r="K230">
        <f t="shared" si="95"/>
        <v>0</v>
      </c>
      <c r="L230" s="144" t="b">
        <f t="shared" si="89"/>
        <v>0</v>
      </c>
      <c r="M230" s="144">
        <f t="shared" si="90"/>
        <v>0</v>
      </c>
    </row>
    <row r="231" spans="1:41">
      <c r="A231" s="1" t="s">
        <v>218</v>
      </c>
      <c r="B231" s="10" t="s">
        <v>278</v>
      </c>
      <c r="C231" s="1">
        <v>4</v>
      </c>
      <c r="D231" s="1">
        <v>1</v>
      </c>
      <c r="E231" s="18">
        <v>7591</v>
      </c>
      <c r="F231" s="1">
        <v>1</v>
      </c>
      <c r="G231" s="1">
        <v>0</v>
      </c>
      <c r="H231" s="10"/>
      <c r="I231">
        <f t="shared" si="94"/>
        <v>1</v>
      </c>
      <c r="J231">
        <f t="shared" si="96"/>
        <v>1</v>
      </c>
      <c r="K231">
        <f t="shared" si="95"/>
        <v>1</v>
      </c>
      <c r="L231" s="144" t="b">
        <f t="shared" si="89"/>
        <v>1</v>
      </c>
      <c r="M231" s="144">
        <f t="shared" si="90"/>
        <v>3</v>
      </c>
    </row>
    <row r="232" spans="1:41">
      <c r="A232" s="1" t="s">
        <v>218</v>
      </c>
      <c r="B232" s="10" t="s">
        <v>283</v>
      </c>
      <c r="C232" s="1">
        <v>4</v>
      </c>
      <c r="D232" s="1">
        <v>1</v>
      </c>
      <c r="E232" s="18">
        <v>6086</v>
      </c>
      <c r="F232" s="1">
        <v>0.80173890133052295</v>
      </c>
      <c r="G232" s="1">
        <v>0</v>
      </c>
      <c r="I232">
        <f t="shared" si="94"/>
        <v>1</v>
      </c>
      <c r="J232">
        <f t="shared" si="96"/>
        <v>1</v>
      </c>
      <c r="K232">
        <f t="shared" si="95"/>
        <v>1</v>
      </c>
      <c r="L232" s="144" t="b">
        <f t="shared" si="89"/>
        <v>1</v>
      </c>
      <c r="M232" s="144">
        <f t="shared" si="90"/>
        <v>3</v>
      </c>
    </row>
    <row r="233" spans="1:41">
      <c r="A233" s="1" t="s">
        <v>218</v>
      </c>
      <c r="B233" s="10" t="s">
        <v>263</v>
      </c>
      <c r="C233" s="1">
        <v>4</v>
      </c>
      <c r="D233" s="1">
        <v>1</v>
      </c>
      <c r="E233" s="18" t="s">
        <v>443</v>
      </c>
      <c r="F233" s="1">
        <v>0.68186009748386245</v>
      </c>
      <c r="G233" s="1" t="s">
        <v>439</v>
      </c>
      <c r="I233">
        <f t="shared" si="94"/>
        <v>1</v>
      </c>
      <c r="J233">
        <f t="shared" si="96"/>
        <v>1</v>
      </c>
      <c r="K233">
        <f t="shared" si="95"/>
        <v>0</v>
      </c>
      <c r="L233" s="144" t="b">
        <f t="shared" si="89"/>
        <v>0</v>
      </c>
      <c r="M233" s="144">
        <f t="shared" si="90"/>
        <v>2</v>
      </c>
    </row>
    <row r="234" spans="1:41">
      <c r="A234" s="1" t="s">
        <v>218</v>
      </c>
      <c r="B234" s="10" t="s">
        <v>279</v>
      </c>
      <c r="C234" s="1">
        <v>4</v>
      </c>
      <c r="D234" s="1">
        <v>1</v>
      </c>
      <c r="E234" s="18">
        <v>4471</v>
      </c>
      <c r="F234" s="1">
        <v>0.58898695824002112</v>
      </c>
      <c r="G234" s="1">
        <v>0</v>
      </c>
      <c r="H234" s="10"/>
      <c r="I234">
        <f t="shared" si="94"/>
        <v>1</v>
      </c>
      <c r="J234">
        <f t="shared" si="96"/>
        <v>1</v>
      </c>
      <c r="K234">
        <f t="shared" si="95"/>
        <v>1</v>
      </c>
      <c r="L234" s="144" t="b">
        <f t="shared" si="89"/>
        <v>1</v>
      </c>
      <c r="M234" s="144">
        <f t="shared" si="90"/>
        <v>3</v>
      </c>
    </row>
    <row r="235" spans="1:41">
      <c r="A235" s="1" t="s">
        <v>218</v>
      </c>
      <c r="B235" s="10" t="s">
        <v>282</v>
      </c>
      <c r="C235" s="1">
        <v>4</v>
      </c>
      <c r="D235" s="1">
        <v>1</v>
      </c>
      <c r="E235" s="18">
        <v>3932</v>
      </c>
      <c r="F235" s="1">
        <v>0.51798182057699904</v>
      </c>
      <c r="G235" s="1">
        <v>0</v>
      </c>
      <c r="H235" s="10"/>
      <c r="I235">
        <f t="shared" si="94"/>
        <v>1</v>
      </c>
      <c r="J235">
        <f t="shared" si="96"/>
        <v>1</v>
      </c>
      <c r="K235">
        <f t="shared" si="95"/>
        <v>1</v>
      </c>
      <c r="L235" s="144" t="b">
        <f t="shared" si="89"/>
        <v>1</v>
      </c>
      <c r="M235" s="144">
        <f t="shared" si="90"/>
        <v>3</v>
      </c>
    </row>
    <row r="236" spans="1:41">
      <c r="A236" s="1" t="s">
        <v>218</v>
      </c>
      <c r="B236" s="10" t="s">
        <v>285</v>
      </c>
      <c r="C236" s="1">
        <v>4</v>
      </c>
      <c r="D236" s="1">
        <v>1</v>
      </c>
      <c r="E236" s="18">
        <v>1204</v>
      </c>
      <c r="F236" s="1">
        <v>0.15860887893558162</v>
      </c>
      <c r="G236" s="1">
        <v>0</v>
      </c>
      <c r="H236" s="10"/>
      <c r="I236">
        <f t="shared" si="94"/>
        <v>1</v>
      </c>
      <c r="J236">
        <f t="shared" si="96"/>
        <v>1</v>
      </c>
      <c r="K236">
        <f t="shared" si="95"/>
        <v>1</v>
      </c>
      <c r="L236" s="144" t="b">
        <f t="shared" si="89"/>
        <v>1</v>
      </c>
      <c r="M236" s="144">
        <f t="shared" si="90"/>
        <v>3</v>
      </c>
    </row>
    <row r="237" spans="1:41">
      <c r="A237" s="1" t="s">
        <v>218</v>
      </c>
      <c r="B237" s="8" t="s">
        <v>281</v>
      </c>
      <c r="C237" s="1">
        <v>4</v>
      </c>
      <c r="D237" s="1">
        <v>1</v>
      </c>
      <c r="E237" s="18">
        <v>840</v>
      </c>
      <c r="F237" s="1">
        <v>0.1106573573969174</v>
      </c>
      <c r="G237" s="1">
        <v>0</v>
      </c>
      <c r="I237">
        <f t="shared" si="94"/>
        <v>1</v>
      </c>
      <c r="J237">
        <f t="shared" si="96"/>
        <v>1</v>
      </c>
      <c r="K237">
        <f t="shared" si="95"/>
        <v>1</v>
      </c>
      <c r="L237" s="144" t="b">
        <f t="shared" si="89"/>
        <v>1</v>
      </c>
      <c r="M237" s="144">
        <f t="shared" si="90"/>
        <v>3</v>
      </c>
      <c r="AO237" s="17"/>
    </row>
    <row r="238" spans="1:41">
      <c r="A238" s="1" t="s">
        <v>218</v>
      </c>
      <c r="B238" s="8" t="s">
        <v>276</v>
      </c>
      <c r="C238" s="1">
        <v>4</v>
      </c>
      <c r="D238" s="1">
        <v>1</v>
      </c>
      <c r="E238" s="18">
        <v>805</v>
      </c>
      <c r="F238" s="1">
        <v>0.10604663417204585</v>
      </c>
      <c r="G238" s="1">
        <v>0</v>
      </c>
      <c r="H238" t="s">
        <v>268</v>
      </c>
      <c r="I238">
        <f t="shared" si="94"/>
        <v>1</v>
      </c>
      <c r="J238">
        <f t="shared" si="96"/>
        <v>1</v>
      </c>
      <c r="K238">
        <f t="shared" si="95"/>
        <v>1</v>
      </c>
      <c r="L238" s="144" t="b">
        <f t="shared" si="89"/>
        <v>1</v>
      </c>
      <c r="M238" s="144">
        <f t="shared" si="90"/>
        <v>3</v>
      </c>
      <c r="AO238" s="17"/>
    </row>
    <row r="239" spans="1:41">
      <c r="A239" s="1" t="s">
        <v>218</v>
      </c>
      <c r="B239" s="10" t="s">
        <v>286</v>
      </c>
      <c r="C239" s="1">
        <v>4</v>
      </c>
      <c r="D239" s="1">
        <v>1</v>
      </c>
      <c r="E239" s="18">
        <v>658</v>
      </c>
      <c r="F239" s="1">
        <v>8.6681596627585303E-2</v>
      </c>
      <c r="G239" s="1">
        <v>0</v>
      </c>
      <c r="I239">
        <f t="shared" si="94"/>
        <v>1</v>
      </c>
      <c r="J239">
        <f t="shared" si="96"/>
        <v>1</v>
      </c>
      <c r="K239">
        <f t="shared" si="95"/>
        <v>1</v>
      </c>
      <c r="L239" s="144" t="b">
        <f t="shared" si="89"/>
        <v>1</v>
      </c>
      <c r="M239" s="144">
        <f t="shared" si="90"/>
        <v>3</v>
      </c>
      <c r="AO239" s="17"/>
    </row>
    <row r="240" spans="1:41">
      <c r="A240" s="1" t="s">
        <v>218</v>
      </c>
      <c r="B240" s="8" t="s">
        <v>284</v>
      </c>
      <c r="C240" s="1">
        <v>4</v>
      </c>
      <c r="D240" s="1">
        <v>1</v>
      </c>
      <c r="E240" s="18">
        <v>243</v>
      </c>
      <c r="F240" s="1">
        <v>3.2011592675536819E-2</v>
      </c>
      <c r="G240" s="1">
        <v>0</v>
      </c>
      <c r="H240" t="s">
        <v>268</v>
      </c>
      <c r="I240">
        <f t="shared" si="94"/>
        <v>1</v>
      </c>
      <c r="J240">
        <f t="shared" si="96"/>
        <v>0</v>
      </c>
      <c r="K240">
        <f t="shared" si="95"/>
        <v>1</v>
      </c>
      <c r="L240" s="144" t="b">
        <f t="shared" si="89"/>
        <v>1</v>
      </c>
      <c r="M240" s="144">
        <f t="shared" si="90"/>
        <v>2</v>
      </c>
    </row>
    <row r="241" spans="1:41">
      <c r="A241" s="1" t="s">
        <v>218</v>
      </c>
      <c r="B241" s="8" t="s">
        <v>287</v>
      </c>
      <c r="C241" s="1">
        <v>4</v>
      </c>
      <c r="D241" s="1">
        <v>1</v>
      </c>
      <c r="E241" s="18">
        <v>165</v>
      </c>
      <c r="F241" s="1">
        <v>2.1736266631537347E-2</v>
      </c>
      <c r="G241" s="1">
        <v>0</v>
      </c>
      <c r="H241" t="s">
        <v>268</v>
      </c>
      <c r="I241">
        <f t="shared" si="94"/>
        <v>1</v>
      </c>
      <c r="J241">
        <f t="shared" si="96"/>
        <v>0</v>
      </c>
      <c r="K241">
        <f t="shared" si="95"/>
        <v>1</v>
      </c>
      <c r="L241" s="144" t="b">
        <f t="shared" si="89"/>
        <v>1</v>
      </c>
      <c r="M241" s="144">
        <f t="shared" si="90"/>
        <v>2</v>
      </c>
      <c r="AO241" s="17"/>
    </row>
    <row r="242" spans="1:41">
      <c r="A242" s="1" t="s">
        <v>218</v>
      </c>
      <c r="B242" s="10" t="s">
        <v>277</v>
      </c>
      <c r="C242" s="1">
        <v>4</v>
      </c>
      <c r="D242" s="1">
        <v>1</v>
      </c>
      <c r="E242" s="18">
        <v>126</v>
      </c>
      <c r="F242" s="1">
        <v>1.6598603609537611E-2</v>
      </c>
      <c r="G242" s="1">
        <v>0</v>
      </c>
      <c r="H242" s="10" t="s">
        <v>270</v>
      </c>
      <c r="I242">
        <f t="shared" si="94"/>
        <v>1</v>
      </c>
      <c r="J242">
        <f t="shared" si="96"/>
        <v>0</v>
      </c>
      <c r="K242">
        <f t="shared" si="95"/>
        <v>1</v>
      </c>
      <c r="L242" s="144" t="b">
        <f t="shared" si="89"/>
        <v>1</v>
      </c>
      <c r="M242" s="144">
        <f t="shared" si="90"/>
        <v>2</v>
      </c>
    </row>
    <row r="243" spans="1:41" ht="31.5">
      <c r="A243" s="1" t="s">
        <v>218</v>
      </c>
      <c r="B243" s="10" t="s">
        <v>288</v>
      </c>
      <c r="C243" s="1">
        <v>4</v>
      </c>
      <c r="D243" s="1">
        <v>1</v>
      </c>
      <c r="E243" s="18">
        <v>44</v>
      </c>
      <c r="F243" s="1">
        <v>5.7963377684099593E-3</v>
      </c>
      <c r="G243" s="1">
        <v>0</v>
      </c>
      <c r="H243" s="10" t="s">
        <v>270</v>
      </c>
      <c r="I243">
        <f t="shared" si="94"/>
        <v>1</v>
      </c>
      <c r="J243">
        <f t="shared" si="96"/>
        <v>0</v>
      </c>
      <c r="K243">
        <f t="shared" si="95"/>
        <v>1</v>
      </c>
      <c r="L243" s="144" t="b">
        <f t="shared" si="89"/>
        <v>1</v>
      </c>
      <c r="M243" s="144">
        <f t="shared" si="90"/>
        <v>2</v>
      </c>
    </row>
    <row r="244" spans="1:41">
      <c r="A244" s="1" t="s">
        <v>218</v>
      </c>
      <c r="B244" s="10" t="s">
        <v>267</v>
      </c>
      <c r="C244" s="1">
        <v>4</v>
      </c>
      <c r="D244" s="1">
        <v>1</v>
      </c>
      <c r="E244" s="18">
        <v>43</v>
      </c>
      <c r="F244" s="1">
        <v>5.6646028191279143E-3</v>
      </c>
      <c r="G244" s="1">
        <v>0</v>
      </c>
      <c r="H244" s="10" t="s">
        <v>268</v>
      </c>
      <c r="I244">
        <f t="shared" si="94"/>
        <v>1</v>
      </c>
      <c r="J244">
        <f t="shared" si="96"/>
        <v>0</v>
      </c>
      <c r="K244">
        <f t="shared" si="95"/>
        <v>1</v>
      </c>
      <c r="L244" s="144" t="b">
        <f t="shared" si="89"/>
        <v>1</v>
      </c>
      <c r="M244" s="144">
        <f t="shared" si="90"/>
        <v>2</v>
      </c>
    </row>
    <row r="245" spans="1:41">
      <c r="A245" s="1" t="s">
        <v>218</v>
      </c>
      <c r="B245" s="10" t="s">
        <v>280</v>
      </c>
      <c r="C245" s="1">
        <v>4</v>
      </c>
      <c r="D245" s="1">
        <v>1</v>
      </c>
      <c r="E245" s="18">
        <v>38</v>
      </c>
      <c r="F245" s="1">
        <v>5.0059280727176919E-3</v>
      </c>
      <c r="G245" s="1">
        <v>0</v>
      </c>
      <c r="H245" s="10"/>
      <c r="I245">
        <f t="shared" si="94"/>
        <v>1</v>
      </c>
      <c r="J245">
        <f t="shared" si="96"/>
        <v>0</v>
      </c>
      <c r="K245">
        <f t="shared" si="95"/>
        <v>1</v>
      </c>
      <c r="L245" s="144" t="b">
        <f t="shared" si="89"/>
        <v>1</v>
      </c>
      <c r="M245" s="144">
        <f t="shared" si="90"/>
        <v>2</v>
      </c>
    </row>
    <row r="246" spans="1:41">
      <c r="A246" s="1" t="s">
        <v>218</v>
      </c>
      <c r="B246" s="8" t="s">
        <v>269</v>
      </c>
      <c r="C246" s="1">
        <v>4</v>
      </c>
      <c r="D246" s="1">
        <v>1</v>
      </c>
      <c r="E246" s="18">
        <v>28</v>
      </c>
      <c r="F246" s="1">
        <v>3.6885785798972466E-3</v>
      </c>
      <c r="G246" s="1">
        <v>0</v>
      </c>
      <c r="H246" t="s">
        <v>270</v>
      </c>
      <c r="I246">
        <f t="shared" si="94"/>
        <v>1</v>
      </c>
      <c r="J246">
        <f t="shared" si="96"/>
        <v>0</v>
      </c>
      <c r="K246">
        <f t="shared" si="95"/>
        <v>1</v>
      </c>
      <c r="L246" s="144" t="b">
        <f t="shared" si="89"/>
        <v>1</v>
      </c>
      <c r="M246" s="144">
        <f t="shared" si="90"/>
        <v>2</v>
      </c>
    </row>
    <row r="247" spans="1:41">
      <c r="A247" s="1" t="s">
        <v>218</v>
      </c>
      <c r="B247" s="10" t="s">
        <v>273</v>
      </c>
      <c r="C247" s="1">
        <v>4</v>
      </c>
      <c r="D247" s="1">
        <v>1</v>
      </c>
      <c r="E247" s="18">
        <v>3</v>
      </c>
      <c r="F247" s="1">
        <v>3.952048478461336E-4</v>
      </c>
      <c r="G247" s="1" t="s">
        <v>451</v>
      </c>
      <c r="H247" t="s">
        <v>272</v>
      </c>
      <c r="I247">
        <f t="shared" si="94"/>
        <v>1</v>
      </c>
      <c r="J247">
        <f t="shared" si="96"/>
        <v>0</v>
      </c>
      <c r="K247">
        <f t="shared" si="95"/>
        <v>0</v>
      </c>
      <c r="L247" s="144" t="b">
        <f t="shared" si="89"/>
        <v>0</v>
      </c>
      <c r="M247" s="144">
        <f t="shared" si="90"/>
        <v>1</v>
      </c>
    </row>
    <row r="248" spans="1:41" ht="31.5">
      <c r="A248" s="1" t="s">
        <v>218</v>
      </c>
      <c r="B248" s="10" t="s">
        <v>274</v>
      </c>
      <c r="C248" s="1">
        <v>4</v>
      </c>
      <c r="D248" s="1">
        <v>1</v>
      </c>
      <c r="E248" s="18">
        <v>3</v>
      </c>
      <c r="F248" s="1">
        <v>3.952048478461336E-4</v>
      </c>
      <c r="G248" s="1" t="s">
        <v>451</v>
      </c>
      <c r="H248" t="s">
        <v>272</v>
      </c>
      <c r="I248">
        <f t="shared" si="94"/>
        <v>1</v>
      </c>
      <c r="J248">
        <f t="shared" si="96"/>
        <v>0</v>
      </c>
      <c r="K248">
        <f t="shared" si="95"/>
        <v>0</v>
      </c>
      <c r="L248" s="144" t="b">
        <f t="shared" si="89"/>
        <v>0</v>
      </c>
      <c r="M248" s="144">
        <f t="shared" si="90"/>
        <v>1</v>
      </c>
    </row>
    <row r="249" spans="1:41">
      <c r="A249" s="1" t="s">
        <v>218</v>
      </c>
      <c r="B249" s="10" t="s">
        <v>271</v>
      </c>
      <c r="C249" s="1">
        <v>4</v>
      </c>
      <c r="D249" s="1">
        <v>1</v>
      </c>
      <c r="E249" s="18">
        <v>2</v>
      </c>
      <c r="F249" s="1">
        <v>2.6346989856408903E-4</v>
      </c>
      <c r="G249" s="1" t="s">
        <v>451</v>
      </c>
      <c r="H249" t="s">
        <v>272</v>
      </c>
      <c r="I249">
        <f t="shared" si="94"/>
        <v>1</v>
      </c>
      <c r="J249">
        <f t="shared" si="96"/>
        <v>0</v>
      </c>
      <c r="K249">
        <f t="shared" si="95"/>
        <v>0</v>
      </c>
      <c r="L249" s="144" t="b">
        <f t="shared" si="89"/>
        <v>0</v>
      </c>
      <c r="M249" s="144">
        <f t="shared" si="90"/>
        <v>1</v>
      </c>
    </row>
    <row r="250" spans="1:41">
      <c r="A250" s="1" t="s">
        <v>218</v>
      </c>
      <c r="B250" s="10" t="s">
        <v>292</v>
      </c>
      <c r="C250" s="1">
        <v>4</v>
      </c>
      <c r="D250" s="1">
        <v>0</v>
      </c>
      <c r="E250" s="18">
        <v>2</v>
      </c>
      <c r="F250" s="1">
        <v>2.6346989856408903E-4</v>
      </c>
      <c r="G250" s="1" t="s">
        <v>451</v>
      </c>
      <c r="H250" s="10"/>
      <c r="I250">
        <f t="shared" si="94"/>
        <v>1</v>
      </c>
      <c r="J250">
        <f t="shared" si="96"/>
        <v>0</v>
      </c>
      <c r="K250">
        <f t="shared" si="95"/>
        <v>0</v>
      </c>
      <c r="L250" s="144" t="b">
        <f t="shared" si="89"/>
        <v>0</v>
      </c>
      <c r="M250" s="144">
        <f t="shared" si="90"/>
        <v>1</v>
      </c>
      <c r="AO250" s="17"/>
    </row>
    <row r="251" spans="1:41">
      <c r="A251" s="1" t="s">
        <v>218</v>
      </c>
      <c r="B251" s="10" t="s">
        <v>275</v>
      </c>
      <c r="C251" s="1">
        <v>4</v>
      </c>
      <c r="D251" s="1">
        <v>1</v>
      </c>
      <c r="E251" s="18">
        <v>1</v>
      </c>
      <c r="F251" s="1">
        <v>1.3173494928204451E-4</v>
      </c>
      <c r="G251" s="1" t="s">
        <v>451</v>
      </c>
      <c r="H251" s="10" t="s">
        <v>270</v>
      </c>
      <c r="I251">
        <f t="shared" ref="I251:I282" si="97">IF(F251&gt;$U$3,1,0)</f>
        <v>1</v>
      </c>
      <c r="J251">
        <f t="shared" si="96"/>
        <v>0</v>
      </c>
      <c r="K251">
        <f t="shared" ref="K251:K282" si="98">IF(G251&gt;$AI$75,0,1)</f>
        <v>0</v>
      </c>
      <c r="L251" s="144" t="b">
        <f t="shared" si="89"/>
        <v>0</v>
      </c>
      <c r="M251" s="144">
        <f t="shared" si="90"/>
        <v>1</v>
      </c>
      <c r="AO251" s="17"/>
    </row>
    <row r="252" spans="1:41">
      <c r="A252" s="1" t="s">
        <v>218</v>
      </c>
      <c r="B252" s="10" t="s">
        <v>291</v>
      </c>
      <c r="C252" s="1">
        <v>4</v>
      </c>
      <c r="D252" s="1">
        <v>1</v>
      </c>
      <c r="E252" s="18">
        <v>1</v>
      </c>
      <c r="F252" s="1">
        <v>1.3173494928204451E-4</v>
      </c>
      <c r="G252" s="1" t="s">
        <v>451</v>
      </c>
      <c r="H252" s="10" t="s">
        <v>272</v>
      </c>
      <c r="I252">
        <f t="shared" si="97"/>
        <v>1</v>
      </c>
      <c r="J252">
        <f t="shared" si="96"/>
        <v>0</v>
      </c>
      <c r="K252">
        <f t="shared" si="98"/>
        <v>0</v>
      </c>
      <c r="L252" s="144" t="b">
        <f t="shared" si="89"/>
        <v>0</v>
      </c>
      <c r="M252" s="144">
        <f t="shared" si="90"/>
        <v>1</v>
      </c>
      <c r="AO252" s="17"/>
    </row>
    <row r="253" spans="1:41">
      <c r="A253" s="1" t="s">
        <v>217</v>
      </c>
      <c r="B253" s="8" t="s">
        <v>278</v>
      </c>
      <c r="C253" s="1">
        <v>4</v>
      </c>
      <c r="D253" s="1">
        <v>0</v>
      </c>
      <c r="E253" s="18">
        <v>336</v>
      </c>
      <c r="F253" s="1">
        <v>6.7200000000000003E-3</v>
      </c>
      <c r="G253" s="1">
        <v>83.33</v>
      </c>
      <c r="I253">
        <f t="shared" ref="I253:I275" si="99">IF(F253&gt;$U$3,1,0)</f>
        <v>1</v>
      </c>
      <c r="J253">
        <f t="shared" si="96"/>
        <v>0</v>
      </c>
      <c r="K253">
        <f t="shared" si="98"/>
        <v>1</v>
      </c>
      <c r="L253" s="144" t="b">
        <f t="shared" si="89"/>
        <v>1</v>
      </c>
      <c r="M253" s="144">
        <f t="shared" si="90"/>
        <v>2</v>
      </c>
    </row>
    <row r="254" spans="1:41">
      <c r="A254" s="1" t="s">
        <v>217</v>
      </c>
      <c r="B254" s="8" t="s">
        <v>263</v>
      </c>
      <c r="C254" s="1">
        <v>4</v>
      </c>
      <c r="D254" s="1">
        <v>0</v>
      </c>
      <c r="E254" s="18">
        <v>178</v>
      </c>
      <c r="F254" s="1">
        <v>3.5599999999999998E-3</v>
      </c>
      <c r="G254" s="1">
        <v>90.08</v>
      </c>
      <c r="I254">
        <f t="shared" si="99"/>
        <v>1</v>
      </c>
      <c r="J254">
        <f t="shared" si="96"/>
        <v>0</v>
      </c>
      <c r="K254">
        <f t="shared" si="98"/>
        <v>1</v>
      </c>
      <c r="L254" s="144" t="b">
        <f t="shared" si="89"/>
        <v>1</v>
      </c>
      <c r="M254" s="144">
        <f t="shared" si="90"/>
        <v>2</v>
      </c>
    </row>
    <row r="255" spans="1:41">
      <c r="A255" s="1" t="s">
        <v>217</v>
      </c>
      <c r="B255" s="8" t="s">
        <v>95</v>
      </c>
      <c r="C255" s="1">
        <v>4</v>
      </c>
      <c r="D255" s="1">
        <v>0</v>
      </c>
      <c r="E255" s="18">
        <v>14</v>
      </c>
      <c r="F255" s="1">
        <v>2.7999999999999998E-4</v>
      </c>
      <c r="G255" s="1">
        <v>31.25</v>
      </c>
      <c r="I255">
        <f t="shared" si="99"/>
        <v>1</v>
      </c>
      <c r="J255">
        <f t="shared" si="96"/>
        <v>0</v>
      </c>
      <c r="K255">
        <f t="shared" si="98"/>
        <v>1</v>
      </c>
      <c r="L255" s="144" t="b">
        <f t="shared" si="89"/>
        <v>1</v>
      </c>
      <c r="M255" s="144">
        <f t="shared" si="90"/>
        <v>2</v>
      </c>
    </row>
    <row r="256" spans="1:41">
      <c r="A256" s="1" t="s">
        <v>217</v>
      </c>
      <c r="B256" s="8" t="s">
        <v>265</v>
      </c>
      <c r="C256" s="1">
        <v>4</v>
      </c>
      <c r="D256" s="1">
        <v>0</v>
      </c>
      <c r="E256" s="18">
        <v>6</v>
      </c>
      <c r="F256" s="1">
        <v>1.2E-4</v>
      </c>
      <c r="G256" s="1">
        <v>83.33</v>
      </c>
      <c r="I256">
        <f t="shared" si="99"/>
        <v>1</v>
      </c>
      <c r="J256">
        <f t="shared" si="96"/>
        <v>0</v>
      </c>
      <c r="K256">
        <f t="shared" si="98"/>
        <v>1</v>
      </c>
      <c r="L256" s="144" t="b">
        <f t="shared" si="89"/>
        <v>1</v>
      </c>
      <c r="M256" s="144">
        <f t="shared" si="90"/>
        <v>2</v>
      </c>
    </row>
    <row r="257" spans="1:41">
      <c r="A257" s="1" t="s">
        <v>217</v>
      </c>
      <c r="B257" s="8" t="s">
        <v>264</v>
      </c>
      <c r="C257" s="1">
        <v>4</v>
      </c>
      <c r="D257" s="1">
        <v>0</v>
      </c>
      <c r="E257" s="18">
        <v>9</v>
      </c>
      <c r="F257" s="1">
        <v>1.8000000000000001E-4</v>
      </c>
      <c r="G257" s="1">
        <v>88.89</v>
      </c>
      <c r="I257">
        <f t="shared" si="99"/>
        <v>1</v>
      </c>
      <c r="J257">
        <f t="shared" si="96"/>
        <v>0</v>
      </c>
      <c r="K257">
        <f t="shared" si="98"/>
        <v>1</v>
      </c>
      <c r="L257" s="144" t="b">
        <f t="shared" si="89"/>
        <v>1</v>
      </c>
      <c r="M257" s="144">
        <f t="shared" si="90"/>
        <v>2</v>
      </c>
    </row>
    <row r="258" spans="1:41">
      <c r="A258" s="1" t="s">
        <v>217</v>
      </c>
      <c r="B258" s="10" t="s">
        <v>283</v>
      </c>
      <c r="C258" s="1">
        <v>4</v>
      </c>
      <c r="D258" s="1">
        <v>1</v>
      </c>
      <c r="E258" s="18">
        <v>3704</v>
      </c>
      <c r="F258" s="1">
        <v>7.4079999999999993E-2</v>
      </c>
      <c r="G258" s="1">
        <v>0</v>
      </c>
      <c r="I258">
        <f t="shared" si="99"/>
        <v>1</v>
      </c>
      <c r="J258">
        <f t="shared" si="96"/>
        <v>1</v>
      </c>
      <c r="K258">
        <f t="shared" si="98"/>
        <v>1</v>
      </c>
      <c r="L258" s="144" t="b">
        <f t="shared" si="89"/>
        <v>1</v>
      </c>
      <c r="M258" s="144">
        <f t="shared" si="90"/>
        <v>3</v>
      </c>
    </row>
    <row r="259" spans="1:41">
      <c r="A259" s="1" t="s">
        <v>217</v>
      </c>
      <c r="B259" s="8" t="s">
        <v>277</v>
      </c>
      <c r="C259" s="1">
        <v>4</v>
      </c>
      <c r="D259" s="1">
        <v>1</v>
      </c>
      <c r="E259" s="18">
        <v>283</v>
      </c>
      <c r="F259" s="1">
        <v>5.6600000000000001E-3</v>
      </c>
      <c r="G259" s="1">
        <v>0</v>
      </c>
      <c r="H259" t="s">
        <v>270</v>
      </c>
      <c r="I259">
        <f t="shared" si="99"/>
        <v>1</v>
      </c>
      <c r="J259">
        <f t="shared" si="96"/>
        <v>0</v>
      </c>
      <c r="K259">
        <f t="shared" si="98"/>
        <v>1</v>
      </c>
      <c r="L259" s="144" t="b">
        <f t="shared" ref="L259:L322" si="100">ISNUMBER(G259)</f>
        <v>1</v>
      </c>
      <c r="M259" s="144">
        <f t="shared" ref="M259:M322" si="101">I259+J259+K259</f>
        <v>2</v>
      </c>
    </row>
    <row r="260" spans="1:41">
      <c r="A260" s="1" t="s">
        <v>217</v>
      </c>
      <c r="B260" s="8" t="s">
        <v>273</v>
      </c>
      <c r="C260" s="1">
        <v>4</v>
      </c>
      <c r="D260" s="1">
        <v>1</v>
      </c>
      <c r="E260" s="18">
        <v>28</v>
      </c>
      <c r="F260" s="1">
        <v>5.5999999999999995E-4</v>
      </c>
      <c r="G260" s="1">
        <v>0</v>
      </c>
      <c r="H260" t="s">
        <v>272</v>
      </c>
      <c r="I260">
        <f t="shared" si="99"/>
        <v>1</v>
      </c>
      <c r="J260">
        <f t="shared" si="96"/>
        <v>0</v>
      </c>
      <c r="K260">
        <f t="shared" si="98"/>
        <v>1</v>
      </c>
      <c r="L260" s="144" t="b">
        <f t="shared" si="100"/>
        <v>1</v>
      </c>
      <c r="M260" s="144">
        <f t="shared" si="101"/>
        <v>2</v>
      </c>
    </row>
    <row r="261" spans="1:41">
      <c r="A261" s="1" t="s">
        <v>217</v>
      </c>
      <c r="B261" s="8" t="s">
        <v>276</v>
      </c>
      <c r="C261" s="1">
        <v>4</v>
      </c>
      <c r="D261" s="1">
        <v>1</v>
      </c>
      <c r="E261" s="18">
        <v>678</v>
      </c>
      <c r="F261" s="1">
        <v>1.3559999999999999E-2</v>
      </c>
      <c r="G261" s="1">
        <v>0</v>
      </c>
      <c r="H261" t="s">
        <v>268</v>
      </c>
      <c r="I261">
        <f t="shared" si="99"/>
        <v>1</v>
      </c>
      <c r="J261">
        <f t="shared" si="96"/>
        <v>1</v>
      </c>
      <c r="K261">
        <f t="shared" si="98"/>
        <v>1</v>
      </c>
      <c r="L261" s="144" t="b">
        <f t="shared" si="100"/>
        <v>1</v>
      </c>
      <c r="M261" s="144">
        <f t="shared" si="101"/>
        <v>3</v>
      </c>
    </row>
    <row r="262" spans="1:41" ht="17.25" customHeight="1">
      <c r="A262" s="1" t="s">
        <v>217</v>
      </c>
      <c r="B262" s="8" t="s">
        <v>281</v>
      </c>
      <c r="C262" s="1">
        <v>4</v>
      </c>
      <c r="D262" s="1">
        <v>1</v>
      </c>
      <c r="E262" s="18">
        <v>7654</v>
      </c>
      <c r="F262" s="1">
        <v>0.15307999999999999</v>
      </c>
      <c r="G262" s="1">
        <v>2.76</v>
      </c>
      <c r="I262">
        <f t="shared" si="99"/>
        <v>1</v>
      </c>
      <c r="J262">
        <f t="shared" si="96"/>
        <v>1</v>
      </c>
      <c r="K262">
        <f t="shared" si="98"/>
        <v>1</v>
      </c>
      <c r="L262" s="144" t="b">
        <f t="shared" si="100"/>
        <v>1</v>
      </c>
      <c r="M262" s="144">
        <f t="shared" si="101"/>
        <v>3</v>
      </c>
    </row>
    <row r="263" spans="1:41">
      <c r="A263" s="1" t="s">
        <v>217</v>
      </c>
      <c r="B263" s="8" t="s">
        <v>269</v>
      </c>
      <c r="C263" s="1">
        <v>4</v>
      </c>
      <c r="D263" s="1">
        <v>1</v>
      </c>
      <c r="E263" s="18">
        <v>150</v>
      </c>
      <c r="F263" s="1">
        <v>3.0000000000000001E-3</v>
      </c>
      <c r="G263" s="1">
        <v>0.47</v>
      </c>
      <c r="H263" t="s">
        <v>270</v>
      </c>
      <c r="I263">
        <f t="shared" si="99"/>
        <v>1</v>
      </c>
      <c r="J263">
        <f t="shared" si="96"/>
        <v>0</v>
      </c>
      <c r="K263">
        <f t="shared" si="98"/>
        <v>1</v>
      </c>
      <c r="L263" s="144" t="b">
        <f t="shared" si="100"/>
        <v>1</v>
      </c>
      <c r="M263" s="144">
        <f t="shared" si="101"/>
        <v>2</v>
      </c>
    </row>
    <row r="264" spans="1:41">
      <c r="A264" s="1" t="s">
        <v>217</v>
      </c>
      <c r="B264" s="8" t="s">
        <v>271</v>
      </c>
      <c r="C264" s="1">
        <v>4</v>
      </c>
      <c r="D264" s="1">
        <v>1</v>
      </c>
      <c r="E264" s="18">
        <v>68</v>
      </c>
      <c r="F264" s="1">
        <v>1.3600000000000001E-3</v>
      </c>
      <c r="G264" s="1">
        <v>0</v>
      </c>
      <c r="H264" t="s">
        <v>272</v>
      </c>
      <c r="I264">
        <f t="shared" si="99"/>
        <v>1</v>
      </c>
      <c r="J264">
        <f t="shared" si="96"/>
        <v>0</v>
      </c>
      <c r="K264">
        <f t="shared" si="98"/>
        <v>1</v>
      </c>
      <c r="L264" s="144" t="b">
        <f t="shared" si="100"/>
        <v>1</v>
      </c>
      <c r="M264" s="144">
        <f t="shared" si="101"/>
        <v>2</v>
      </c>
    </row>
    <row r="265" spans="1:41">
      <c r="A265" s="1" t="s">
        <v>217</v>
      </c>
      <c r="B265" s="10" t="s">
        <v>284</v>
      </c>
      <c r="C265" s="1">
        <v>4</v>
      </c>
      <c r="D265" s="1">
        <v>1</v>
      </c>
      <c r="E265" s="18">
        <v>2253</v>
      </c>
      <c r="F265" s="1">
        <v>4.5060000000000003E-2</v>
      </c>
      <c r="G265" s="1">
        <v>0</v>
      </c>
      <c r="H265" s="10" t="s">
        <v>268</v>
      </c>
      <c r="I265">
        <f t="shared" si="99"/>
        <v>1</v>
      </c>
      <c r="J265">
        <f t="shared" si="96"/>
        <v>1</v>
      </c>
      <c r="K265">
        <f t="shared" si="98"/>
        <v>1</v>
      </c>
      <c r="L265" s="144" t="b">
        <f t="shared" si="100"/>
        <v>1</v>
      </c>
      <c r="M265" s="144">
        <f t="shared" si="101"/>
        <v>3</v>
      </c>
      <c r="AO265" s="17"/>
    </row>
    <row r="266" spans="1:41">
      <c r="A266" s="1" t="s">
        <v>217</v>
      </c>
      <c r="B266" s="8" t="s">
        <v>275</v>
      </c>
      <c r="C266" s="1">
        <v>4</v>
      </c>
      <c r="D266" s="1">
        <v>1</v>
      </c>
      <c r="E266" s="18">
        <v>11</v>
      </c>
      <c r="F266" s="1">
        <v>2.2000000000000001E-4</v>
      </c>
      <c r="G266" s="1">
        <v>0</v>
      </c>
      <c r="H266" t="s">
        <v>270</v>
      </c>
      <c r="I266">
        <f t="shared" si="99"/>
        <v>1</v>
      </c>
      <c r="J266">
        <f t="shared" si="96"/>
        <v>0</v>
      </c>
      <c r="K266">
        <f t="shared" si="98"/>
        <v>1</v>
      </c>
      <c r="L266" s="144" t="b">
        <f t="shared" si="100"/>
        <v>1</v>
      </c>
      <c r="M266" s="144">
        <f t="shared" si="101"/>
        <v>2</v>
      </c>
      <c r="AO266" s="17"/>
    </row>
    <row r="267" spans="1:41">
      <c r="A267" s="1" t="s">
        <v>217</v>
      </c>
      <c r="B267" s="8" t="s">
        <v>267</v>
      </c>
      <c r="C267" s="1">
        <v>4</v>
      </c>
      <c r="D267" s="1">
        <v>1</v>
      </c>
      <c r="E267" s="18">
        <v>152</v>
      </c>
      <c r="F267" s="1">
        <v>3.0400000000000002E-3</v>
      </c>
      <c r="G267" s="1">
        <v>0</v>
      </c>
      <c r="H267" t="s">
        <v>268</v>
      </c>
      <c r="I267">
        <f t="shared" si="99"/>
        <v>1</v>
      </c>
      <c r="J267">
        <f t="shared" si="96"/>
        <v>0</v>
      </c>
      <c r="K267">
        <f t="shared" si="98"/>
        <v>1</v>
      </c>
      <c r="L267" s="144" t="b">
        <f t="shared" si="100"/>
        <v>1</v>
      </c>
      <c r="M267" s="144">
        <f t="shared" si="101"/>
        <v>2</v>
      </c>
      <c r="AO267" s="17"/>
    </row>
    <row r="268" spans="1:41">
      <c r="A268" s="1" t="s">
        <v>217</v>
      </c>
      <c r="B268" s="10" t="s">
        <v>285</v>
      </c>
      <c r="C268" s="1">
        <v>4</v>
      </c>
      <c r="D268" s="1">
        <v>1</v>
      </c>
      <c r="E268" s="18">
        <v>2047</v>
      </c>
      <c r="F268" s="1">
        <v>4.0939999999999997E-2</v>
      </c>
      <c r="G268" s="1">
        <v>5.3</v>
      </c>
      <c r="H268" s="10"/>
      <c r="I268">
        <f t="shared" si="99"/>
        <v>1</v>
      </c>
      <c r="J268">
        <f t="shared" si="96"/>
        <v>1</v>
      </c>
      <c r="K268">
        <f t="shared" si="98"/>
        <v>1</v>
      </c>
      <c r="L268" s="144" t="b">
        <f t="shared" si="100"/>
        <v>1</v>
      </c>
      <c r="M268" s="144">
        <f t="shared" si="101"/>
        <v>3</v>
      </c>
      <c r="AO268" s="17"/>
    </row>
    <row r="269" spans="1:41">
      <c r="A269" s="1" t="s">
        <v>217</v>
      </c>
      <c r="B269" s="10" t="s">
        <v>282</v>
      </c>
      <c r="C269" s="1">
        <v>4</v>
      </c>
      <c r="D269" s="1">
        <v>1</v>
      </c>
      <c r="E269" s="18">
        <v>3788</v>
      </c>
      <c r="F269" s="1">
        <v>7.5759999999999994E-2</v>
      </c>
      <c r="G269" s="1">
        <v>60.43</v>
      </c>
      <c r="I269">
        <f t="shared" si="99"/>
        <v>1</v>
      </c>
      <c r="J269">
        <f t="shared" si="96"/>
        <v>1</v>
      </c>
      <c r="K269">
        <f t="shared" si="98"/>
        <v>1</v>
      </c>
      <c r="L269" s="144" t="b">
        <f t="shared" si="100"/>
        <v>1</v>
      </c>
      <c r="M269" s="144">
        <f t="shared" si="101"/>
        <v>3</v>
      </c>
      <c r="AO269" s="17"/>
    </row>
    <row r="270" spans="1:41">
      <c r="A270" s="1" t="s">
        <v>217</v>
      </c>
      <c r="B270" s="8" t="s">
        <v>280</v>
      </c>
      <c r="C270" s="1">
        <v>4</v>
      </c>
      <c r="D270" s="1">
        <v>1</v>
      </c>
      <c r="E270" s="18">
        <v>47181</v>
      </c>
      <c r="F270" s="1">
        <v>0.94362000000000001</v>
      </c>
      <c r="G270" s="1">
        <v>35.61</v>
      </c>
      <c r="I270">
        <f t="shared" si="99"/>
        <v>1</v>
      </c>
      <c r="J270">
        <f t="shared" si="96"/>
        <v>1</v>
      </c>
      <c r="K270">
        <f t="shared" si="98"/>
        <v>1</v>
      </c>
      <c r="L270" s="144" t="b">
        <f t="shared" si="100"/>
        <v>1</v>
      </c>
      <c r="M270" s="144">
        <f t="shared" si="101"/>
        <v>3</v>
      </c>
      <c r="AO270" s="17"/>
    </row>
    <row r="271" spans="1:41">
      <c r="A271" s="1" t="s">
        <v>217</v>
      </c>
      <c r="B271" s="10" t="s">
        <v>286</v>
      </c>
      <c r="C271" s="1">
        <v>4</v>
      </c>
      <c r="D271" s="1">
        <v>1</v>
      </c>
      <c r="E271" s="18">
        <v>1756</v>
      </c>
      <c r="F271" s="1">
        <v>3.5119999999999998E-2</v>
      </c>
      <c r="G271" s="1">
        <v>0.12</v>
      </c>
      <c r="I271">
        <f t="shared" si="99"/>
        <v>1</v>
      </c>
      <c r="J271">
        <f t="shared" si="96"/>
        <v>1</v>
      </c>
      <c r="K271">
        <f t="shared" si="98"/>
        <v>1</v>
      </c>
      <c r="L271" s="144" t="b">
        <f t="shared" si="100"/>
        <v>1</v>
      </c>
      <c r="M271" s="144">
        <f t="shared" si="101"/>
        <v>3</v>
      </c>
      <c r="AO271" s="16"/>
    </row>
    <row r="272" spans="1:41" ht="31.5">
      <c r="A272" s="1" t="s">
        <v>217</v>
      </c>
      <c r="B272" s="10" t="s">
        <v>288</v>
      </c>
      <c r="C272" s="1">
        <v>4</v>
      </c>
      <c r="D272" s="1">
        <v>1</v>
      </c>
      <c r="E272" s="18">
        <v>300</v>
      </c>
      <c r="F272" s="1">
        <v>6.0000000000000001E-3</v>
      </c>
      <c r="G272" s="1">
        <v>0.26</v>
      </c>
      <c r="H272" s="10" t="s">
        <v>270</v>
      </c>
      <c r="I272">
        <f t="shared" si="99"/>
        <v>1</v>
      </c>
      <c r="J272">
        <f t="shared" si="96"/>
        <v>0</v>
      </c>
      <c r="K272">
        <f t="shared" si="98"/>
        <v>1</v>
      </c>
      <c r="L272" s="144" t="b">
        <f t="shared" si="100"/>
        <v>1</v>
      </c>
      <c r="M272" s="144">
        <f t="shared" si="101"/>
        <v>2</v>
      </c>
      <c r="AO272" s="16"/>
    </row>
    <row r="273" spans="1:41">
      <c r="A273" s="1" t="s">
        <v>217</v>
      </c>
      <c r="B273" s="8" t="s">
        <v>274</v>
      </c>
      <c r="C273" s="1">
        <v>4</v>
      </c>
      <c r="D273" s="1">
        <v>1</v>
      </c>
      <c r="E273" s="18">
        <v>20</v>
      </c>
      <c r="F273" s="1">
        <v>4.0000000000000002E-4</v>
      </c>
      <c r="G273" s="1">
        <v>0</v>
      </c>
      <c r="H273" t="s">
        <v>272</v>
      </c>
      <c r="I273">
        <f t="shared" si="99"/>
        <v>1</v>
      </c>
      <c r="J273">
        <f t="shared" si="96"/>
        <v>0</v>
      </c>
      <c r="K273">
        <f t="shared" si="98"/>
        <v>1</v>
      </c>
      <c r="L273" s="144" t="b">
        <f t="shared" si="100"/>
        <v>1</v>
      </c>
      <c r="M273" s="144">
        <f t="shared" si="101"/>
        <v>2</v>
      </c>
      <c r="AO273" s="16"/>
    </row>
    <row r="274" spans="1:41">
      <c r="A274" s="1" t="s">
        <v>217</v>
      </c>
      <c r="B274" s="10" t="s">
        <v>287</v>
      </c>
      <c r="C274" s="1">
        <v>4</v>
      </c>
      <c r="D274" s="1">
        <v>1</v>
      </c>
      <c r="E274" s="18">
        <v>509</v>
      </c>
      <c r="F274" s="1">
        <v>1.018E-2</v>
      </c>
      <c r="G274" s="1">
        <v>0.08</v>
      </c>
      <c r="H274" s="10" t="s">
        <v>268</v>
      </c>
      <c r="I274">
        <f t="shared" si="99"/>
        <v>1</v>
      </c>
      <c r="J274">
        <f t="shared" si="96"/>
        <v>0</v>
      </c>
      <c r="K274">
        <f t="shared" si="98"/>
        <v>1</v>
      </c>
      <c r="L274" s="144" t="b">
        <f t="shared" si="100"/>
        <v>1</v>
      </c>
      <c r="M274" s="144">
        <f t="shared" si="101"/>
        <v>2</v>
      </c>
    </row>
    <row r="275" spans="1:41">
      <c r="A275" s="1" t="s">
        <v>217</v>
      </c>
      <c r="B275" s="8" t="s">
        <v>279</v>
      </c>
      <c r="C275" s="1">
        <v>4</v>
      </c>
      <c r="D275" s="1">
        <v>1</v>
      </c>
      <c r="E275" s="18">
        <v>50000</v>
      </c>
      <c r="F275" s="1">
        <v>1</v>
      </c>
      <c r="G275" s="1" t="s">
        <v>442</v>
      </c>
      <c r="I275">
        <f t="shared" si="99"/>
        <v>1</v>
      </c>
      <c r="J275">
        <f t="shared" si="96"/>
        <v>1</v>
      </c>
      <c r="K275">
        <f t="shared" si="98"/>
        <v>0</v>
      </c>
      <c r="L275" s="144" t="b">
        <f t="shared" si="100"/>
        <v>0</v>
      </c>
      <c r="M275" s="144">
        <f t="shared" si="101"/>
        <v>2</v>
      </c>
    </row>
    <row r="276" spans="1:41">
      <c r="A276" s="1" t="s">
        <v>217</v>
      </c>
      <c r="B276" s="8" t="s">
        <v>266</v>
      </c>
      <c r="C276" s="1">
        <v>4</v>
      </c>
      <c r="D276" s="1">
        <v>0</v>
      </c>
      <c r="E276" s="18">
        <v>4</v>
      </c>
      <c r="F276" s="1">
        <v>8.0000000000000007E-5</v>
      </c>
      <c r="G276" s="1" t="s">
        <v>451</v>
      </c>
      <c r="I276">
        <f t="shared" si="97"/>
        <v>1</v>
      </c>
      <c r="J276">
        <f t="shared" si="96"/>
        <v>0</v>
      </c>
      <c r="K276">
        <f t="shared" si="98"/>
        <v>0</v>
      </c>
      <c r="L276" s="144" t="b">
        <f t="shared" si="100"/>
        <v>0</v>
      </c>
      <c r="M276" s="144">
        <f t="shared" si="101"/>
        <v>1</v>
      </c>
    </row>
    <row r="277" spans="1:41">
      <c r="A277" s="1" t="s">
        <v>219</v>
      </c>
      <c r="B277" s="10" t="s">
        <v>285</v>
      </c>
      <c r="C277" s="1">
        <v>4</v>
      </c>
      <c r="D277" s="1">
        <v>1</v>
      </c>
      <c r="E277" s="18" t="s">
        <v>444</v>
      </c>
      <c r="F277" s="1">
        <v>1</v>
      </c>
      <c r="G277" s="1">
        <v>0.7</v>
      </c>
      <c r="I277">
        <f t="shared" si="97"/>
        <v>1</v>
      </c>
      <c r="J277">
        <f t="shared" si="96"/>
        <v>1</v>
      </c>
      <c r="K277">
        <f t="shared" si="98"/>
        <v>1</v>
      </c>
      <c r="L277" s="144" t="b">
        <f t="shared" si="100"/>
        <v>1</v>
      </c>
      <c r="M277" s="144">
        <f t="shared" si="101"/>
        <v>3</v>
      </c>
    </row>
    <row r="278" spans="1:41">
      <c r="A278" s="1" t="s">
        <v>219</v>
      </c>
      <c r="B278" s="10" t="s">
        <v>283</v>
      </c>
      <c r="C278" s="1">
        <v>4</v>
      </c>
      <c r="D278" s="1">
        <v>1</v>
      </c>
      <c r="E278" s="18">
        <v>1123</v>
      </c>
      <c r="F278" s="1">
        <v>0.11642131453452208</v>
      </c>
      <c r="G278" s="1">
        <v>0.05</v>
      </c>
      <c r="H278" s="10"/>
      <c r="I278">
        <f t="shared" si="97"/>
        <v>1</v>
      </c>
      <c r="J278">
        <f t="shared" si="96"/>
        <v>1</v>
      </c>
      <c r="K278">
        <f t="shared" si="98"/>
        <v>1</v>
      </c>
      <c r="L278" s="144" t="b">
        <f t="shared" si="100"/>
        <v>1</v>
      </c>
      <c r="M278" s="144">
        <f t="shared" si="101"/>
        <v>3</v>
      </c>
    </row>
    <row r="279" spans="1:41">
      <c r="A279" s="1" t="s">
        <v>219</v>
      </c>
      <c r="B279" s="10" t="s">
        <v>286</v>
      </c>
      <c r="C279" s="1">
        <v>4</v>
      </c>
      <c r="D279" s="1">
        <v>1</v>
      </c>
      <c r="E279" s="18" t="s">
        <v>445</v>
      </c>
      <c r="F279" s="1">
        <v>0.11051212938005391</v>
      </c>
      <c r="G279" s="1" t="s">
        <v>439</v>
      </c>
      <c r="H279" s="10"/>
      <c r="I279">
        <f t="shared" si="97"/>
        <v>1</v>
      </c>
      <c r="J279">
        <f t="shared" si="96"/>
        <v>1</v>
      </c>
      <c r="K279">
        <f t="shared" si="98"/>
        <v>0</v>
      </c>
      <c r="L279" s="144" t="b">
        <f t="shared" si="100"/>
        <v>0</v>
      </c>
      <c r="M279" s="144">
        <f t="shared" si="101"/>
        <v>2</v>
      </c>
    </row>
    <row r="280" spans="1:41">
      <c r="A280" s="1" t="s">
        <v>219</v>
      </c>
      <c r="B280" s="10" t="s">
        <v>267</v>
      </c>
      <c r="C280" s="1">
        <v>4</v>
      </c>
      <c r="D280" s="1">
        <v>1</v>
      </c>
      <c r="E280" s="18">
        <v>312</v>
      </c>
      <c r="F280" s="1">
        <v>3.2345013477088951E-2</v>
      </c>
      <c r="G280" s="1">
        <v>1.57</v>
      </c>
      <c r="H280" s="10" t="s">
        <v>268</v>
      </c>
      <c r="I280">
        <f t="shared" si="97"/>
        <v>1</v>
      </c>
      <c r="J280">
        <f t="shared" si="96"/>
        <v>0</v>
      </c>
      <c r="K280">
        <f t="shared" si="98"/>
        <v>1</v>
      </c>
      <c r="L280" s="144" t="b">
        <f t="shared" si="100"/>
        <v>1</v>
      </c>
      <c r="M280" s="144">
        <f t="shared" si="101"/>
        <v>2</v>
      </c>
    </row>
    <row r="281" spans="1:41">
      <c r="A281" s="1" t="s">
        <v>219</v>
      </c>
      <c r="B281" s="10" t="s">
        <v>281</v>
      </c>
      <c r="C281" s="1">
        <v>4</v>
      </c>
      <c r="D281" s="1">
        <v>1</v>
      </c>
      <c r="E281" s="18">
        <v>280</v>
      </c>
      <c r="F281" s="1">
        <v>2.9027576197387519E-2</v>
      </c>
      <c r="G281" s="1">
        <v>0</v>
      </c>
      <c r="I281">
        <f t="shared" si="97"/>
        <v>1</v>
      </c>
      <c r="J281">
        <f t="shared" si="96"/>
        <v>0</v>
      </c>
      <c r="K281">
        <f t="shared" si="98"/>
        <v>1</v>
      </c>
      <c r="L281" s="144" t="b">
        <f t="shared" si="100"/>
        <v>1</v>
      </c>
      <c r="M281" s="144">
        <f t="shared" si="101"/>
        <v>2</v>
      </c>
    </row>
    <row r="282" spans="1:41">
      <c r="A282" s="1" t="s">
        <v>219</v>
      </c>
      <c r="B282" s="10" t="s">
        <v>276</v>
      </c>
      <c r="C282" s="1">
        <v>4</v>
      </c>
      <c r="D282" s="1">
        <v>1</v>
      </c>
      <c r="E282" s="18">
        <v>256</v>
      </c>
      <c r="F282" s="1">
        <v>2.6539498237611446E-2</v>
      </c>
      <c r="G282" s="1">
        <v>0</v>
      </c>
      <c r="H282" s="10" t="s">
        <v>268</v>
      </c>
      <c r="I282">
        <f t="shared" si="97"/>
        <v>1</v>
      </c>
      <c r="J282">
        <f t="shared" si="96"/>
        <v>0</v>
      </c>
      <c r="K282">
        <f t="shared" si="98"/>
        <v>1</v>
      </c>
      <c r="L282" s="144" t="b">
        <f t="shared" si="100"/>
        <v>1</v>
      </c>
      <c r="M282" s="144">
        <f t="shared" si="101"/>
        <v>2</v>
      </c>
    </row>
    <row r="283" spans="1:41">
      <c r="A283" s="1" t="s">
        <v>219</v>
      </c>
      <c r="B283" s="10" t="s">
        <v>287</v>
      </c>
      <c r="C283" s="1">
        <v>4</v>
      </c>
      <c r="D283" s="1">
        <v>1</v>
      </c>
      <c r="E283" s="18">
        <v>171</v>
      </c>
      <c r="F283" s="1">
        <v>1.7727555463404519E-2</v>
      </c>
      <c r="G283" s="1">
        <v>64.959999999999994</v>
      </c>
      <c r="H283" s="10" t="s">
        <v>268</v>
      </c>
      <c r="I283">
        <f t="shared" ref="I283:I314" si="102">IF(F283&gt;$U$3,1,0)</f>
        <v>1</v>
      </c>
      <c r="J283">
        <f t="shared" si="96"/>
        <v>0</v>
      </c>
      <c r="K283">
        <f t="shared" ref="K283:K314" si="103">IF(G283&gt;$AI$75,0,1)</f>
        <v>1</v>
      </c>
      <c r="L283" s="144" t="b">
        <f t="shared" si="100"/>
        <v>1</v>
      </c>
      <c r="M283" s="144">
        <f t="shared" si="101"/>
        <v>2</v>
      </c>
    </row>
    <row r="284" spans="1:41">
      <c r="A284" s="1" t="s">
        <v>219</v>
      </c>
      <c r="B284" s="10" t="s">
        <v>279</v>
      </c>
      <c r="C284" s="1">
        <v>4</v>
      </c>
      <c r="D284" s="1">
        <v>1</v>
      </c>
      <c r="E284" s="18">
        <v>78</v>
      </c>
      <c r="F284" s="1">
        <v>8.0862533692722376E-3</v>
      </c>
      <c r="G284" s="1">
        <v>1.71</v>
      </c>
      <c r="H284" s="10"/>
      <c r="I284">
        <f t="shared" si="102"/>
        <v>1</v>
      </c>
      <c r="J284">
        <f t="shared" ref="J284:J337" si="104">IF(E284&gt;$U$74,1,0)</f>
        <v>0</v>
      </c>
      <c r="K284">
        <f t="shared" si="103"/>
        <v>1</v>
      </c>
      <c r="L284" s="144" t="b">
        <f t="shared" si="100"/>
        <v>1</v>
      </c>
      <c r="M284" s="144">
        <f t="shared" si="101"/>
        <v>2</v>
      </c>
    </row>
    <row r="285" spans="1:41">
      <c r="A285" s="1" t="s">
        <v>219</v>
      </c>
      <c r="B285" s="10" t="s">
        <v>284</v>
      </c>
      <c r="C285" s="1">
        <v>4</v>
      </c>
      <c r="D285" s="1">
        <v>1</v>
      </c>
      <c r="E285" s="18">
        <v>68</v>
      </c>
      <c r="F285" s="1">
        <v>7.04955421936554E-3</v>
      </c>
      <c r="G285" s="1">
        <v>0</v>
      </c>
      <c r="H285" t="s">
        <v>268</v>
      </c>
      <c r="I285">
        <f t="shared" si="102"/>
        <v>1</v>
      </c>
      <c r="J285">
        <f t="shared" si="104"/>
        <v>0</v>
      </c>
      <c r="K285">
        <f t="shared" si="103"/>
        <v>1</v>
      </c>
      <c r="L285" s="144" t="b">
        <f t="shared" si="100"/>
        <v>1</v>
      </c>
      <c r="M285" s="144">
        <f t="shared" si="101"/>
        <v>2</v>
      </c>
      <c r="AO285" s="16"/>
    </row>
    <row r="286" spans="1:41" ht="31.5">
      <c r="A286" s="1" t="s">
        <v>219</v>
      </c>
      <c r="B286" s="10" t="s">
        <v>288</v>
      </c>
      <c r="C286" s="1">
        <v>4</v>
      </c>
      <c r="D286" s="1">
        <v>1</v>
      </c>
      <c r="E286" s="18">
        <v>67</v>
      </c>
      <c r="F286" s="1">
        <v>6.9458843043748702E-3</v>
      </c>
      <c r="G286" s="1">
        <v>76.08</v>
      </c>
      <c r="H286" t="s">
        <v>270</v>
      </c>
      <c r="I286">
        <f t="shared" si="102"/>
        <v>1</v>
      </c>
      <c r="J286">
        <f t="shared" si="104"/>
        <v>0</v>
      </c>
      <c r="K286">
        <f t="shared" si="103"/>
        <v>1</v>
      </c>
      <c r="L286" s="144" t="b">
        <f t="shared" si="100"/>
        <v>1</v>
      </c>
      <c r="M286" s="144">
        <f t="shared" si="101"/>
        <v>2</v>
      </c>
    </row>
    <row r="287" spans="1:41">
      <c r="A287" s="1" t="s">
        <v>219</v>
      </c>
      <c r="B287" s="10" t="s">
        <v>275</v>
      </c>
      <c r="C287" s="1">
        <v>4</v>
      </c>
      <c r="D287" s="1">
        <v>1</v>
      </c>
      <c r="E287" s="18">
        <v>47</v>
      </c>
      <c r="F287" s="1">
        <v>4.8724860045614759E-3</v>
      </c>
      <c r="G287" s="1">
        <v>9.09</v>
      </c>
      <c r="H287" t="s">
        <v>270</v>
      </c>
      <c r="I287">
        <f t="shared" si="102"/>
        <v>1</v>
      </c>
      <c r="J287">
        <f t="shared" si="104"/>
        <v>0</v>
      </c>
      <c r="K287">
        <f t="shared" si="103"/>
        <v>1</v>
      </c>
      <c r="L287" s="144" t="b">
        <f t="shared" si="100"/>
        <v>1</v>
      </c>
      <c r="M287" s="144">
        <f t="shared" si="101"/>
        <v>2</v>
      </c>
    </row>
    <row r="288" spans="1:41">
      <c r="A288" s="1" t="s">
        <v>219</v>
      </c>
      <c r="B288" s="10" t="s">
        <v>282</v>
      </c>
      <c r="C288" s="1">
        <v>4</v>
      </c>
      <c r="D288" s="1">
        <v>1</v>
      </c>
      <c r="E288" s="18">
        <v>44</v>
      </c>
      <c r="F288" s="1">
        <v>4.5614762595894672E-3</v>
      </c>
      <c r="G288" s="1">
        <v>1.53</v>
      </c>
      <c r="H288" s="10"/>
      <c r="I288">
        <f t="shared" si="102"/>
        <v>1</v>
      </c>
      <c r="J288">
        <f t="shared" si="104"/>
        <v>0</v>
      </c>
      <c r="K288">
        <f t="shared" si="103"/>
        <v>1</v>
      </c>
      <c r="L288" s="144" t="b">
        <f t="shared" si="100"/>
        <v>1</v>
      </c>
      <c r="M288" s="144">
        <f t="shared" si="101"/>
        <v>2</v>
      </c>
      <c r="AO288" s="16"/>
    </row>
    <row r="289" spans="1:41">
      <c r="A289" s="1" t="s">
        <v>219</v>
      </c>
      <c r="B289" s="10" t="s">
        <v>277</v>
      </c>
      <c r="C289" s="1">
        <v>4</v>
      </c>
      <c r="D289" s="1">
        <v>1</v>
      </c>
      <c r="E289" s="18">
        <v>28</v>
      </c>
      <c r="F289" s="1">
        <v>2.9027576197387518E-3</v>
      </c>
      <c r="G289" s="1">
        <v>0</v>
      </c>
      <c r="H289" t="s">
        <v>270</v>
      </c>
      <c r="I289">
        <f t="shared" si="102"/>
        <v>1</v>
      </c>
      <c r="J289">
        <f t="shared" si="104"/>
        <v>0</v>
      </c>
      <c r="K289">
        <f t="shared" si="103"/>
        <v>1</v>
      </c>
      <c r="L289" s="144" t="b">
        <f t="shared" si="100"/>
        <v>1</v>
      </c>
      <c r="M289" s="144">
        <f t="shared" si="101"/>
        <v>2</v>
      </c>
      <c r="AO289" s="16"/>
    </row>
    <row r="290" spans="1:41">
      <c r="A290" s="1" t="s">
        <v>219</v>
      </c>
      <c r="B290" s="10" t="s">
        <v>269</v>
      </c>
      <c r="C290" s="1">
        <v>4</v>
      </c>
      <c r="D290" s="1">
        <v>1</v>
      </c>
      <c r="E290" s="18">
        <v>15</v>
      </c>
      <c r="F290" s="1">
        <v>1.5550487248600455E-3</v>
      </c>
      <c r="G290" s="1">
        <v>0</v>
      </c>
      <c r="H290" t="s">
        <v>270</v>
      </c>
      <c r="I290">
        <f t="shared" si="102"/>
        <v>1</v>
      </c>
      <c r="J290">
        <f t="shared" si="104"/>
        <v>0</v>
      </c>
      <c r="K290">
        <f t="shared" si="103"/>
        <v>1</v>
      </c>
      <c r="L290" s="144" t="b">
        <f t="shared" si="100"/>
        <v>1</v>
      </c>
      <c r="M290" s="144">
        <f t="shared" si="101"/>
        <v>2</v>
      </c>
      <c r="AO290" s="17"/>
    </row>
    <row r="291" spans="1:41">
      <c r="A291" s="1" t="s">
        <v>219</v>
      </c>
      <c r="B291" s="10" t="s">
        <v>291</v>
      </c>
      <c r="C291" s="1">
        <v>4</v>
      </c>
      <c r="D291" s="1">
        <v>1</v>
      </c>
      <c r="E291" s="18">
        <v>5</v>
      </c>
      <c r="F291" s="1">
        <v>5.1834957495334858E-4</v>
      </c>
      <c r="G291" s="1" t="s">
        <v>451</v>
      </c>
      <c r="H291" s="10" t="s">
        <v>272</v>
      </c>
      <c r="I291">
        <f t="shared" si="102"/>
        <v>1</v>
      </c>
      <c r="J291">
        <f t="shared" si="104"/>
        <v>0</v>
      </c>
      <c r="K291">
        <f t="shared" si="103"/>
        <v>0</v>
      </c>
      <c r="L291" s="144" t="b">
        <f t="shared" si="100"/>
        <v>0</v>
      </c>
      <c r="M291" s="144">
        <f t="shared" si="101"/>
        <v>1</v>
      </c>
      <c r="AO291" s="17"/>
    </row>
    <row r="292" spans="1:41" ht="31.5">
      <c r="A292" s="1" t="s">
        <v>219</v>
      </c>
      <c r="B292" s="10" t="s">
        <v>274</v>
      </c>
      <c r="C292" s="1">
        <v>4</v>
      </c>
      <c r="D292" s="1">
        <v>1</v>
      </c>
      <c r="E292" s="18">
        <v>5</v>
      </c>
      <c r="F292" s="1">
        <v>5.1834957495334858E-4</v>
      </c>
      <c r="G292" s="1" t="s">
        <v>451</v>
      </c>
      <c r="H292" s="10" t="s">
        <v>272</v>
      </c>
      <c r="I292">
        <f t="shared" si="102"/>
        <v>1</v>
      </c>
      <c r="J292">
        <f t="shared" si="104"/>
        <v>0</v>
      </c>
      <c r="K292">
        <f t="shared" si="103"/>
        <v>0</v>
      </c>
      <c r="L292" s="144" t="b">
        <f t="shared" si="100"/>
        <v>0</v>
      </c>
      <c r="M292" s="144">
        <f t="shared" si="101"/>
        <v>1</v>
      </c>
    </row>
    <row r="293" spans="1:41">
      <c r="A293" s="1" t="s">
        <v>219</v>
      </c>
      <c r="B293" s="10" t="s">
        <v>271</v>
      </c>
      <c r="C293" s="1">
        <v>4</v>
      </c>
      <c r="D293" s="1">
        <v>1</v>
      </c>
      <c r="E293" s="18">
        <v>4</v>
      </c>
      <c r="F293" s="1">
        <v>4.1467965996267884E-4</v>
      </c>
      <c r="G293" s="1" t="s">
        <v>451</v>
      </c>
      <c r="H293" t="s">
        <v>272</v>
      </c>
      <c r="I293">
        <f t="shared" si="102"/>
        <v>1</v>
      </c>
      <c r="J293">
        <f t="shared" si="104"/>
        <v>0</v>
      </c>
      <c r="K293">
        <f t="shared" si="103"/>
        <v>0</v>
      </c>
      <c r="L293" s="144" t="b">
        <f t="shared" si="100"/>
        <v>0</v>
      </c>
      <c r="M293" s="144">
        <f t="shared" si="101"/>
        <v>1</v>
      </c>
      <c r="AO293" s="17"/>
    </row>
    <row r="294" spans="1:41">
      <c r="A294" s="1" t="s">
        <v>219</v>
      </c>
      <c r="B294" s="10" t="s">
        <v>273</v>
      </c>
      <c r="C294" s="1">
        <v>4</v>
      </c>
      <c r="D294" s="1">
        <v>1</v>
      </c>
      <c r="E294" s="18">
        <v>3</v>
      </c>
      <c r="F294" s="1">
        <v>3.1100974497200911E-4</v>
      </c>
      <c r="G294" s="1" t="s">
        <v>451</v>
      </c>
      <c r="H294" s="10" t="s">
        <v>272</v>
      </c>
      <c r="I294">
        <f t="shared" si="102"/>
        <v>1</v>
      </c>
      <c r="J294">
        <f t="shared" si="104"/>
        <v>0</v>
      </c>
      <c r="K294">
        <f t="shared" si="103"/>
        <v>0</v>
      </c>
      <c r="L294" s="144" t="b">
        <f t="shared" si="100"/>
        <v>0</v>
      </c>
      <c r="M294" s="144">
        <f t="shared" si="101"/>
        <v>1</v>
      </c>
    </row>
    <row r="295" spans="1:41">
      <c r="A295" s="1" t="s">
        <v>187</v>
      </c>
      <c r="B295" s="10" t="s">
        <v>278</v>
      </c>
      <c r="C295" s="1">
        <v>4</v>
      </c>
      <c r="D295" s="1">
        <v>0</v>
      </c>
      <c r="E295" s="18">
        <v>28930</v>
      </c>
      <c r="F295" s="1">
        <v>0.13767143496178702</v>
      </c>
      <c r="G295" s="1" t="s">
        <v>451</v>
      </c>
      <c r="I295">
        <f t="shared" si="102"/>
        <v>1</v>
      </c>
      <c r="J295">
        <f t="shared" si="104"/>
        <v>1</v>
      </c>
      <c r="K295">
        <f t="shared" si="103"/>
        <v>0</v>
      </c>
      <c r="L295" s="144" t="b">
        <f t="shared" si="100"/>
        <v>0</v>
      </c>
      <c r="M295" s="144">
        <f t="shared" si="101"/>
        <v>2</v>
      </c>
    </row>
    <row r="296" spans="1:41">
      <c r="A296" s="1" t="s">
        <v>187</v>
      </c>
      <c r="B296" s="10" t="s">
        <v>263</v>
      </c>
      <c r="C296" s="1">
        <v>4</v>
      </c>
      <c r="D296" s="1">
        <v>0</v>
      </c>
      <c r="E296" s="18">
        <v>4713</v>
      </c>
      <c r="F296" s="1">
        <v>0.19829182093571188</v>
      </c>
      <c r="G296" s="1" t="s">
        <v>451</v>
      </c>
      <c r="H296" s="10"/>
      <c r="I296">
        <f t="shared" si="102"/>
        <v>1</v>
      </c>
      <c r="J296">
        <f t="shared" si="104"/>
        <v>1</v>
      </c>
      <c r="K296">
        <f t="shared" si="103"/>
        <v>0</v>
      </c>
      <c r="L296" s="144" t="b">
        <f t="shared" si="100"/>
        <v>0</v>
      </c>
      <c r="M296" s="144">
        <f t="shared" si="101"/>
        <v>2</v>
      </c>
    </row>
    <row r="297" spans="1:41">
      <c r="A297" s="1" t="s">
        <v>187</v>
      </c>
      <c r="B297" s="10" t="s">
        <v>279</v>
      </c>
      <c r="C297" s="1">
        <v>4</v>
      </c>
      <c r="D297" s="1">
        <v>1</v>
      </c>
      <c r="E297" s="18">
        <v>2985</v>
      </c>
      <c r="F297" s="1">
        <v>0.12558902726354762</v>
      </c>
      <c r="G297" s="1" t="s">
        <v>451</v>
      </c>
      <c r="H297" s="10"/>
      <c r="I297">
        <f t="shared" si="102"/>
        <v>1</v>
      </c>
      <c r="J297">
        <f t="shared" si="104"/>
        <v>1</v>
      </c>
      <c r="K297">
        <f t="shared" si="103"/>
        <v>0</v>
      </c>
      <c r="L297" s="144" t="b">
        <f t="shared" si="100"/>
        <v>0</v>
      </c>
      <c r="M297" s="144">
        <f t="shared" si="101"/>
        <v>2</v>
      </c>
    </row>
    <row r="298" spans="1:41">
      <c r="A298" s="1" t="s">
        <v>187</v>
      </c>
      <c r="B298" s="10" t="s">
        <v>281</v>
      </c>
      <c r="C298" s="1">
        <v>4</v>
      </c>
      <c r="D298" s="1">
        <v>1</v>
      </c>
      <c r="E298" s="18">
        <v>2426</v>
      </c>
      <c r="F298" s="1">
        <v>0.10207001009761023</v>
      </c>
      <c r="G298" s="1" t="s">
        <v>451</v>
      </c>
      <c r="I298">
        <f t="shared" si="102"/>
        <v>1</v>
      </c>
      <c r="J298">
        <f t="shared" si="104"/>
        <v>1</v>
      </c>
      <c r="K298">
        <f t="shared" si="103"/>
        <v>0</v>
      </c>
      <c r="L298" s="144" t="b">
        <f t="shared" si="100"/>
        <v>0</v>
      </c>
      <c r="M298" s="144">
        <f t="shared" si="101"/>
        <v>2</v>
      </c>
    </row>
    <row r="299" spans="1:41">
      <c r="A299" s="1" t="s">
        <v>187</v>
      </c>
      <c r="B299" s="10" t="s">
        <v>282</v>
      </c>
      <c r="C299" s="1">
        <v>4</v>
      </c>
      <c r="D299" s="1">
        <v>1</v>
      </c>
      <c r="E299" s="18">
        <v>1850</v>
      </c>
      <c r="F299" s="1">
        <v>7.7835745540222143E-2</v>
      </c>
      <c r="G299" s="1" t="s">
        <v>451</v>
      </c>
      <c r="H299" s="10"/>
      <c r="I299">
        <f t="shared" si="102"/>
        <v>1</v>
      </c>
      <c r="J299">
        <f t="shared" si="104"/>
        <v>1</v>
      </c>
      <c r="K299">
        <f t="shared" si="103"/>
        <v>0</v>
      </c>
      <c r="L299" s="144" t="b">
        <f t="shared" si="100"/>
        <v>0</v>
      </c>
      <c r="M299" s="144">
        <f t="shared" si="101"/>
        <v>2</v>
      </c>
    </row>
    <row r="300" spans="1:41">
      <c r="A300" s="1" t="s">
        <v>187</v>
      </c>
      <c r="B300" s="10" t="s">
        <v>286</v>
      </c>
      <c r="C300" s="1">
        <v>4</v>
      </c>
      <c r="D300" s="1">
        <v>1</v>
      </c>
      <c r="E300" s="18">
        <v>1119</v>
      </c>
      <c r="F300" s="1">
        <v>4.7080107707842475E-2</v>
      </c>
      <c r="G300" s="1" t="s">
        <v>451</v>
      </c>
      <c r="H300" s="10"/>
      <c r="I300">
        <f t="shared" si="102"/>
        <v>1</v>
      </c>
      <c r="J300">
        <f t="shared" si="104"/>
        <v>1</v>
      </c>
      <c r="K300">
        <f t="shared" si="103"/>
        <v>0</v>
      </c>
      <c r="L300" s="144" t="b">
        <f t="shared" si="100"/>
        <v>0</v>
      </c>
      <c r="M300" s="144">
        <f t="shared" si="101"/>
        <v>2</v>
      </c>
    </row>
    <row r="301" spans="1:41">
      <c r="A301" s="1" t="s">
        <v>187</v>
      </c>
      <c r="B301" s="10" t="s">
        <v>285</v>
      </c>
      <c r="C301" s="1">
        <v>4</v>
      </c>
      <c r="D301" s="1">
        <v>1</v>
      </c>
      <c r="E301" s="18">
        <v>672</v>
      </c>
      <c r="F301" s="1">
        <v>2.82733086502861E-2</v>
      </c>
      <c r="G301" s="1" t="s">
        <v>451</v>
      </c>
      <c r="H301" s="10"/>
      <c r="I301">
        <f t="shared" si="102"/>
        <v>1</v>
      </c>
      <c r="J301">
        <f t="shared" si="104"/>
        <v>1</v>
      </c>
      <c r="K301">
        <f t="shared" si="103"/>
        <v>0</v>
      </c>
      <c r="L301" s="144" t="b">
        <f t="shared" si="100"/>
        <v>0</v>
      </c>
      <c r="M301" s="144">
        <f t="shared" si="101"/>
        <v>2</v>
      </c>
    </row>
    <row r="302" spans="1:41">
      <c r="A302" s="1" t="s">
        <v>187</v>
      </c>
      <c r="B302" s="10" t="s">
        <v>284</v>
      </c>
      <c r="C302" s="1">
        <v>4</v>
      </c>
      <c r="D302" s="1">
        <v>1</v>
      </c>
      <c r="E302" s="18">
        <v>602</v>
      </c>
      <c r="F302" s="1">
        <v>2.5328172332547964E-2</v>
      </c>
      <c r="G302" s="1" t="s">
        <v>451</v>
      </c>
      <c r="H302" s="10" t="s">
        <v>268</v>
      </c>
      <c r="I302">
        <f t="shared" si="102"/>
        <v>1</v>
      </c>
      <c r="J302">
        <f t="shared" si="104"/>
        <v>1</v>
      </c>
      <c r="K302">
        <f t="shared" si="103"/>
        <v>0</v>
      </c>
      <c r="L302" s="144" t="b">
        <f t="shared" si="100"/>
        <v>0</v>
      </c>
      <c r="M302" s="144">
        <f t="shared" si="101"/>
        <v>2</v>
      </c>
      <c r="AO302" s="17"/>
    </row>
    <row r="303" spans="1:41">
      <c r="A303" s="1" t="s">
        <v>187</v>
      </c>
      <c r="B303" s="10" t="s">
        <v>283</v>
      </c>
      <c r="C303" s="1">
        <v>4</v>
      </c>
      <c r="D303" s="1">
        <v>1</v>
      </c>
      <c r="E303" s="18">
        <v>488</v>
      </c>
      <c r="F303" s="1">
        <v>2.0531807472231572E-2</v>
      </c>
      <c r="G303" s="1" t="s">
        <v>451</v>
      </c>
      <c r="H303" s="10"/>
      <c r="I303">
        <f t="shared" si="102"/>
        <v>1</v>
      </c>
      <c r="J303">
        <f t="shared" si="104"/>
        <v>0</v>
      </c>
      <c r="K303">
        <f t="shared" si="103"/>
        <v>0</v>
      </c>
      <c r="L303" s="144" t="b">
        <f t="shared" si="100"/>
        <v>0</v>
      </c>
      <c r="M303" s="144">
        <f t="shared" si="101"/>
        <v>1</v>
      </c>
    </row>
    <row r="304" spans="1:41">
      <c r="A304" s="1" t="s">
        <v>187</v>
      </c>
      <c r="B304" s="10" t="s">
        <v>292</v>
      </c>
      <c r="C304" s="1">
        <v>4</v>
      </c>
      <c r="D304" s="1">
        <v>0</v>
      </c>
      <c r="E304" s="18">
        <v>340</v>
      </c>
      <c r="F304" s="1">
        <v>0.11390284757118928</v>
      </c>
      <c r="G304" s="1" t="s">
        <v>451</v>
      </c>
      <c r="H304" s="10"/>
      <c r="I304">
        <f t="shared" si="102"/>
        <v>1</v>
      </c>
      <c r="J304">
        <f t="shared" si="104"/>
        <v>0</v>
      </c>
      <c r="K304">
        <f t="shared" si="103"/>
        <v>0</v>
      </c>
      <c r="L304" s="144" t="b">
        <f t="shared" si="100"/>
        <v>0</v>
      </c>
      <c r="M304" s="144">
        <f t="shared" si="101"/>
        <v>1</v>
      </c>
    </row>
    <row r="305" spans="1:41">
      <c r="A305" s="1" t="s">
        <v>187</v>
      </c>
      <c r="B305" s="10" t="s">
        <v>287</v>
      </c>
      <c r="C305" s="1">
        <v>4</v>
      </c>
      <c r="D305" s="1">
        <v>1</v>
      </c>
      <c r="E305" s="18">
        <v>330</v>
      </c>
      <c r="F305" s="1">
        <v>1.3884214069336924E-2</v>
      </c>
      <c r="G305" s="1" t="s">
        <v>451</v>
      </c>
      <c r="H305" s="10" t="s">
        <v>268</v>
      </c>
      <c r="I305">
        <f t="shared" si="102"/>
        <v>1</v>
      </c>
      <c r="J305">
        <f t="shared" si="104"/>
        <v>0</v>
      </c>
      <c r="K305">
        <f t="shared" si="103"/>
        <v>0</v>
      </c>
      <c r="L305" s="144" t="b">
        <f t="shared" si="100"/>
        <v>0</v>
      </c>
      <c r="M305" s="144">
        <f t="shared" si="101"/>
        <v>1</v>
      </c>
    </row>
    <row r="306" spans="1:41">
      <c r="A306" s="1" t="s">
        <v>187</v>
      </c>
      <c r="B306" s="10" t="s">
        <v>276</v>
      </c>
      <c r="C306" s="1">
        <v>4</v>
      </c>
      <c r="D306" s="1">
        <v>1</v>
      </c>
      <c r="E306" s="18">
        <v>289</v>
      </c>
      <c r="F306" s="1">
        <v>1.215920565466173E-2</v>
      </c>
      <c r="G306" s="1" t="s">
        <v>451</v>
      </c>
      <c r="H306" s="10" t="s">
        <v>268</v>
      </c>
      <c r="I306">
        <f t="shared" si="102"/>
        <v>1</v>
      </c>
      <c r="J306">
        <f t="shared" si="104"/>
        <v>0</v>
      </c>
      <c r="K306">
        <f t="shared" si="103"/>
        <v>0</v>
      </c>
      <c r="L306" s="144" t="b">
        <f t="shared" si="100"/>
        <v>0</v>
      </c>
      <c r="M306" s="144">
        <f t="shared" si="101"/>
        <v>1</v>
      </c>
    </row>
    <row r="307" spans="1:41">
      <c r="A307" s="1" t="s">
        <v>187</v>
      </c>
      <c r="B307" s="10" t="s">
        <v>289</v>
      </c>
      <c r="C307" s="1">
        <v>4</v>
      </c>
      <c r="D307" s="1">
        <v>0</v>
      </c>
      <c r="E307" s="18">
        <v>154</v>
      </c>
      <c r="F307" s="1">
        <v>5.1591289782244559E-2</v>
      </c>
      <c r="G307" s="1" t="s">
        <v>451</v>
      </c>
      <c r="H307" s="10"/>
      <c r="I307">
        <f t="shared" si="102"/>
        <v>1</v>
      </c>
      <c r="J307">
        <f t="shared" si="104"/>
        <v>0</v>
      </c>
      <c r="K307">
        <f t="shared" si="103"/>
        <v>0</v>
      </c>
      <c r="L307" s="144" t="b">
        <f t="shared" si="100"/>
        <v>0</v>
      </c>
      <c r="M307" s="144">
        <f t="shared" si="101"/>
        <v>1</v>
      </c>
      <c r="AO307" s="16"/>
    </row>
    <row r="308" spans="1:41">
      <c r="A308" s="1" t="s">
        <v>187</v>
      </c>
      <c r="B308" s="10" t="s">
        <v>269</v>
      </c>
      <c r="C308" s="1">
        <v>4</v>
      </c>
      <c r="D308" s="1">
        <v>1</v>
      </c>
      <c r="E308" s="18">
        <v>90</v>
      </c>
      <c r="F308" s="1">
        <v>3.7866038370918884E-3</v>
      </c>
      <c r="G308" s="1" t="s">
        <v>451</v>
      </c>
      <c r="H308" t="s">
        <v>270</v>
      </c>
      <c r="I308">
        <f t="shared" si="102"/>
        <v>1</v>
      </c>
      <c r="J308">
        <f t="shared" si="104"/>
        <v>0</v>
      </c>
      <c r="K308">
        <f t="shared" si="103"/>
        <v>0</v>
      </c>
      <c r="L308" s="144" t="b">
        <f t="shared" si="100"/>
        <v>0</v>
      </c>
      <c r="M308" s="144">
        <f t="shared" si="101"/>
        <v>1</v>
      </c>
      <c r="AO308" s="16"/>
    </row>
    <row r="309" spans="1:41">
      <c r="A309" s="1" t="s">
        <v>187</v>
      </c>
      <c r="B309" s="10" t="s">
        <v>280</v>
      </c>
      <c r="C309" s="1">
        <v>4</v>
      </c>
      <c r="D309" s="1">
        <v>1</v>
      </c>
      <c r="E309" s="18">
        <v>70</v>
      </c>
      <c r="F309" s="1">
        <v>2.9451363177381354E-3</v>
      </c>
      <c r="G309" s="1" t="s">
        <v>451</v>
      </c>
      <c r="H309" s="10"/>
      <c r="I309">
        <f t="shared" si="102"/>
        <v>1</v>
      </c>
      <c r="J309">
        <f t="shared" si="104"/>
        <v>0</v>
      </c>
      <c r="K309">
        <f t="shared" si="103"/>
        <v>0</v>
      </c>
      <c r="L309" s="144" t="b">
        <f t="shared" si="100"/>
        <v>0</v>
      </c>
      <c r="M309" s="144">
        <f t="shared" si="101"/>
        <v>1</v>
      </c>
      <c r="AO309" s="16"/>
    </row>
    <row r="310" spans="1:41">
      <c r="A310" s="1" t="s">
        <v>187</v>
      </c>
      <c r="B310" s="10" t="s">
        <v>267</v>
      </c>
      <c r="C310" s="1">
        <v>4</v>
      </c>
      <c r="D310" s="1">
        <v>1</v>
      </c>
      <c r="E310" s="18">
        <v>66</v>
      </c>
      <c r="F310" s="1">
        <v>2.7768428138673848E-3</v>
      </c>
      <c r="G310" s="1" t="s">
        <v>451</v>
      </c>
      <c r="H310" t="s">
        <v>268</v>
      </c>
      <c r="I310">
        <f t="shared" si="102"/>
        <v>1</v>
      </c>
      <c r="J310">
        <f t="shared" si="104"/>
        <v>0</v>
      </c>
      <c r="K310">
        <f t="shared" si="103"/>
        <v>0</v>
      </c>
      <c r="L310" s="144" t="b">
        <f t="shared" si="100"/>
        <v>0</v>
      </c>
      <c r="M310" s="144">
        <f t="shared" si="101"/>
        <v>1</v>
      </c>
      <c r="AO310" s="16"/>
    </row>
    <row r="311" spans="1:41">
      <c r="A311" s="1" t="s">
        <v>187</v>
      </c>
      <c r="B311" s="10" t="s">
        <v>264</v>
      </c>
      <c r="C311" s="1">
        <v>4</v>
      </c>
      <c r="D311" s="1">
        <v>0</v>
      </c>
      <c r="E311" s="18">
        <v>60</v>
      </c>
      <c r="F311" s="1">
        <v>2.8552665391314279E-4</v>
      </c>
      <c r="G311" s="1" t="s">
        <v>451</v>
      </c>
      <c r="H311" s="10"/>
      <c r="I311">
        <f t="shared" si="102"/>
        <v>1</v>
      </c>
      <c r="J311">
        <f t="shared" si="104"/>
        <v>0</v>
      </c>
      <c r="K311">
        <f t="shared" si="103"/>
        <v>0</v>
      </c>
      <c r="L311" s="144" t="b">
        <f t="shared" si="100"/>
        <v>0</v>
      </c>
      <c r="M311" s="144">
        <f t="shared" si="101"/>
        <v>1</v>
      </c>
      <c r="AO311" s="16"/>
    </row>
    <row r="312" spans="1:41" ht="31.5">
      <c r="A312" s="1" t="s">
        <v>187</v>
      </c>
      <c r="B312" s="10" t="s">
        <v>288</v>
      </c>
      <c r="C312" s="1">
        <v>4</v>
      </c>
      <c r="D312" s="1">
        <v>1</v>
      </c>
      <c r="E312" s="18">
        <v>46</v>
      </c>
      <c r="F312" s="1">
        <v>1.9353752945136318E-3</v>
      </c>
      <c r="G312" s="1" t="s">
        <v>451</v>
      </c>
      <c r="H312" s="10" t="s">
        <v>270</v>
      </c>
      <c r="I312">
        <f t="shared" si="102"/>
        <v>1</v>
      </c>
      <c r="J312">
        <f t="shared" si="104"/>
        <v>0</v>
      </c>
      <c r="K312">
        <f t="shared" si="103"/>
        <v>0</v>
      </c>
      <c r="L312" s="144" t="b">
        <f t="shared" si="100"/>
        <v>0</v>
      </c>
      <c r="M312" s="144">
        <f t="shared" si="101"/>
        <v>1</v>
      </c>
    </row>
    <row r="313" spans="1:41">
      <c r="A313" s="1" t="s">
        <v>187</v>
      </c>
      <c r="B313" s="10" t="s">
        <v>277</v>
      </c>
      <c r="C313" s="1">
        <v>4</v>
      </c>
      <c r="D313" s="1">
        <v>1</v>
      </c>
      <c r="E313" s="18">
        <v>34</v>
      </c>
      <c r="F313" s="1">
        <v>1.43049478290138E-3</v>
      </c>
      <c r="G313" s="1" t="s">
        <v>451</v>
      </c>
      <c r="H313" s="10" t="s">
        <v>270</v>
      </c>
      <c r="I313">
        <f t="shared" si="102"/>
        <v>1</v>
      </c>
      <c r="J313">
        <f t="shared" si="104"/>
        <v>0</v>
      </c>
      <c r="K313">
        <f t="shared" si="103"/>
        <v>0</v>
      </c>
      <c r="L313" s="144" t="b">
        <f t="shared" si="100"/>
        <v>0</v>
      </c>
      <c r="M313" s="144">
        <f t="shared" si="101"/>
        <v>1</v>
      </c>
    </row>
    <row r="314" spans="1:41">
      <c r="A314" s="1" t="s">
        <v>187</v>
      </c>
      <c r="B314" s="10" t="s">
        <v>275</v>
      </c>
      <c r="C314" s="1">
        <v>4</v>
      </c>
      <c r="D314" s="1">
        <v>1</v>
      </c>
      <c r="E314" s="18">
        <v>15</v>
      </c>
      <c r="F314" s="1">
        <v>6.3110063951531473E-4</v>
      </c>
      <c r="G314" s="1" t="s">
        <v>451</v>
      </c>
      <c r="H314" s="10" t="s">
        <v>270</v>
      </c>
      <c r="I314">
        <f t="shared" si="102"/>
        <v>1</v>
      </c>
      <c r="J314">
        <f t="shared" si="104"/>
        <v>0</v>
      </c>
      <c r="K314">
        <f t="shared" si="103"/>
        <v>0</v>
      </c>
      <c r="L314" s="144" t="b">
        <f t="shared" si="100"/>
        <v>0</v>
      </c>
      <c r="M314" s="144">
        <f t="shared" si="101"/>
        <v>1</v>
      </c>
      <c r="AO314" s="16"/>
    </row>
    <row r="315" spans="1:41">
      <c r="A315" s="1" t="s">
        <v>187</v>
      </c>
      <c r="B315" s="10" t="s">
        <v>271</v>
      </c>
      <c r="C315" s="1">
        <v>4</v>
      </c>
      <c r="D315" s="1">
        <v>1</v>
      </c>
      <c r="E315" s="18">
        <v>13</v>
      </c>
      <c r="F315" s="1">
        <v>5.4695388757993943E-4</v>
      </c>
      <c r="G315" s="1" t="s">
        <v>451</v>
      </c>
      <c r="H315" s="10" t="s">
        <v>272</v>
      </c>
      <c r="I315">
        <f t="shared" ref="I315:I337" si="105">IF(F315&gt;$U$3,1,0)</f>
        <v>1</v>
      </c>
      <c r="J315">
        <f t="shared" si="104"/>
        <v>0</v>
      </c>
      <c r="K315">
        <f t="shared" ref="K315:K337" si="106">IF(G315&gt;$AI$75,0,1)</f>
        <v>0</v>
      </c>
      <c r="L315" s="144" t="b">
        <f t="shared" si="100"/>
        <v>0</v>
      </c>
      <c r="M315" s="144">
        <f t="shared" si="101"/>
        <v>1</v>
      </c>
    </row>
    <row r="316" spans="1:41" ht="31.5">
      <c r="A316" s="1" t="s">
        <v>187</v>
      </c>
      <c r="B316" s="10" t="s">
        <v>274</v>
      </c>
      <c r="C316" s="1">
        <v>4</v>
      </c>
      <c r="D316" s="1">
        <v>1</v>
      </c>
      <c r="E316" s="18">
        <v>13</v>
      </c>
      <c r="F316" s="1">
        <v>5.4695388757993943E-4</v>
      </c>
      <c r="G316" s="1" t="s">
        <v>451</v>
      </c>
      <c r="H316" s="10" t="s">
        <v>272</v>
      </c>
      <c r="I316">
        <f t="shared" si="105"/>
        <v>1</v>
      </c>
      <c r="J316">
        <f t="shared" si="104"/>
        <v>0</v>
      </c>
      <c r="K316">
        <f t="shared" si="106"/>
        <v>0</v>
      </c>
      <c r="L316" s="144" t="b">
        <f t="shared" si="100"/>
        <v>0</v>
      </c>
      <c r="M316" s="144">
        <f t="shared" si="101"/>
        <v>1</v>
      </c>
    </row>
    <row r="317" spans="1:41">
      <c r="A317" s="1" t="s">
        <v>187</v>
      </c>
      <c r="B317" s="10" t="s">
        <v>290</v>
      </c>
      <c r="C317" s="1">
        <v>4</v>
      </c>
      <c r="D317" s="1">
        <v>0</v>
      </c>
      <c r="E317" s="18">
        <v>1</v>
      </c>
      <c r="F317" s="1">
        <v>3.3500837520938025E-4</v>
      </c>
      <c r="G317" s="1" t="s">
        <v>451</v>
      </c>
      <c r="H317" s="10"/>
      <c r="I317">
        <f t="shared" si="105"/>
        <v>1</v>
      </c>
      <c r="J317">
        <f t="shared" si="104"/>
        <v>0</v>
      </c>
      <c r="K317">
        <f t="shared" si="106"/>
        <v>0</v>
      </c>
      <c r="L317" s="144" t="b">
        <f t="shared" si="100"/>
        <v>0</v>
      </c>
      <c r="M317" s="144">
        <f t="shared" si="101"/>
        <v>1</v>
      </c>
      <c r="AO317" s="16"/>
    </row>
    <row r="318" spans="1:41">
      <c r="A318" s="1" t="s">
        <v>216</v>
      </c>
      <c r="B318" s="10" t="s">
        <v>294</v>
      </c>
      <c r="C318" s="1">
        <v>4</v>
      </c>
      <c r="D318" s="1">
        <v>1</v>
      </c>
      <c r="E318" s="18">
        <v>565265</v>
      </c>
      <c r="F318" s="1">
        <v>1</v>
      </c>
      <c r="G318" s="1" t="s">
        <v>439</v>
      </c>
      <c r="H318" s="10"/>
      <c r="I318">
        <f t="shared" si="105"/>
        <v>1</v>
      </c>
      <c r="J318">
        <f t="shared" si="104"/>
        <v>1</v>
      </c>
      <c r="K318">
        <f t="shared" si="106"/>
        <v>0</v>
      </c>
      <c r="L318" s="144" t="b">
        <f t="shared" si="100"/>
        <v>0</v>
      </c>
      <c r="M318" s="144">
        <f t="shared" si="101"/>
        <v>2</v>
      </c>
      <c r="AO318" s="16"/>
    </row>
    <row r="319" spans="1:41">
      <c r="A319" s="1" t="s">
        <v>216</v>
      </c>
      <c r="B319" s="10" t="s">
        <v>293</v>
      </c>
      <c r="C319" s="1">
        <v>4</v>
      </c>
      <c r="D319" s="1">
        <v>0</v>
      </c>
      <c r="E319" s="18">
        <v>63</v>
      </c>
      <c r="F319" s="1">
        <v>1.1145215076114742E-4</v>
      </c>
      <c r="G319" s="1">
        <v>96</v>
      </c>
      <c r="H319" s="10"/>
      <c r="I319">
        <f t="shared" si="105"/>
        <v>1</v>
      </c>
      <c r="J319">
        <f t="shared" si="104"/>
        <v>0</v>
      </c>
      <c r="K319">
        <f t="shared" si="106"/>
        <v>1</v>
      </c>
      <c r="L319" s="144" t="b">
        <f t="shared" si="100"/>
        <v>1</v>
      </c>
      <c r="M319" s="144">
        <f t="shared" si="101"/>
        <v>2</v>
      </c>
      <c r="AO319" s="16"/>
    </row>
    <row r="320" spans="1:41">
      <c r="A320" s="1" t="s">
        <v>211</v>
      </c>
      <c r="B320" s="10" t="s">
        <v>283</v>
      </c>
      <c r="C320" s="1">
        <v>4</v>
      </c>
      <c r="D320" s="1">
        <v>1</v>
      </c>
      <c r="E320" s="18">
        <v>667916</v>
      </c>
      <c r="F320" s="1">
        <v>1</v>
      </c>
      <c r="G320" s="1" t="s">
        <v>439</v>
      </c>
      <c r="H320" s="10"/>
      <c r="I320">
        <f t="shared" si="105"/>
        <v>1</v>
      </c>
      <c r="J320">
        <f t="shared" si="104"/>
        <v>1</v>
      </c>
      <c r="K320">
        <f t="shared" si="106"/>
        <v>0</v>
      </c>
      <c r="L320" s="144" t="b">
        <f t="shared" si="100"/>
        <v>0</v>
      </c>
      <c r="M320" s="144">
        <f t="shared" si="101"/>
        <v>2</v>
      </c>
    </row>
    <row r="321" spans="1:41">
      <c r="A321" s="1" t="s">
        <v>211</v>
      </c>
      <c r="B321" s="8" t="s">
        <v>276</v>
      </c>
      <c r="C321" s="1">
        <v>4</v>
      </c>
      <c r="D321" s="1">
        <v>1</v>
      </c>
      <c r="E321" s="18">
        <v>102845</v>
      </c>
      <c r="F321" s="1">
        <v>0.15397894345995605</v>
      </c>
      <c r="G321" s="1">
        <v>67.540000000000006</v>
      </c>
      <c r="H321" t="s">
        <v>268</v>
      </c>
      <c r="I321">
        <f t="shared" si="105"/>
        <v>1</v>
      </c>
      <c r="J321">
        <f t="shared" si="104"/>
        <v>1</v>
      </c>
      <c r="K321">
        <f t="shared" si="106"/>
        <v>1</v>
      </c>
      <c r="L321" s="144" t="b">
        <f t="shared" si="100"/>
        <v>1</v>
      </c>
      <c r="M321" s="144">
        <f t="shared" si="101"/>
        <v>3</v>
      </c>
    </row>
    <row r="322" spans="1:41">
      <c r="A322" s="1" t="s">
        <v>211</v>
      </c>
      <c r="B322" s="10" t="s">
        <v>279</v>
      </c>
      <c r="C322" s="1">
        <v>4</v>
      </c>
      <c r="D322" s="1">
        <v>1</v>
      </c>
      <c r="E322" s="18">
        <v>99204</v>
      </c>
      <c r="F322" s="1">
        <v>0.14852765916672156</v>
      </c>
      <c r="G322" s="1">
        <v>0.11</v>
      </c>
      <c r="I322">
        <f t="shared" si="105"/>
        <v>1</v>
      </c>
      <c r="J322">
        <f t="shared" si="104"/>
        <v>1</v>
      </c>
      <c r="K322">
        <f t="shared" si="106"/>
        <v>1</v>
      </c>
      <c r="L322" s="144" t="b">
        <f t="shared" si="100"/>
        <v>1</v>
      </c>
      <c r="M322" s="144">
        <f t="shared" si="101"/>
        <v>3</v>
      </c>
    </row>
    <row r="323" spans="1:41">
      <c r="A323" s="1" t="s">
        <v>211</v>
      </c>
      <c r="B323" s="10" t="s">
        <v>285</v>
      </c>
      <c r="C323" s="1">
        <v>4</v>
      </c>
      <c r="D323" s="1">
        <v>1</v>
      </c>
      <c r="E323" s="18">
        <v>72365</v>
      </c>
      <c r="F323" s="1">
        <v>0.10834446247731751</v>
      </c>
      <c r="G323" s="1">
        <v>0.47</v>
      </c>
      <c r="I323">
        <f t="shared" si="105"/>
        <v>1</v>
      </c>
      <c r="J323">
        <f t="shared" si="104"/>
        <v>1</v>
      </c>
      <c r="K323">
        <f t="shared" si="106"/>
        <v>1</v>
      </c>
      <c r="L323" s="144" t="b">
        <f t="shared" ref="L323:L337" si="107">ISNUMBER(G323)</f>
        <v>1</v>
      </c>
      <c r="M323" s="144">
        <f t="shared" ref="M323:M337" si="108">I323+J323+K323</f>
        <v>3</v>
      </c>
    </row>
    <row r="324" spans="1:41">
      <c r="A324" s="1" t="s">
        <v>211</v>
      </c>
      <c r="B324" s="10" t="s">
        <v>281</v>
      </c>
      <c r="C324" s="1">
        <v>4</v>
      </c>
      <c r="D324" s="1">
        <v>1</v>
      </c>
      <c r="E324" s="18">
        <v>16355</v>
      </c>
      <c r="F324" s="1">
        <v>2.4486612088945318E-2</v>
      </c>
      <c r="G324" s="1">
        <v>1.22</v>
      </c>
      <c r="I324">
        <f t="shared" si="105"/>
        <v>1</v>
      </c>
      <c r="J324">
        <f t="shared" si="104"/>
        <v>1</v>
      </c>
      <c r="K324">
        <f t="shared" si="106"/>
        <v>1</v>
      </c>
      <c r="L324" s="144" t="b">
        <f t="shared" si="107"/>
        <v>1</v>
      </c>
      <c r="M324" s="144">
        <f t="shared" si="108"/>
        <v>3</v>
      </c>
    </row>
    <row r="325" spans="1:41">
      <c r="A325" s="1" t="s">
        <v>211</v>
      </c>
      <c r="B325" s="10" t="s">
        <v>277</v>
      </c>
      <c r="C325" s="1">
        <v>4</v>
      </c>
      <c r="D325" s="1">
        <v>1</v>
      </c>
      <c r="E325" s="18">
        <v>10835</v>
      </c>
      <c r="F325" s="1">
        <v>1.6222099785002903E-2</v>
      </c>
      <c r="G325" s="1">
        <v>82.12</v>
      </c>
      <c r="H325" s="10" t="s">
        <v>270</v>
      </c>
      <c r="I325">
        <f t="shared" si="105"/>
        <v>1</v>
      </c>
      <c r="J325">
        <f t="shared" si="104"/>
        <v>1</v>
      </c>
      <c r="K325">
        <f t="shared" si="106"/>
        <v>1</v>
      </c>
      <c r="L325" s="144" t="b">
        <f t="shared" si="107"/>
        <v>1</v>
      </c>
      <c r="M325" s="144">
        <f t="shared" si="108"/>
        <v>3</v>
      </c>
    </row>
    <row r="326" spans="1:41">
      <c r="A326" s="1" t="s">
        <v>211</v>
      </c>
      <c r="B326" s="10" t="s">
        <v>282</v>
      </c>
      <c r="C326" s="1">
        <v>4</v>
      </c>
      <c r="D326" s="1">
        <v>1</v>
      </c>
      <c r="E326" s="18">
        <v>7290</v>
      </c>
      <c r="F326" s="1">
        <v>1.0914546140532642E-2</v>
      </c>
      <c r="G326" s="1">
        <v>1.41</v>
      </c>
      <c r="I326">
        <f t="shared" si="105"/>
        <v>1</v>
      </c>
      <c r="J326">
        <f t="shared" si="104"/>
        <v>1</v>
      </c>
      <c r="K326">
        <f t="shared" si="106"/>
        <v>1</v>
      </c>
      <c r="L326" s="144" t="b">
        <f t="shared" si="107"/>
        <v>1</v>
      </c>
      <c r="M326" s="144">
        <f t="shared" si="108"/>
        <v>3</v>
      </c>
    </row>
    <row r="327" spans="1:41">
      <c r="A327" s="1" t="s">
        <v>211</v>
      </c>
      <c r="B327" s="10" t="s">
        <v>284</v>
      </c>
      <c r="C327" s="1">
        <v>4</v>
      </c>
      <c r="D327" s="1">
        <v>1</v>
      </c>
      <c r="E327" s="18">
        <v>5861</v>
      </c>
      <c r="F327" s="1">
        <v>8.775055545906971E-3</v>
      </c>
      <c r="G327" s="1">
        <v>1.18</v>
      </c>
      <c r="H327" t="s">
        <v>268</v>
      </c>
      <c r="I327">
        <f t="shared" si="105"/>
        <v>1</v>
      </c>
      <c r="J327">
        <f t="shared" si="104"/>
        <v>1</v>
      </c>
      <c r="K327">
        <f t="shared" si="106"/>
        <v>1</v>
      </c>
      <c r="L327" s="144" t="b">
        <f t="shared" si="107"/>
        <v>1</v>
      </c>
      <c r="M327" s="144">
        <f t="shared" si="108"/>
        <v>3</v>
      </c>
      <c r="AO327" s="16"/>
    </row>
    <row r="328" spans="1:41">
      <c r="A328" s="1" t="s">
        <v>211</v>
      </c>
      <c r="B328" s="10" t="s">
        <v>267</v>
      </c>
      <c r="C328" s="1">
        <v>4</v>
      </c>
      <c r="D328" s="1">
        <v>1</v>
      </c>
      <c r="E328" s="18">
        <v>3000</v>
      </c>
      <c r="F328" s="1">
        <v>4.4915827738817452E-3</v>
      </c>
      <c r="G328" s="1">
        <v>3.13</v>
      </c>
      <c r="H328" s="10" t="s">
        <v>268</v>
      </c>
      <c r="I328">
        <f t="shared" si="105"/>
        <v>1</v>
      </c>
      <c r="J328">
        <f t="shared" si="104"/>
        <v>1</v>
      </c>
      <c r="K328">
        <f t="shared" si="106"/>
        <v>1</v>
      </c>
      <c r="L328" s="144" t="b">
        <f t="shared" si="107"/>
        <v>1</v>
      </c>
      <c r="M328" s="144">
        <f t="shared" si="108"/>
        <v>3</v>
      </c>
      <c r="AO328" s="16"/>
    </row>
    <row r="329" spans="1:41">
      <c r="A329" s="1" t="s">
        <v>211</v>
      </c>
      <c r="B329" s="10" t="s">
        <v>273</v>
      </c>
      <c r="C329" s="1">
        <v>4</v>
      </c>
      <c r="D329" s="1">
        <v>1</v>
      </c>
      <c r="E329" s="18">
        <v>1512</v>
      </c>
      <c r="F329" s="1">
        <v>2.2637577180363998E-3</v>
      </c>
      <c r="G329" s="1">
        <v>38.79</v>
      </c>
      <c r="H329" t="s">
        <v>272</v>
      </c>
      <c r="I329">
        <f t="shared" si="105"/>
        <v>1</v>
      </c>
      <c r="J329">
        <f t="shared" si="104"/>
        <v>1</v>
      </c>
      <c r="K329">
        <f t="shared" si="106"/>
        <v>1</v>
      </c>
      <c r="L329" s="144" t="b">
        <f t="shared" si="107"/>
        <v>1</v>
      </c>
      <c r="M329" s="144">
        <f t="shared" si="108"/>
        <v>3</v>
      </c>
      <c r="AO329" s="16"/>
    </row>
    <row r="330" spans="1:41">
      <c r="A330" s="1" t="s">
        <v>211</v>
      </c>
      <c r="B330" s="10" t="s">
        <v>269</v>
      </c>
      <c r="C330" s="1">
        <v>4</v>
      </c>
      <c r="D330" s="1">
        <v>1</v>
      </c>
      <c r="E330" s="18">
        <v>897</v>
      </c>
      <c r="F330" s="1">
        <v>1.3429832493906419E-3</v>
      </c>
      <c r="G330" s="1">
        <v>5.99</v>
      </c>
      <c r="H330" t="s">
        <v>270</v>
      </c>
      <c r="I330">
        <f t="shared" si="105"/>
        <v>1</v>
      </c>
      <c r="J330">
        <f t="shared" si="104"/>
        <v>1</v>
      </c>
      <c r="K330">
        <f t="shared" si="106"/>
        <v>1</v>
      </c>
      <c r="L330" s="144" t="b">
        <f t="shared" si="107"/>
        <v>1</v>
      </c>
      <c r="M330" s="144">
        <f t="shared" si="108"/>
        <v>3</v>
      </c>
      <c r="AO330" s="17"/>
    </row>
    <row r="331" spans="1:41">
      <c r="A331" s="1" t="s">
        <v>211</v>
      </c>
      <c r="B331" s="10" t="s">
        <v>280</v>
      </c>
      <c r="C331" s="1">
        <v>4</v>
      </c>
      <c r="D331" s="1">
        <v>1</v>
      </c>
      <c r="E331" s="18">
        <v>315</v>
      </c>
      <c r="F331" s="1">
        <v>4.7161619125758329E-4</v>
      </c>
      <c r="G331" s="1">
        <v>8.5299999999999994</v>
      </c>
      <c r="I331">
        <f t="shared" si="105"/>
        <v>1</v>
      </c>
      <c r="J331">
        <f t="shared" si="104"/>
        <v>0</v>
      </c>
      <c r="K331">
        <f t="shared" si="106"/>
        <v>1</v>
      </c>
      <c r="L331" s="144" t="b">
        <f t="shared" si="107"/>
        <v>1</v>
      </c>
      <c r="M331" s="144">
        <f t="shared" si="108"/>
        <v>2</v>
      </c>
      <c r="AO331" s="17"/>
    </row>
    <row r="332" spans="1:41">
      <c r="A332" s="1" t="s">
        <v>211</v>
      </c>
      <c r="B332" s="10" t="s">
        <v>286</v>
      </c>
      <c r="C332" s="1">
        <v>4</v>
      </c>
      <c r="D332" s="1">
        <v>1</v>
      </c>
      <c r="E332" s="18">
        <v>143</v>
      </c>
      <c r="F332" s="1">
        <v>2.140987788883632E-4</v>
      </c>
      <c r="G332" s="1">
        <v>4.4400000000000004</v>
      </c>
      <c r="I332">
        <f t="shared" si="105"/>
        <v>1</v>
      </c>
      <c r="J332">
        <f t="shared" si="104"/>
        <v>0</v>
      </c>
      <c r="K332">
        <f t="shared" si="106"/>
        <v>1</v>
      </c>
      <c r="L332" s="144" t="b">
        <f t="shared" si="107"/>
        <v>1</v>
      </c>
      <c r="M332" s="144">
        <f t="shared" si="108"/>
        <v>2</v>
      </c>
      <c r="AO332" s="16"/>
    </row>
    <row r="333" spans="1:41">
      <c r="A333" s="1" t="s">
        <v>211</v>
      </c>
      <c r="B333" s="10" t="s">
        <v>287</v>
      </c>
      <c r="C333" s="1">
        <v>4</v>
      </c>
      <c r="D333" s="1">
        <v>1</v>
      </c>
      <c r="E333" s="18">
        <v>120</v>
      </c>
      <c r="F333" s="1">
        <v>1.7966331095526982E-4</v>
      </c>
      <c r="G333" s="1">
        <v>14.44</v>
      </c>
      <c r="H333" t="s">
        <v>268</v>
      </c>
      <c r="I333">
        <f t="shared" si="105"/>
        <v>1</v>
      </c>
      <c r="J333">
        <f t="shared" si="104"/>
        <v>0</v>
      </c>
      <c r="K333">
        <f t="shared" si="106"/>
        <v>1</v>
      </c>
      <c r="L333" s="144" t="b">
        <f t="shared" si="107"/>
        <v>1</v>
      </c>
      <c r="M333" s="144">
        <f t="shared" si="108"/>
        <v>2</v>
      </c>
    </row>
    <row r="334" spans="1:41">
      <c r="A334" s="1" t="s">
        <v>211</v>
      </c>
      <c r="B334" s="10" t="s">
        <v>275</v>
      </c>
      <c r="C334" s="1">
        <v>4</v>
      </c>
      <c r="D334" s="1">
        <v>1</v>
      </c>
      <c r="E334" s="18">
        <v>100</v>
      </c>
      <c r="F334" s="1">
        <v>1.497194257960582E-4</v>
      </c>
      <c r="G334" s="1">
        <v>17.04</v>
      </c>
      <c r="H334" s="10" t="s">
        <v>270</v>
      </c>
      <c r="I334">
        <f t="shared" si="105"/>
        <v>1</v>
      </c>
      <c r="J334">
        <f t="shared" si="104"/>
        <v>0</v>
      </c>
      <c r="K334">
        <f t="shared" si="106"/>
        <v>1</v>
      </c>
      <c r="L334" s="144" t="b">
        <f t="shared" si="107"/>
        <v>1</v>
      </c>
      <c r="M334" s="144">
        <f t="shared" si="108"/>
        <v>2</v>
      </c>
    </row>
    <row r="335" spans="1:41">
      <c r="A335" s="1" t="s">
        <v>211</v>
      </c>
      <c r="B335" s="10" t="s">
        <v>291</v>
      </c>
      <c r="C335" s="1">
        <v>4</v>
      </c>
      <c r="D335" s="1">
        <v>1</v>
      </c>
      <c r="E335" s="18">
        <v>95</v>
      </c>
      <c r="F335" s="1">
        <v>1.4223345450625527E-4</v>
      </c>
      <c r="G335" s="1">
        <v>29.76</v>
      </c>
      <c r="H335" t="s">
        <v>272</v>
      </c>
      <c r="I335">
        <f t="shared" si="105"/>
        <v>1</v>
      </c>
      <c r="J335">
        <f t="shared" si="104"/>
        <v>0</v>
      </c>
      <c r="K335">
        <f t="shared" si="106"/>
        <v>1</v>
      </c>
      <c r="L335" s="144" t="b">
        <f t="shared" si="107"/>
        <v>1</v>
      </c>
      <c r="M335" s="144">
        <f t="shared" si="108"/>
        <v>2</v>
      </c>
    </row>
    <row r="336" spans="1:41" ht="31.5">
      <c r="A336" s="1" t="s">
        <v>211</v>
      </c>
      <c r="B336" s="10" t="s">
        <v>288</v>
      </c>
      <c r="C336" s="1">
        <v>4</v>
      </c>
      <c r="D336" s="1">
        <v>1</v>
      </c>
      <c r="E336" s="18">
        <v>70</v>
      </c>
      <c r="F336" s="1">
        <v>1.0480359805724073E-4</v>
      </c>
      <c r="G336" s="1">
        <v>25.56</v>
      </c>
      <c r="H336" t="s">
        <v>270</v>
      </c>
      <c r="I336">
        <f t="shared" si="105"/>
        <v>1</v>
      </c>
      <c r="J336">
        <f t="shared" si="104"/>
        <v>0</v>
      </c>
      <c r="K336">
        <f t="shared" si="106"/>
        <v>1</v>
      </c>
      <c r="L336" s="144" t="b">
        <f t="shared" si="107"/>
        <v>1</v>
      </c>
      <c r="M336" s="144">
        <f t="shared" si="108"/>
        <v>2</v>
      </c>
    </row>
    <row r="337" spans="1:13">
      <c r="A337" s="1" t="s">
        <v>211</v>
      </c>
      <c r="B337" s="10" t="s">
        <v>271</v>
      </c>
      <c r="C337" s="1">
        <v>4</v>
      </c>
      <c r="D337" s="1">
        <v>1</v>
      </c>
      <c r="E337" s="18">
        <v>60</v>
      </c>
      <c r="F337" s="1">
        <v>8.9831655477634912E-5</v>
      </c>
      <c r="G337" s="1">
        <v>17.36</v>
      </c>
      <c r="H337" t="s">
        <v>272</v>
      </c>
      <c r="I337">
        <f t="shared" si="105"/>
        <v>1</v>
      </c>
      <c r="J337">
        <f t="shared" si="104"/>
        <v>0</v>
      </c>
      <c r="K337">
        <f t="shared" si="106"/>
        <v>1</v>
      </c>
      <c r="L337" s="144" t="b">
        <f t="shared" si="107"/>
        <v>1</v>
      </c>
      <c r="M337" s="144">
        <f t="shared" si="108"/>
        <v>2</v>
      </c>
    </row>
  </sheetData>
  <autoFilter ref="A1:I337" xr:uid="{00000000-0009-0000-0000-000004000000}">
    <sortState xmlns:xlrd2="http://schemas.microsoft.com/office/spreadsheetml/2017/richdata2" ref="A253:I275">
      <sortCondition ref="B1:B337"/>
    </sortState>
  </autoFilter>
  <mergeCells count="11">
    <mergeCell ref="AC166:AC169"/>
    <mergeCell ref="AC171:AC174"/>
    <mergeCell ref="AC181:AC183"/>
    <mergeCell ref="AP149:AP151"/>
    <mergeCell ref="AP134:AP137"/>
    <mergeCell ref="AC134:AC137"/>
    <mergeCell ref="AC139:AC142"/>
    <mergeCell ref="AI134:AI137"/>
    <mergeCell ref="AC149:AC151"/>
    <mergeCell ref="AI139:AI142"/>
    <mergeCell ref="AI149:AI151"/>
  </mergeCells>
  <phoneticPr fontId="3" type="noConversion"/>
  <conditionalFormatting sqref="I2:K337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1 X11 V11">
    <cfRule type="colorScale" priority="47">
      <colorScale>
        <cfvo type="min"/>
        <cfvo type="max"/>
        <color rgb="FF00B050"/>
        <color rgb="FFFF0000"/>
      </colorScale>
    </cfRule>
    <cfRule type="colorScale" priority="48">
      <colorScale>
        <cfvo type="min"/>
        <cfvo type="max"/>
        <color theme="6" tint="-0.499984740745262"/>
        <color rgb="FFFF0000"/>
      </colorScale>
    </cfRule>
  </conditionalFormatting>
  <conditionalFormatting sqref="T20 V20">
    <cfRule type="colorScale" priority="45">
      <colorScale>
        <cfvo type="min"/>
        <cfvo type="max"/>
        <color rgb="FF00B050"/>
        <color rgb="FFFF0000"/>
      </colorScale>
    </cfRule>
    <cfRule type="colorScale" priority="46">
      <colorScale>
        <cfvo type="min"/>
        <cfvo type="max"/>
        <color theme="6" tint="-0.499984740745262"/>
        <color rgb="FFFF0000"/>
      </colorScale>
    </cfRule>
  </conditionalFormatting>
  <conditionalFormatting sqref="T29:V29">
    <cfRule type="colorScale" priority="43">
      <colorScale>
        <cfvo type="min"/>
        <cfvo type="max"/>
        <color rgb="FF00B050"/>
        <color rgb="FFFF0000"/>
      </colorScale>
    </cfRule>
    <cfRule type="colorScale" priority="44">
      <colorScale>
        <cfvo type="min"/>
        <cfvo type="max"/>
        <color theme="6" tint="-0.499984740745262"/>
        <color rgb="FFFF0000"/>
      </colorScale>
    </cfRule>
  </conditionalFormatting>
  <conditionalFormatting sqref="T38:V38">
    <cfRule type="colorScale" priority="41">
      <colorScale>
        <cfvo type="min"/>
        <cfvo type="max"/>
        <color rgb="FF00B050"/>
        <color rgb="FFFF0000"/>
      </colorScale>
    </cfRule>
    <cfRule type="colorScale" priority="42">
      <colorScale>
        <cfvo type="min"/>
        <cfvo type="max"/>
        <color theme="6" tint="-0.499984740745262"/>
        <color rgb="FFFF0000"/>
      </colorScale>
    </cfRule>
  </conditionalFormatting>
  <conditionalFormatting sqref="S11 S20 S29 S38">
    <cfRule type="colorScale" priority="39">
      <colorScale>
        <cfvo type="min"/>
        <cfvo type="max"/>
        <color rgb="FF00B050"/>
        <color rgb="FFFF0000"/>
      </colorScale>
    </cfRule>
    <cfRule type="colorScale" priority="40">
      <colorScale>
        <cfvo type="min"/>
        <cfvo type="max"/>
        <color theme="6" tint="-0.499984740745262"/>
        <color rgb="FFFF0000"/>
      </colorScale>
    </cfRule>
  </conditionalFormatting>
  <conditionalFormatting sqref="AO1:AP67 AO120:AP132 AP133 AO104:AO119 AO145:AP148 AO152:AP1048576 AO149:AO151 AP144 AO142:AP143 AO134:AO141 AO89:AP103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5:F55 E188:F194 E1:G54 E56:G184 E196:F211 E212:G1048576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5:F55 D188:F194 D185:D187 D195 D1:G54 D56:G184 D196:F211 D212:G337">
    <cfRule type="colorScale" priority="35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7">
      <colorScale>
        <cfvo type="min"/>
        <cfvo type="max"/>
        <color theme="6" tint="-0.499984740745262"/>
        <color theme="9" tint="0.59999389629810485"/>
      </colorScale>
    </cfRule>
  </conditionalFormatting>
  <conditionalFormatting sqref="D1:D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">
    <cfRule type="colorScale" priority="31">
      <colorScale>
        <cfvo type="min"/>
        <cfvo type="max"/>
        <color rgb="FF00B050"/>
        <color rgb="FFFF0000"/>
      </colorScale>
    </cfRule>
    <cfRule type="colorScale" priority="32">
      <colorScale>
        <cfvo type="min"/>
        <cfvo type="max"/>
        <color theme="6" tint="-0.499984740745262"/>
        <color rgb="FFFF0000"/>
      </colorScale>
    </cfRule>
  </conditionalFormatting>
  <conditionalFormatting sqref="X29">
    <cfRule type="colorScale" priority="29">
      <colorScale>
        <cfvo type="min"/>
        <cfvo type="max"/>
        <color rgb="FF00B050"/>
        <color rgb="FFFF0000"/>
      </colorScale>
    </cfRule>
    <cfRule type="colorScale" priority="30">
      <colorScale>
        <cfvo type="min"/>
        <cfvo type="max"/>
        <color theme="6" tint="-0.499984740745262"/>
        <color rgb="FFFF0000"/>
      </colorScale>
    </cfRule>
  </conditionalFormatting>
  <conditionalFormatting sqref="X38">
    <cfRule type="colorScale" priority="27">
      <colorScale>
        <cfvo type="min"/>
        <cfvo type="max"/>
        <color rgb="FF00B050"/>
        <color rgb="FFFF0000"/>
      </colorScale>
    </cfRule>
    <cfRule type="colorScale" priority="28">
      <colorScale>
        <cfvo type="min"/>
        <cfvo type="max"/>
        <color theme="6" tint="-0.499984740745262"/>
        <color rgb="FFFF0000"/>
      </colorScale>
    </cfRule>
  </conditionalFormatting>
  <conditionalFormatting sqref="P190:P19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5:G18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6:G18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7:G18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95:F19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1">
    <cfRule type="colorScale" priority="20">
      <colorScale>
        <cfvo type="min"/>
        <cfvo type="max"/>
        <color rgb="FF00B050"/>
        <color rgb="FFFF0000"/>
      </colorScale>
    </cfRule>
    <cfRule type="colorScale" priority="21">
      <colorScale>
        <cfvo type="min"/>
        <cfvo type="max"/>
        <color theme="6" tint="-0.499984740745262"/>
        <color rgb="FFFF0000"/>
      </colorScale>
    </cfRule>
  </conditionalFormatting>
  <conditionalFormatting sqref="U20">
    <cfRule type="colorScale" priority="18">
      <colorScale>
        <cfvo type="min"/>
        <cfvo type="max"/>
        <color rgb="FF00B050"/>
        <color rgb="FFFF0000"/>
      </colorScale>
    </cfRule>
    <cfRule type="colorScale" priority="19">
      <colorScale>
        <cfvo type="min"/>
        <cfvo type="max"/>
        <color theme="6" tint="-0.499984740745262"/>
        <color rgb="FFFF0000"/>
      </colorScale>
    </cfRule>
  </conditionalFormatting>
  <conditionalFormatting sqref="T47:V47">
    <cfRule type="colorScale" priority="16">
      <colorScale>
        <cfvo type="min"/>
        <cfvo type="max"/>
        <color rgb="FF00B050"/>
        <color rgb="FFFF0000"/>
      </colorScale>
    </cfRule>
    <cfRule type="colorScale" priority="17">
      <colorScale>
        <cfvo type="min"/>
        <cfvo type="max"/>
        <color theme="6" tint="-0.499984740745262"/>
        <color rgb="FFFF0000"/>
      </colorScale>
    </cfRule>
  </conditionalFormatting>
  <conditionalFormatting sqref="S47">
    <cfRule type="colorScale" priority="14">
      <colorScale>
        <cfvo type="min"/>
        <cfvo type="max"/>
        <color rgb="FF00B050"/>
        <color rgb="FFFF0000"/>
      </colorScale>
    </cfRule>
    <cfRule type="colorScale" priority="15">
      <colorScale>
        <cfvo type="min"/>
        <cfvo type="max"/>
        <color theme="6" tint="-0.499984740745262"/>
        <color rgb="FFFF0000"/>
      </colorScale>
    </cfRule>
  </conditionalFormatting>
  <conditionalFormatting sqref="X47">
    <cfRule type="colorScale" priority="12">
      <colorScale>
        <cfvo type="min"/>
        <cfvo type="max"/>
        <color rgb="FF00B050"/>
        <color rgb="FFFF0000"/>
      </colorScale>
    </cfRule>
    <cfRule type="colorScale" priority="13">
      <colorScale>
        <cfvo type="min"/>
        <cfvo type="max"/>
        <color theme="6" tint="-0.499984740745262"/>
        <color rgb="FFFF0000"/>
      </colorScale>
    </cfRule>
  </conditionalFormatting>
  <conditionalFormatting sqref="Q53">
    <cfRule type="colorScale" priority="10">
      <colorScale>
        <cfvo type="min"/>
        <cfvo type="max"/>
        <color rgb="FF00B050"/>
        <color rgb="FFFF0000"/>
      </colorScale>
    </cfRule>
    <cfRule type="colorScale" priority="11">
      <colorScale>
        <cfvo type="min"/>
        <cfvo type="max"/>
        <color theme="6" tint="-0.499984740745262"/>
        <color rgb="FFFF0000"/>
      </colorScale>
    </cfRule>
  </conditionalFormatting>
  <conditionalFormatting sqref="G5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5">
    <cfRule type="colorScale" priority="7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theme="6" tint="-0.499984740745262"/>
        <color theme="9" tint="0.59999389629810485"/>
      </colorScale>
    </cfRule>
  </conditionalFormatting>
  <conditionalFormatting sqref="G188:G2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88:G211">
    <cfRule type="colorScale" priority="3">
      <colorScale>
        <cfvo type="min"/>
        <cfvo type="num" val="0.5"/>
        <cfvo type="max"/>
        <color rgb="FF00B050"/>
        <color theme="9" tint="-0.249977111117893"/>
        <color rgb="FFFF0000"/>
      </colorScale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theme="6" tint="-0.499984740745262"/>
        <color theme="9" tint="0.59999389629810485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log_file</vt:lpstr>
      <vt:lpstr>Summary</vt:lpstr>
      <vt:lpstr>pre-compute all</vt:lpstr>
      <vt:lpstr>pre-compute target</vt:lpstr>
      <vt:lpstr>pre compute batch alien</vt:lpstr>
      <vt:lpstr>Batch no BSV and &gt;5 reads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Rong</dc:creator>
  <cp:lastModifiedBy>johan rollin</cp:lastModifiedBy>
  <dcterms:created xsi:type="dcterms:W3CDTF">2020-03-09T16:34:09Z</dcterms:created>
  <dcterms:modified xsi:type="dcterms:W3CDTF">2023-02-21T16:14:36Z</dcterms:modified>
</cp:coreProperties>
</file>