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icy\Downloads\trabajo\"/>
    </mc:Choice>
  </mc:AlternateContent>
  <xr:revisionPtr revIDLastSave="0" documentId="13_ncr:1_{2134B5F8-55B0-4621-8468-075B9ECB641E}" xr6:coauthVersionLast="47" xr6:coauthVersionMax="47" xr10:uidLastSave="{00000000-0000-0000-0000-000000000000}"/>
  <bookViews>
    <workbookView xWindow="-120" yWindow="-120" windowWidth="20730" windowHeight="11040" xr2:uid="{5F356AF9-4E4C-40B5-8F41-862A7B6F1399}"/>
  </bookViews>
  <sheets>
    <sheet name="Tabla de datos" sheetId="4" r:id="rId1"/>
    <sheet name="Tabla de variabl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B23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K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<sst xmlns="http://schemas.openxmlformats.org/spreadsheetml/2006/main" count="69" uniqueCount="53">
  <si>
    <t>Departamentos</t>
  </si>
  <si>
    <t>p_alfabetizacion</t>
  </si>
  <si>
    <t>p_mujer</t>
  </si>
  <si>
    <t>p_rural</t>
  </si>
  <si>
    <t>c_lenguas</t>
  </si>
  <si>
    <t>p_pueblosnativos</t>
  </si>
  <si>
    <t>p_lenguasnativas</t>
  </si>
  <si>
    <t>p_internet</t>
  </si>
  <si>
    <t>p_motora</t>
  </si>
  <si>
    <t>p_intelectual</t>
  </si>
  <si>
    <t>p_institucion</t>
  </si>
  <si>
    <t>Porcentaje de personas que se identifican como parte de un pueblo indígena u originario (Quechua, Aimara y nativo o indígena de la amazonía)</t>
  </si>
  <si>
    <t>Porcentaje de personas que se identifican como parte de un pueblo indígena u originario (Quechua, Aimara y nativo o indígena de la amazonía) que asisten a alguna institución educativa</t>
  </si>
  <si>
    <t>Porcentaje de mujeres que se identifican como parte de un pueblo indígena u originario (Quechua, Aimara y nativo o indígena de la amazonía)</t>
  </si>
  <si>
    <t>Porcentaje de personas que se identifican como parte de un pueblo indígena u originario (Quechua, Aimara y nativo o indígena de la amazonía) que residen en el área rural</t>
  </si>
  <si>
    <t xml:space="preserve">Nombre del departamento </t>
  </si>
  <si>
    <t>Cantidad de lenguas originarias habladas por la personas que se identifican como parte de un pueblo indígena u originario (Quechua, Aimara y nativo o indígena de la amazonía)</t>
  </si>
  <si>
    <t>Porcentaje de personas que se identifican como parte de un pueblo indígena u originario (Quechua, Aimara y nativo o indígena de la amazonía) que saben leer y escribir</t>
  </si>
  <si>
    <t>Porcentaje de personas que se identifican como parte de un pueblo indígena u originario (Quechua, Aimara y nativo o indígena de la amazonía) que hablan como mínimo una lengua nativa</t>
  </si>
  <si>
    <t>Porcentaje de personas que se identifican como parte de un pueblo indígena u originario (Quechua, Aimara y nativo o indígena de la amazonía) que presentan alguna discapacidad motora (ver, hablar, oír y moverse)</t>
  </si>
  <si>
    <t>Porcentaje de personas que se identifican como parte de un pueblo indígena u originario (Quechua, Aimara y nativo o indígena de la amazonía) que presentan alguna discapacidad intelectual (aprender y relacionarse con los demás).</t>
  </si>
  <si>
    <t>Porcentaje de hogares que se identifican como parte de un pueblo indígena u originario (Quechua, Aimara y nativo o indígena de la amazonía) que tienen acceso a internet</t>
  </si>
  <si>
    <t>Unidad de análisis</t>
  </si>
  <si>
    <t>Variable dependiente</t>
  </si>
  <si>
    <t>Variable independiente</t>
  </si>
  <si>
    <t>Universo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</si>
  <si>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</si>
  <si>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</si>
  <si>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</si>
  <si>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</si>
  <si>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</si>
  <si>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</si>
  <si>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</si>
  <si>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</si>
  <si>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</si>
  <si>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</si>
  <si>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</si>
  <si>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</si>
  <si>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</si>
  <si>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</si>
  <si>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</si>
  <si>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</si>
  <si>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</si>
  <si>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</si>
  <si>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</si>
  <si>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</si>
  <si>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</si>
  <si>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</si>
  <si>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</si>
  <si>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</si>
  <si>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</si>
  <si>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NOMBDEP</t>
  </si>
  <si>
    <t>EIB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</si>
</sst>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/>
    <xf numFmtId="2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/>
    <xf numFmtId="1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3378-F1A7-41CF-8BCF-9F08B4F67530}">
  <dimension ref="A1:K30"/>
  <sheetViews>
    <sheetView tabSelected="1" zoomScale="80" zoomScaleNormal="80" workbookViewId="0">
      <selection activeCell="M15" sqref="M15"/>
    </sheetView>
  </sheetViews>
  <sheetFormatPr baseColWidth="10" defaultRowHeight="15" x14ac:dyDescent="0.25"/>
  <cols>
    <col min="1" max="2" width="17.140625" customWidth="1"/>
    <col min="3" max="3" width="17" customWidth="1"/>
    <col min="5" max="5" width="16.7109375" customWidth="1"/>
    <col min="6" max="6" width="18.28515625" customWidth="1"/>
    <col min="10" max="10" width="14" customWidth="1"/>
  </cols>
  <sheetData>
    <row r="1" spans="1:11" x14ac:dyDescent="0.25">
      <c r="A1" s="2" t="s">
        <v>51</v>
      </c>
      <c r="B1" s="9" t="s">
        <v>52</v>
      </c>
      <c r="C1" s="1" t="s">
        <v>5</v>
      </c>
      <c r="D1" s="1" t="s">
        <v>4</v>
      </c>
      <c r="E1" s="1" t="s">
        <v>6</v>
      </c>
      <c r="F1" s="1" t="s">
        <v>1</v>
      </c>
      <c r="G1" s="1" t="s">
        <v>2</v>
      </c>
      <c r="H1" s="1" t="s">
        <v>3</v>
      </c>
      <c r="I1" s="1" t="s">
        <v>8</v>
      </c>
      <c r="J1" s="1" t="s">
        <v>9</v>
      </c>
      <c r="K1" s="1" t="s">
        <v>7</v>
      </c>
    </row>
    <row r="2" spans="1:11" x14ac:dyDescent="0.25">
      <c r="A2" s="1" t="s">
        <v>26</v>
      </c>
      <c r="B2" s="1">
        <v>782</v>
      </c>
      <c r="C2" s="3">
        <v>15.35</v>
      </c>
      <c r="D2" s="3">
        <v>9</v>
      </c>
      <c r="E2" s="3">
        <v>68.8</v>
      </c>
      <c r="F2" s="3">
        <v>87.5</v>
      </c>
      <c r="G2" s="3">
        <v>50.64</v>
      </c>
      <c r="H2" s="3">
        <v>74.8</v>
      </c>
      <c r="I2" s="3">
        <f>(2610*100)/43216</f>
        <v>6.0394298407997038</v>
      </c>
      <c r="J2" s="3">
        <f>(367*100)/43216</f>
        <v>0.84922251018141426</v>
      </c>
      <c r="K2" s="3">
        <f>(804*100)/41794</f>
        <v>1.9237211082930563</v>
      </c>
    </row>
    <row r="3" spans="1:11" x14ac:dyDescent="0.25">
      <c r="A3" s="1" t="s">
        <v>27</v>
      </c>
      <c r="B3" s="1">
        <v>613</v>
      </c>
      <c r="C3" s="3">
        <v>34.130000000000003</v>
      </c>
      <c r="D3" s="3">
        <v>10</v>
      </c>
      <c r="E3" s="3">
        <v>69.2</v>
      </c>
      <c r="F3" s="3">
        <v>82.5</v>
      </c>
      <c r="G3" s="3">
        <v>51.98</v>
      </c>
      <c r="H3" s="3">
        <v>47.73</v>
      </c>
      <c r="I3" s="3">
        <f>(48837*100)/290244</f>
        <v>16.826187621449538</v>
      </c>
      <c r="J3" s="3">
        <f>(6806*100)/290244</f>
        <v>2.3449235815382918</v>
      </c>
      <c r="K3" s="3">
        <f>(30204*100)/284860</f>
        <v>10.603103278803623</v>
      </c>
    </row>
    <row r="4" spans="1:11" x14ac:dyDescent="0.25">
      <c r="A4" s="1" t="s">
        <v>28</v>
      </c>
      <c r="B4" s="1">
        <v>805</v>
      </c>
      <c r="C4" s="3">
        <v>84.49</v>
      </c>
      <c r="D4" s="3">
        <v>9</v>
      </c>
      <c r="E4" s="3">
        <v>82.53</v>
      </c>
      <c r="F4" s="3">
        <v>83.1</v>
      </c>
      <c r="G4" s="3">
        <v>51.37</v>
      </c>
      <c r="H4" s="3">
        <v>44.31</v>
      </c>
      <c r="I4" s="3">
        <f>(41645*100)/266158</f>
        <v>15.646721120537425</v>
      </c>
      <c r="J4" s="3">
        <f>(7534*100)/266158</f>
        <v>2.8306494638522981</v>
      </c>
      <c r="K4" s="3">
        <f>(20875*100)/256732</f>
        <v>8.1310471620210958</v>
      </c>
    </row>
    <row r="5" spans="1:11" x14ac:dyDescent="0.25">
      <c r="A5" s="1" t="s">
        <v>29</v>
      </c>
      <c r="B5" s="1">
        <v>28</v>
      </c>
      <c r="C5" s="3">
        <v>34.619999999999997</v>
      </c>
      <c r="D5" s="3">
        <v>13</v>
      </c>
      <c r="E5" s="3">
        <v>52.14</v>
      </c>
      <c r="F5" s="3">
        <v>93.4</v>
      </c>
      <c r="G5" s="3">
        <v>51.9</v>
      </c>
      <c r="H5" s="3">
        <v>6.75</v>
      </c>
      <c r="I5" s="3">
        <f>(62785*100)/387169</f>
        <v>16.216432617280827</v>
      </c>
      <c r="J5" s="3">
        <f>(9869*100)/387169</f>
        <v>2.5490160627529579</v>
      </c>
      <c r="K5" s="3">
        <f>(94348*100)/375500</f>
        <v>25.125965379494009</v>
      </c>
    </row>
    <row r="6" spans="1:11" x14ac:dyDescent="0.25">
      <c r="A6" s="1" t="s">
        <v>30</v>
      </c>
      <c r="B6" s="1">
        <v>1018</v>
      </c>
      <c r="C6" s="3">
        <v>81.47</v>
      </c>
      <c r="D6" s="3">
        <v>10</v>
      </c>
      <c r="E6" s="3">
        <v>76.650000000000006</v>
      </c>
      <c r="F6" s="3">
        <v>85.9</v>
      </c>
      <c r="G6" s="3">
        <v>51.91</v>
      </c>
      <c r="H6" s="3">
        <v>32.74</v>
      </c>
      <c r="I6" s="3">
        <f>(56508*100)/390338</f>
        <v>14.476684309495873</v>
      </c>
      <c r="J6" s="3">
        <f>(10158*100)/390338</f>
        <v>2.602360005943567</v>
      </c>
      <c r="K6" s="3">
        <f>(40368*100)/376414</f>
        <v>10.724362005663977</v>
      </c>
    </row>
    <row r="7" spans="1:11" x14ac:dyDescent="0.25">
      <c r="A7" s="1" t="s">
        <v>31</v>
      </c>
      <c r="B7" s="1">
        <v>15</v>
      </c>
      <c r="C7" s="3">
        <v>6.42</v>
      </c>
      <c r="D7" s="3">
        <v>10</v>
      </c>
      <c r="E7" s="3">
        <v>8.3800000000000008</v>
      </c>
      <c r="F7" s="3">
        <v>85.3</v>
      </c>
      <c r="G7" s="3">
        <v>52.04</v>
      </c>
      <c r="H7" s="3">
        <v>46.46</v>
      </c>
      <c r="I7" s="3">
        <f>(7687*100)/65960</f>
        <v>11.654032747119466</v>
      </c>
      <c r="J7" s="3">
        <f>(1039*100)/65960</f>
        <v>1.5751970891449363</v>
      </c>
      <c r="K7" s="3">
        <f>(9925*100)/64506</f>
        <v>15.386165628003596</v>
      </c>
    </row>
    <row r="8" spans="1:11" x14ac:dyDescent="0.25">
      <c r="A8" s="1" t="s">
        <v>32</v>
      </c>
      <c r="B8" s="1">
        <v>0</v>
      </c>
      <c r="C8" s="3">
        <v>11</v>
      </c>
      <c r="D8" s="3">
        <v>17</v>
      </c>
      <c r="E8" s="3">
        <v>38.57</v>
      </c>
      <c r="F8" s="3">
        <v>95.3</v>
      </c>
      <c r="G8" s="3">
        <v>51.42</v>
      </c>
      <c r="H8" s="3">
        <v>0</v>
      </c>
      <c r="I8" s="3">
        <f>(15053*100)/87988</f>
        <v>17.108014729281265</v>
      </c>
      <c r="J8" s="3">
        <f>(2417*100)/87988</f>
        <v>2.746965495294813</v>
      </c>
      <c r="K8" s="3">
        <f>(33616*100)/87046</f>
        <v>38.618661397422052</v>
      </c>
    </row>
    <row r="9" spans="1:11" x14ac:dyDescent="0.25">
      <c r="A9" s="1" t="s">
        <v>33</v>
      </c>
      <c r="B9" s="1">
        <v>817</v>
      </c>
      <c r="C9" s="3">
        <v>75.900000000000006</v>
      </c>
      <c r="D9" s="3">
        <v>17</v>
      </c>
      <c r="E9" s="3">
        <v>71.73</v>
      </c>
      <c r="F9" s="3">
        <v>41.3</v>
      </c>
      <c r="G9" s="3">
        <v>51.29</v>
      </c>
      <c r="H9" s="3">
        <v>38.700000000000003</v>
      </c>
      <c r="I9" s="3">
        <f>(113662*100)/721309</f>
        <v>15.757740441336514</v>
      </c>
      <c r="J9" s="3">
        <f>(20309*100)/721309</f>
        <v>2.8155755716343482</v>
      </c>
      <c r="K9" s="3">
        <f>(104259*100)/706438</f>
        <v>14.758407673426401</v>
      </c>
    </row>
    <row r="10" spans="1:11" x14ac:dyDescent="0.25">
      <c r="A10" s="1" t="s">
        <v>34</v>
      </c>
      <c r="B10" s="1">
        <v>773</v>
      </c>
      <c r="C10" s="3">
        <v>80.87</v>
      </c>
      <c r="D10" s="3">
        <v>10</v>
      </c>
      <c r="E10" s="3">
        <v>77.73</v>
      </c>
      <c r="F10" s="3">
        <v>81.8</v>
      </c>
      <c r="G10" s="3">
        <v>52.78</v>
      </c>
      <c r="H10" s="3">
        <v>57.5</v>
      </c>
      <c r="I10" s="3">
        <f>(29437*100)/215791</f>
        <v>13.641440097131021</v>
      </c>
      <c r="J10" s="3">
        <f>(5077*100)/215791</f>
        <v>2.3527394562331145</v>
      </c>
      <c r="K10" s="3">
        <f>(9011*100)/210058</f>
        <v>4.2897675879995045</v>
      </c>
    </row>
    <row r="11" spans="1:11" x14ac:dyDescent="0.25">
      <c r="A11" s="1" t="s">
        <v>35</v>
      </c>
      <c r="B11" s="1">
        <v>422</v>
      </c>
      <c r="C11" s="3">
        <v>43.53</v>
      </c>
      <c r="D11" s="3">
        <v>15</v>
      </c>
      <c r="E11" s="3">
        <v>55.5</v>
      </c>
      <c r="F11" s="3">
        <v>82.8</v>
      </c>
      <c r="G11" s="3">
        <v>51.96</v>
      </c>
      <c r="H11" s="3">
        <v>49.85</v>
      </c>
      <c r="I11" s="3">
        <f>(33286*100)/240095</f>
        <v>13.863678960411503</v>
      </c>
      <c r="J11" s="3">
        <f>(5084*100)/240095</f>
        <v>2.1174951581665589</v>
      </c>
      <c r="K11" s="3">
        <f>(18075*100)/236981</f>
        <v>7.6271937412703972</v>
      </c>
    </row>
    <row r="12" spans="1:11" x14ac:dyDescent="0.25">
      <c r="A12" s="1" t="s">
        <v>36</v>
      </c>
      <c r="B12" s="1">
        <v>0</v>
      </c>
      <c r="C12" s="3">
        <v>14.82</v>
      </c>
      <c r="D12" s="3">
        <v>14</v>
      </c>
      <c r="E12" s="3">
        <v>36.83</v>
      </c>
      <c r="F12" s="3">
        <v>93.9</v>
      </c>
      <c r="G12" s="3">
        <v>50.99</v>
      </c>
      <c r="H12" s="3">
        <v>7.07</v>
      </c>
      <c r="I12" s="3">
        <f>(16486*100)/98150</f>
        <v>16.796739684156904</v>
      </c>
      <c r="J12" s="3">
        <f>(2267*100)/98150</f>
        <v>2.3097300050942433</v>
      </c>
      <c r="K12" s="3">
        <f>(24496*100)/94658</f>
        <v>25.878425489657502</v>
      </c>
    </row>
    <row r="13" spans="1:11" x14ac:dyDescent="0.25">
      <c r="A13" s="1" t="s">
        <v>37</v>
      </c>
      <c r="B13" s="1">
        <v>477</v>
      </c>
      <c r="C13" s="3">
        <v>38.76</v>
      </c>
      <c r="D13" s="3">
        <v>18</v>
      </c>
      <c r="E13" s="3">
        <v>37.520000000000003</v>
      </c>
      <c r="F13" s="3">
        <v>90.4</v>
      </c>
      <c r="G13" s="3">
        <v>52.03</v>
      </c>
      <c r="H13" s="3">
        <v>29.4</v>
      </c>
      <c r="I13" s="3">
        <f>(56261*100)/375614</f>
        <v>14.978408685512255</v>
      </c>
      <c r="J13" s="3">
        <f>(8264*100)/375614</f>
        <v>2.2001309855330207</v>
      </c>
      <c r="K13" s="3">
        <f>(54047*100)/368226</f>
        <v>14.67767077827204</v>
      </c>
    </row>
    <row r="14" spans="1:11" x14ac:dyDescent="0.25">
      <c r="A14" s="1" t="s">
        <v>38</v>
      </c>
      <c r="B14" s="1">
        <v>0</v>
      </c>
      <c r="C14" s="3">
        <v>3.09</v>
      </c>
      <c r="D14" s="3">
        <v>10</v>
      </c>
      <c r="E14" s="3">
        <v>8.57</v>
      </c>
      <c r="F14" s="3">
        <v>95.3</v>
      </c>
      <c r="G14" s="3">
        <v>49.79</v>
      </c>
      <c r="H14" s="3">
        <v>12.56</v>
      </c>
      <c r="I14" s="3">
        <f>(4942*100)/42671</f>
        <v>11.581636240069368</v>
      </c>
      <c r="J14" s="3">
        <f>(734*100)/42671</f>
        <v>1.7201377985048394</v>
      </c>
      <c r="K14" s="3">
        <f>(14512*100)/40544</f>
        <v>35.793212312549329</v>
      </c>
    </row>
    <row r="15" spans="1:11" x14ac:dyDescent="0.25">
      <c r="A15" s="1" t="s">
        <v>39</v>
      </c>
      <c r="B15" s="1">
        <v>129</v>
      </c>
      <c r="C15" s="3">
        <v>4.38</v>
      </c>
      <c r="D15" s="3">
        <v>9</v>
      </c>
      <c r="E15" s="3">
        <v>42.36</v>
      </c>
      <c r="F15" s="3">
        <v>86.8</v>
      </c>
      <c r="G15" s="3">
        <v>50.98</v>
      </c>
      <c r="H15" s="3">
        <v>34.47</v>
      </c>
      <c r="I15" s="3">
        <f>(5113*100)/40992</f>
        <v>12.47316549570648</v>
      </c>
      <c r="J15" s="3">
        <f>(730*100)/40992</f>
        <v>1.7808352849336455</v>
      </c>
      <c r="K15" s="3">
        <f>(9669*100)/40384</f>
        <v>23.942650554675119</v>
      </c>
    </row>
    <row r="16" spans="1:11" x14ac:dyDescent="0.25">
      <c r="A16" s="1" t="s">
        <v>40</v>
      </c>
      <c r="B16" s="1">
        <v>5</v>
      </c>
      <c r="C16" s="3">
        <v>17.190000000000001</v>
      </c>
      <c r="D16" s="3">
        <v>29</v>
      </c>
      <c r="E16" s="3">
        <v>38.21</v>
      </c>
      <c r="F16" s="3">
        <v>95.3</v>
      </c>
      <c r="G16" s="3">
        <v>51.56</v>
      </c>
      <c r="H16" s="3">
        <v>1.28</v>
      </c>
      <c r="I16" s="3">
        <f>(218805*100)/1337874</f>
        <v>16.35467914018809</v>
      </c>
      <c r="J16" s="3">
        <f>(34416*100)/1337874</f>
        <v>2.5724395570883356</v>
      </c>
      <c r="K16" s="3">
        <f>(519102*100)/1324642</f>
        <v>39.188097614298805</v>
      </c>
    </row>
    <row r="17" spans="1:11" x14ac:dyDescent="0.25">
      <c r="A17" s="1" t="s">
        <v>41</v>
      </c>
      <c r="B17" s="1">
        <f>245+44+73+6+12+61+563</f>
        <v>1004</v>
      </c>
      <c r="C17" s="3">
        <v>9.75</v>
      </c>
      <c r="D17" s="3">
        <v>26</v>
      </c>
      <c r="E17" s="3">
        <v>41.26</v>
      </c>
      <c r="F17" s="3">
        <v>83.2</v>
      </c>
      <c r="G17" s="3">
        <v>48.99</v>
      </c>
      <c r="H17" s="3">
        <v>69.61</v>
      </c>
      <c r="I17" s="3">
        <f>(4534*100)/60775</f>
        <v>7.4603044014808724</v>
      </c>
      <c r="J17" s="3">
        <f>(1064*100)/60775</f>
        <v>1.7507198683669272</v>
      </c>
      <c r="K17" s="3">
        <f>(2510*100)/59599</f>
        <v>4.2114800583902419</v>
      </c>
    </row>
    <row r="18" spans="1:11" x14ac:dyDescent="0.25">
      <c r="A18" s="1" t="s">
        <v>42</v>
      </c>
      <c r="B18" s="1">
        <v>29</v>
      </c>
      <c r="C18" s="3">
        <v>39.79</v>
      </c>
      <c r="D18" s="3">
        <v>19</v>
      </c>
      <c r="E18" s="3">
        <v>54.82</v>
      </c>
      <c r="F18" s="3">
        <v>94.5</v>
      </c>
      <c r="G18" s="3">
        <v>46.96</v>
      </c>
      <c r="H18" s="3">
        <v>17.350000000000001</v>
      </c>
      <c r="I18" s="3">
        <f>(5159*100)/41983</f>
        <v>12.288307171950551</v>
      </c>
      <c r="J18" s="3">
        <f>(836*100)/41983</f>
        <v>1.9912821856465712</v>
      </c>
      <c r="K18" s="3">
        <f>(5580*100)/39848</f>
        <v>14.00321220638426</v>
      </c>
    </row>
    <row r="19" spans="1:11" x14ac:dyDescent="0.25">
      <c r="A19" s="1" t="s">
        <v>43</v>
      </c>
      <c r="B19" s="1">
        <v>36</v>
      </c>
      <c r="C19" s="3">
        <v>35.64</v>
      </c>
      <c r="D19" s="3">
        <v>7</v>
      </c>
      <c r="E19" s="3">
        <v>57.76</v>
      </c>
      <c r="F19" s="3">
        <v>92.9</v>
      </c>
      <c r="G19" s="3">
        <v>50.26</v>
      </c>
      <c r="H19" s="3">
        <v>11.66</v>
      </c>
      <c r="I19" s="3">
        <f>(8982*100)/50686</f>
        <v>17.720869668152943</v>
      </c>
      <c r="J19" s="3">
        <f>(1471*100)/50686</f>
        <v>2.90218206210788</v>
      </c>
      <c r="K19" s="3">
        <f>(8894*100)/48231</f>
        <v>18.440422135141301</v>
      </c>
    </row>
    <row r="20" spans="1:11" x14ac:dyDescent="0.25">
      <c r="A20" s="1" t="s">
        <v>44</v>
      </c>
      <c r="B20" s="1">
        <v>191</v>
      </c>
      <c r="C20" s="3">
        <v>44.1</v>
      </c>
      <c r="D20" s="3">
        <v>10</v>
      </c>
      <c r="E20" s="3">
        <v>29.35</v>
      </c>
      <c r="F20" s="3">
        <v>90.4</v>
      </c>
      <c r="G20" s="3">
        <v>50.75</v>
      </c>
      <c r="H20" s="3">
        <v>39.61</v>
      </c>
      <c r="I20" s="3">
        <f>(12538*100)/86774</f>
        <v>14.449028510844261</v>
      </c>
      <c r="J20" s="3">
        <f>(1778*100)/86774</f>
        <v>2.0490008527900061</v>
      </c>
      <c r="K20" s="3">
        <f>(6036*100)/84577</f>
        <v>7.1366920084656584</v>
      </c>
    </row>
    <row r="21" spans="1:11" x14ac:dyDescent="0.25">
      <c r="A21" s="1" t="s">
        <v>45</v>
      </c>
      <c r="B21" s="1">
        <v>0</v>
      </c>
      <c r="C21" s="3">
        <v>2.2999999999999998</v>
      </c>
      <c r="D21" s="3">
        <v>10</v>
      </c>
      <c r="E21" s="3">
        <v>6.44</v>
      </c>
      <c r="F21" s="3">
        <v>93.4</v>
      </c>
      <c r="G21" s="3">
        <v>49.27</v>
      </c>
      <c r="H21" s="3">
        <v>28.46</v>
      </c>
      <c r="I21" s="3">
        <f>(3631*100)/32484</f>
        <v>11.177810614456348</v>
      </c>
      <c r="J21" s="3">
        <f>(463*100)/32484</f>
        <v>1.4253170791774412</v>
      </c>
      <c r="K21" s="3">
        <f>(7240*100)/31529</f>
        <v>22.962986456912684</v>
      </c>
    </row>
    <row r="22" spans="1:11" x14ac:dyDescent="0.25">
      <c r="A22" s="1" t="s">
        <v>46</v>
      </c>
      <c r="B22" s="1">
        <v>1028</v>
      </c>
      <c r="C22" s="3">
        <v>90.72</v>
      </c>
      <c r="D22" s="3">
        <v>12</v>
      </c>
      <c r="E22" s="3">
        <v>48.75</v>
      </c>
      <c r="F22" s="3">
        <v>89.5</v>
      </c>
      <c r="G22" s="3">
        <v>51.45</v>
      </c>
      <c r="H22" s="3">
        <v>44.98</v>
      </c>
      <c r="I22" s="3">
        <f>(163971*100)/856482</f>
        <v>19.144710571850897</v>
      </c>
      <c r="J22" s="3">
        <f>(26729*100)/856482</f>
        <v>3.1207894620085419</v>
      </c>
      <c r="K22" s="3">
        <f>(67681*100)/846085</f>
        <v>7.999314489678933</v>
      </c>
    </row>
    <row r="23" spans="1:11" x14ac:dyDescent="0.25">
      <c r="A23" s="1" t="s">
        <v>47</v>
      </c>
      <c r="B23" s="1">
        <f>3+4+6+1+51+15</f>
        <v>80</v>
      </c>
      <c r="C23" s="3">
        <v>5.9</v>
      </c>
      <c r="D23" s="3">
        <v>16</v>
      </c>
      <c r="E23" s="3">
        <v>24.35</v>
      </c>
      <c r="F23" s="3">
        <v>89</v>
      </c>
      <c r="G23" s="3">
        <v>48.39</v>
      </c>
      <c r="H23" s="3">
        <v>32</v>
      </c>
      <c r="I23" s="3">
        <f>(4583*100)/35894</f>
        <v>12.768150665849445</v>
      </c>
      <c r="J23" s="3">
        <f>(618*100)/35894</f>
        <v>1.7217362233242324</v>
      </c>
      <c r="K23" s="3">
        <f>(4956*100)/34911</f>
        <v>14.196098650855031</v>
      </c>
    </row>
    <row r="24" spans="1:11" x14ac:dyDescent="0.25">
      <c r="A24" s="1" t="s">
        <v>48</v>
      </c>
      <c r="B24" s="1">
        <v>0</v>
      </c>
      <c r="C24" s="3">
        <v>40.28</v>
      </c>
      <c r="D24" s="3">
        <v>12</v>
      </c>
      <c r="E24" s="3">
        <v>54.2</v>
      </c>
      <c r="F24" s="3">
        <v>94.5</v>
      </c>
      <c r="G24" s="3">
        <v>50.97</v>
      </c>
      <c r="H24" s="3">
        <v>6.99</v>
      </c>
      <c r="I24" s="3">
        <f>(18398*100)/108359</f>
        <v>16.97874657388865</v>
      </c>
      <c r="J24" s="3">
        <f>(2941*100)/108359</f>
        <v>2.7141261916407498</v>
      </c>
      <c r="K24" s="3">
        <f>(25377*100)/105595</f>
        <v>24.032387897154223</v>
      </c>
    </row>
    <row r="25" spans="1:11" x14ac:dyDescent="0.25">
      <c r="A25" s="1" t="s">
        <v>49</v>
      </c>
      <c r="B25" s="1">
        <v>0</v>
      </c>
      <c r="C25" s="3">
        <v>2.0699999999999998</v>
      </c>
      <c r="D25" s="3">
        <v>7</v>
      </c>
      <c r="E25" s="3">
        <v>10.75</v>
      </c>
      <c r="F25" s="3">
        <v>97.8</v>
      </c>
      <c r="G25" s="3">
        <v>45.99</v>
      </c>
      <c r="H25" s="3">
        <v>2.11</v>
      </c>
      <c r="I25" s="3">
        <f>(408*100)/3555</f>
        <v>11.476793248945148</v>
      </c>
      <c r="J25" s="3">
        <f>(51*100)/3555</f>
        <v>1.4345991561181435</v>
      </c>
      <c r="K25" s="3">
        <f>(1093*100)/3348</f>
        <v>32.646356033452811</v>
      </c>
    </row>
    <row r="26" spans="1:11" x14ac:dyDescent="0.25">
      <c r="A26" s="1" t="s">
        <v>50</v>
      </c>
      <c r="B26" s="1">
        <v>540</v>
      </c>
      <c r="C26" s="3">
        <v>15.46</v>
      </c>
      <c r="D26" s="3">
        <v>27</v>
      </c>
      <c r="E26" s="3">
        <v>73.52</v>
      </c>
      <c r="F26" s="3">
        <v>86.2</v>
      </c>
      <c r="G26" s="3">
        <v>49.25</v>
      </c>
      <c r="H26" s="3">
        <v>48.04</v>
      </c>
      <c r="I26" s="3">
        <f>(5125*100)/55152</f>
        <v>9.2925007252683489</v>
      </c>
      <c r="J26" s="3">
        <f>(750*100)/55152</f>
        <v>1.3598781549173193</v>
      </c>
      <c r="K26" s="3">
        <f>(3922*100)/53507</f>
        <v>7.3298820715046631</v>
      </c>
    </row>
    <row r="30" spans="1:11" x14ac:dyDescent="0.25">
      <c r="C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28A2-5453-45DF-A74C-2D58C5A8A429}">
  <dimension ref="A2:S18"/>
  <sheetViews>
    <sheetView zoomScale="99" zoomScaleNormal="80" workbookViewId="0">
      <selection activeCell="E18" sqref="E18"/>
    </sheetView>
  </sheetViews>
  <sheetFormatPr baseColWidth="10" defaultRowHeight="15" x14ac:dyDescent="0.25"/>
  <cols>
    <col min="1" max="1" width="22" customWidth="1"/>
    <col min="2" max="2" width="21.7109375" customWidth="1"/>
    <col min="3" max="3" width="11.42578125" customWidth="1"/>
  </cols>
  <sheetData>
    <row r="2" spans="1:19" x14ac:dyDescent="0.25">
      <c r="A2" s="5" t="s">
        <v>0</v>
      </c>
      <c r="B2" s="7" t="s">
        <v>22</v>
      </c>
      <c r="C2" s="10" t="s">
        <v>15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</row>
    <row r="3" spans="1:19" x14ac:dyDescent="0.25">
      <c r="A3" s="5" t="s">
        <v>5</v>
      </c>
      <c r="B3" s="7" t="s">
        <v>25</v>
      </c>
      <c r="C3" s="10" t="s">
        <v>11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5" t="s">
        <v>10</v>
      </c>
      <c r="B4" s="7" t="s">
        <v>24</v>
      </c>
      <c r="C4" s="10" t="s">
        <v>12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2"/>
    </row>
    <row r="5" spans="1:19" x14ac:dyDescent="0.25">
      <c r="A5" s="5" t="s">
        <v>4</v>
      </c>
      <c r="B5" s="7" t="s">
        <v>24</v>
      </c>
      <c r="C5" s="10" t="s">
        <v>16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5" t="s">
        <v>6</v>
      </c>
      <c r="B6" s="7" t="s">
        <v>24</v>
      </c>
      <c r="C6" s="10" t="s">
        <v>18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</row>
    <row r="7" spans="1:19" x14ac:dyDescent="0.25">
      <c r="A7" s="5" t="s">
        <v>1</v>
      </c>
      <c r="B7" s="7" t="s">
        <v>23</v>
      </c>
      <c r="C7" s="10" t="s">
        <v>17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</row>
    <row r="8" spans="1:19" x14ac:dyDescent="0.25">
      <c r="A8" s="5" t="s">
        <v>2</v>
      </c>
      <c r="B8" s="7" t="s">
        <v>24</v>
      </c>
      <c r="C8" s="10" t="s">
        <v>13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2"/>
    </row>
    <row r="9" spans="1:19" x14ac:dyDescent="0.25">
      <c r="A9" s="5" t="s">
        <v>3</v>
      </c>
      <c r="B9" s="7" t="s">
        <v>24</v>
      </c>
      <c r="C9" s="13" t="s">
        <v>14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x14ac:dyDescent="0.25">
      <c r="A10" s="5" t="s">
        <v>8</v>
      </c>
      <c r="B10" s="7" t="s">
        <v>24</v>
      </c>
      <c r="C10" s="13" t="s">
        <v>19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x14ac:dyDescent="0.25">
      <c r="A11" s="5" t="s">
        <v>9</v>
      </c>
      <c r="B11" s="7" t="s">
        <v>24</v>
      </c>
      <c r="C11" s="6" t="s">
        <v>20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A12" s="5" t="s">
        <v>7</v>
      </c>
      <c r="B12" s="7" t="s">
        <v>24</v>
      </c>
      <c r="C12" s="10" t="s">
        <v>21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2"/>
    </row>
    <row r="18" spans="5:5" x14ac:dyDescent="0.25">
      <c r="E18" s="8"/>
    </row>
  </sheetData>
  <mergeCells count="10">
    <mergeCell ref="C12:S12"/>
    <mergeCell ref="C2:S2"/>
    <mergeCell ref="C3:S3"/>
    <mergeCell ref="C4:S4"/>
    <mergeCell ref="C5:S5"/>
    <mergeCell ref="C6:S6"/>
    <mergeCell ref="C7:S7"/>
    <mergeCell ref="C8:S8"/>
    <mergeCell ref="C10:S10"/>
    <mergeCell ref="C9:S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datos</vt:lpstr>
      <vt:lpstr>Tabla de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Joicy Torrejón</dc:creator>
  <cp:lastModifiedBy>Joicy Torrejón</cp:lastModifiedBy>
  <dcterms:created xsi:type="dcterms:W3CDTF">2023-10-07T04:02:11Z</dcterms:created>
  <dcterms:modified xsi:type="dcterms:W3CDTF">2023-12-01T00:39:56Z</dcterms:modified>
</cp:coreProperties>
</file>