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ofre\Downloads\"/>
    </mc:Choice>
  </mc:AlternateContent>
  <xr:revisionPtr revIDLastSave="0" documentId="13_ncr:1_{0ACC4202-14E1-404C-89D7-C5603AB511F7}" xr6:coauthVersionLast="47" xr6:coauthVersionMax="47" xr10:uidLastSave="{00000000-0000-0000-0000-000000000000}"/>
  <bookViews>
    <workbookView xWindow="-108" yWindow="-108" windowWidth="23256" windowHeight="14616" firstSheet="2" activeTab="2" xr2:uid="{E0835987-6783-4145-9EAB-B987DF344202}"/>
  </bookViews>
  <sheets>
    <sheet name="Balance Sheet" sheetId="1" r:id="rId1"/>
    <sheet name="Income Statement" sheetId="2" r:id="rId2"/>
    <sheet name="Assumptions" sheetId="3" r:id="rId3"/>
    <sheet name="IS" sheetId="4" r:id="rId4"/>
    <sheet name="BS" sheetId="5" r:id="rId5"/>
    <sheet name="CFS" sheetId="6" r:id="rId6"/>
    <sheet name="SS" sheetId="7" r:id="rId7"/>
    <sheet name="S&amp;U" sheetId="8" r:id="rId8"/>
    <sheet name="Returns" sheetId="9" r:id="rId9"/>
  </sheets>
  <externalReferences>
    <externalReference r:id="rId10"/>
  </externalReferenc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8" l="1"/>
  <c r="F34" i="5"/>
  <c r="G34" i="5"/>
  <c r="H34" i="5"/>
  <c r="I34" i="5"/>
  <c r="E34" i="5"/>
  <c r="E9" i="5"/>
  <c r="B16" i="9"/>
  <c r="C8" i="9"/>
  <c r="D8" i="9"/>
  <c r="E8" i="9"/>
  <c r="F8" i="9"/>
  <c r="B8" i="9"/>
  <c r="C6" i="9"/>
  <c r="D6" i="9"/>
  <c r="E6" i="9"/>
  <c r="F6" i="9"/>
  <c r="B6" i="9"/>
  <c r="C5" i="9"/>
  <c r="C7" i="9" s="1"/>
  <c r="D5" i="9"/>
  <c r="D7" i="9" s="1"/>
  <c r="E5" i="9"/>
  <c r="E7" i="9" s="1"/>
  <c r="F5" i="9"/>
  <c r="F7" i="9" s="1"/>
  <c r="B5" i="9"/>
  <c r="B7" i="9" s="1"/>
  <c r="D15" i="6" l="1"/>
  <c r="E6" i="6"/>
  <c r="F6" i="6"/>
  <c r="G6" i="6"/>
  <c r="H6" i="6"/>
  <c r="D6" i="6"/>
  <c r="D14" i="6"/>
  <c r="H28" i="4"/>
  <c r="I28" i="4"/>
  <c r="J28" i="4"/>
  <c r="K28" i="4"/>
  <c r="G28" i="4"/>
  <c r="G25" i="4"/>
  <c r="H24" i="4"/>
  <c r="I24" i="4"/>
  <c r="J24" i="4"/>
  <c r="K24" i="4"/>
  <c r="G24" i="4"/>
  <c r="H23" i="4"/>
  <c r="I23" i="4"/>
  <c r="J23" i="4"/>
  <c r="K23" i="4"/>
  <c r="H22" i="4"/>
  <c r="I22" i="4"/>
  <c r="J22" i="4"/>
  <c r="K22" i="4"/>
  <c r="G23" i="4"/>
  <c r="G22" i="4"/>
  <c r="G21" i="4"/>
  <c r="G20" i="4"/>
  <c r="H17" i="4"/>
  <c r="I17" i="4"/>
  <c r="J17" i="4"/>
  <c r="K17" i="4"/>
  <c r="G17" i="4"/>
  <c r="H16" i="4"/>
  <c r="I16" i="4"/>
  <c r="J16" i="4"/>
  <c r="K16" i="4"/>
  <c r="G16" i="4"/>
  <c r="H14" i="4"/>
  <c r="I14" i="4"/>
  <c r="J14" i="4"/>
  <c r="K14" i="4"/>
  <c r="G14" i="4"/>
  <c r="E11" i="6"/>
  <c r="F11" i="6"/>
  <c r="G11" i="6"/>
  <c r="H11" i="6"/>
  <c r="D11" i="6"/>
  <c r="E9" i="6"/>
  <c r="F9" i="6"/>
  <c r="G9" i="6"/>
  <c r="H9" i="6"/>
  <c r="D9" i="6"/>
  <c r="H15" i="5"/>
  <c r="G14" i="5"/>
  <c r="H14" i="5" s="1"/>
  <c r="I14" i="5" s="1"/>
  <c r="F14" i="5"/>
  <c r="E14" i="5"/>
  <c r="G12" i="5"/>
  <c r="H12" i="5" s="1"/>
  <c r="I12" i="5" s="1"/>
  <c r="F12" i="5"/>
  <c r="E12" i="5"/>
  <c r="E8" i="6"/>
  <c r="F8" i="6"/>
  <c r="G8" i="6"/>
  <c r="H8" i="6"/>
  <c r="D8" i="6"/>
  <c r="E7" i="6"/>
  <c r="F7" i="6"/>
  <c r="G7" i="6"/>
  <c r="H7" i="6"/>
  <c r="D7" i="6"/>
  <c r="F24" i="5"/>
  <c r="G24" i="5"/>
  <c r="H24" i="5"/>
  <c r="I24" i="5"/>
  <c r="E24" i="5"/>
  <c r="F11" i="5"/>
  <c r="G11" i="5"/>
  <c r="H11" i="5"/>
  <c r="I11" i="5"/>
  <c r="E11" i="5"/>
  <c r="E44" i="7"/>
  <c r="E42" i="7"/>
  <c r="F42" i="7"/>
  <c r="G42" i="7"/>
  <c r="H42" i="7"/>
  <c r="F39" i="7"/>
  <c r="F44" i="7" s="1"/>
  <c r="G39" i="7" s="1"/>
  <c r="G44" i="7" s="1"/>
  <c r="H39" i="7" s="1"/>
  <c r="H44" i="7" s="1"/>
  <c r="E39" i="7"/>
  <c r="D44" i="7"/>
  <c r="D42" i="7"/>
  <c r="E40" i="7"/>
  <c r="F40" i="7"/>
  <c r="G40" i="7"/>
  <c r="H40" i="7"/>
  <c r="D40" i="7"/>
  <c r="D39" i="7"/>
  <c r="E32" i="7"/>
  <c r="F32" i="7"/>
  <c r="G32" i="7"/>
  <c r="H32" i="7"/>
  <c r="D32" i="7"/>
  <c r="D25" i="7"/>
  <c r="D16" i="7"/>
  <c r="F28" i="7"/>
  <c r="F29" i="7" s="1"/>
  <c r="F30" i="7" s="1"/>
  <c r="G28" i="7" s="1"/>
  <c r="E30" i="7"/>
  <c r="E28" i="7"/>
  <c r="E29" i="7" s="1"/>
  <c r="D30" i="7"/>
  <c r="D29" i="7"/>
  <c r="D20" i="7"/>
  <c r="D28" i="7"/>
  <c r="D19" i="7"/>
  <c r="F19" i="5"/>
  <c r="G19" i="5"/>
  <c r="H19" i="5"/>
  <c r="E19" i="5"/>
  <c r="F18" i="5"/>
  <c r="G18" i="5"/>
  <c r="H18" i="5"/>
  <c r="I18" i="5"/>
  <c r="E18" i="5"/>
  <c r="F17" i="5"/>
  <c r="G17" i="5"/>
  <c r="H17" i="5"/>
  <c r="I17" i="5"/>
  <c r="E17" i="5"/>
  <c r="G9" i="5"/>
  <c r="H9" i="5"/>
  <c r="I9" i="5"/>
  <c r="F8" i="5"/>
  <c r="G8" i="5"/>
  <c r="H8" i="5"/>
  <c r="I8" i="5"/>
  <c r="E8" i="5"/>
  <c r="F7" i="5"/>
  <c r="G7" i="5"/>
  <c r="H7" i="5"/>
  <c r="I7" i="5"/>
  <c r="E7" i="5"/>
  <c r="F6" i="5"/>
  <c r="G6" i="5"/>
  <c r="H6" i="5"/>
  <c r="I6" i="5"/>
  <c r="E6" i="5"/>
  <c r="C41" i="5"/>
  <c r="C40" i="5"/>
  <c r="C39" i="5"/>
  <c r="C38" i="5"/>
  <c r="C37" i="5"/>
  <c r="D11" i="7"/>
  <c r="D10" i="7"/>
  <c r="D5" i="7"/>
  <c r="E5" i="7"/>
  <c r="E3" i="7"/>
  <c r="E4" i="7"/>
  <c r="E2" i="7"/>
  <c r="H12" i="4"/>
  <c r="I12" i="4"/>
  <c r="J12" i="4"/>
  <c r="K12" i="4"/>
  <c r="G12" i="4"/>
  <c r="H11" i="4"/>
  <c r="I11" i="4"/>
  <c r="J11" i="4"/>
  <c r="K11" i="4"/>
  <c r="G11" i="4"/>
  <c r="H10" i="4"/>
  <c r="I10" i="4"/>
  <c r="J10" i="4"/>
  <c r="K10" i="4"/>
  <c r="G10" i="4"/>
  <c r="H8" i="4"/>
  <c r="I8" i="4"/>
  <c r="J8" i="4"/>
  <c r="K8" i="4"/>
  <c r="G8" i="4"/>
  <c r="H7" i="4"/>
  <c r="I7" i="4"/>
  <c r="J7" i="4"/>
  <c r="K7" i="4"/>
  <c r="G7" i="4"/>
  <c r="H6" i="4"/>
  <c r="I6" i="4"/>
  <c r="J6" i="4"/>
  <c r="K6" i="4"/>
  <c r="G6" i="4"/>
  <c r="I5" i="4"/>
  <c r="J5" i="4" s="1"/>
  <c r="K5" i="4" s="1"/>
  <c r="H5" i="4"/>
  <c r="H35" i="4"/>
  <c r="I35" i="4"/>
  <c r="J35" i="4"/>
  <c r="K35" i="4"/>
  <c r="G35" i="4"/>
  <c r="G5" i="4" s="1"/>
  <c r="I15" i="5" l="1"/>
  <c r="H10" i="6"/>
  <c r="G10" i="6"/>
  <c r="G15" i="5"/>
  <c r="G30" i="7"/>
  <c r="H28" i="7" s="1"/>
  <c r="G29" i="7"/>
  <c r="M7" i="8"/>
  <c r="M6" i="8"/>
  <c r="M5" i="8"/>
  <c r="M3" i="8"/>
  <c r="M2" i="8"/>
  <c r="H5" i="8"/>
  <c r="H4" i="8"/>
  <c r="H7" i="8" s="1"/>
  <c r="H2" i="8"/>
  <c r="E4" i="8"/>
  <c r="E5" i="8"/>
  <c r="E3" i="8"/>
  <c r="E2" i="8"/>
  <c r="B6" i="8"/>
  <c r="B5" i="8"/>
  <c r="B3" i="8"/>
  <c r="B4" i="8" s="1"/>
  <c r="B7" i="8" s="1"/>
  <c r="C34" i="5"/>
  <c r="C29" i="5"/>
  <c r="C19" i="5"/>
  <c r="C17" i="5"/>
  <c r="C14" i="5"/>
  <c r="C13" i="5"/>
  <c r="C12" i="5"/>
  <c r="C15" i="5" s="1"/>
  <c r="C32" i="5" s="1"/>
  <c r="C11" i="5"/>
  <c r="C7" i="5"/>
  <c r="C6" i="5"/>
  <c r="C5" i="5"/>
  <c r="C9" i="5" s="1"/>
  <c r="E14" i="4"/>
  <c r="E10" i="4"/>
  <c r="E6" i="4"/>
  <c r="E5" i="4"/>
  <c r="J8" i="8"/>
  <c r="M8" i="8" s="1"/>
  <c r="B25" i="7"/>
  <c r="B16" i="7"/>
  <c r="B5" i="7"/>
  <c r="D13" i="2"/>
  <c r="G27" i="5" l="1"/>
  <c r="F27" i="5"/>
  <c r="E27" i="5"/>
  <c r="I27" i="5"/>
  <c r="H27" i="5"/>
  <c r="H30" i="7"/>
  <c r="H29" i="7"/>
  <c r="E6" i="8"/>
  <c r="M9" i="8"/>
  <c r="E13" i="5" s="1"/>
  <c r="E7" i="4"/>
  <c r="E11" i="4" s="1"/>
  <c r="E8" i="4"/>
  <c r="E12" i="4" l="1"/>
  <c r="E16" i="4"/>
  <c r="E17" i="4" s="1"/>
  <c r="E15" i="5" l="1"/>
  <c r="G27" i="4"/>
  <c r="G30" i="4" s="1"/>
  <c r="G31" i="4" l="1"/>
  <c r="G32" i="4"/>
  <c r="E29" i="5" s="1"/>
  <c r="D10" i="6"/>
  <c r="D5" i="6" l="1"/>
  <c r="D12" i="6" s="1"/>
  <c r="D12" i="7" l="1"/>
  <c r="D16" i="6"/>
  <c r="D13" i="7" l="1"/>
  <c r="D14" i="7"/>
  <c r="D21" i="7" l="1"/>
  <c r="D23" i="7" s="1"/>
  <c r="E21" i="5"/>
  <c r="E10" i="7"/>
  <c r="E16" i="7" l="1"/>
  <c r="H20" i="4" s="1"/>
  <c r="E11" i="7"/>
  <c r="D22" i="7"/>
  <c r="D17" i="6"/>
  <c r="D19" i="6" s="1"/>
  <c r="E14" i="6" s="1"/>
  <c r="E19" i="7" l="1"/>
  <c r="E23" i="5"/>
  <c r="E25" i="5" s="1"/>
  <c r="D35" i="7"/>
  <c r="E30" i="5" l="1"/>
  <c r="B9" i="9"/>
  <c r="B10" i="9" s="1"/>
  <c r="E25" i="7"/>
  <c r="H21" i="4" s="1"/>
  <c r="H25" i="4" s="1"/>
  <c r="H30" i="4" s="1"/>
  <c r="E20" i="7"/>
  <c r="E15" i="6" s="1"/>
  <c r="B12" i="9" l="1"/>
  <c r="C26" i="9" s="1"/>
  <c r="B11" i="9"/>
  <c r="K26" i="9" s="1"/>
  <c r="H31" i="4"/>
  <c r="H32" i="4"/>
  <c r="E5" i="6" l="1"/>
  <c r="F29" i="5"/>
  <c r="F9" i="5"/>
  <c r="F15" i="5" s="1"/>
  <c r="F10" i="6" l="1"/>
  <c r="E10" i="6"/>
  <c r="E12" i="6" s="1"/>
  <c r="E12" i="7" s="1"/>
  <c r="E13" i="7" s="1"/>
  <c r="F21" i="5" s="1"/>
  <c r="E16" i="6" l="1"/>
  <c r="E14" i="7"/>
  <c r="E21" i="7" s="1"/>
  <c r="E23" i="7" s="1"/>
  <c r="F10" i="7"/>
  <c r="F16" i="7"/>
  <c r="I20" i="4" s="1"/>
  <c r="F11" i="7"/>
  <c r="E22" i="7" l="1"/>
  <c r="E17" i="6"/>
  <c r="E19" i="6" s="1"/>
  <c r="F14" i="6" s="1"/>
  <c r="F23" i="5" l="1"/>
  <c r="F25" i="5" s="1"/>
  <c r="E35" i="7"/>
  <c r="F19" i="7"/>
  <c r="F30" i="5" l="1"/>
  <c r="C9" i="9"/>
  <c r="C10" i="9" s="1"/>
  <c r="F20" i="7"/>
  <c r="F15" i="6" s="1"/>
  <c r="F25" i="7"/>
  <c r="I21" i="4" s="1"/>
  <c r="I25" i="4" s="1"/>
  <c r="I30" i="4" s="1"/>
  <c r="C12" i="9" l="1"/>
  <c r="D26" i="9" s="1"/>
  <c r="C11" i="9"/>
  <c r="L26" i="9" s="1"/>
  <c r="I31" i="4"/>
  <c r="I32" i="4" s="1"/>
  <c r="G29" i="5" l="1"/>
  <c r="F5" i="6"/>
  <c r="F12" i="6" s="1"/>
  <c r="F16" i="6" l="1"/>
  <c r="F12" i="7"/>
  <c r="F13" i="7" l="1"/>
  <c r="F14" i="7"/>
  <c r="F21" i="7" l="1"/>
  <c r="G21" i="5"/>
  <c r="G10" i="7"/>
  <c r="G16" i="7" l="1"/>
  <c r="J20" i="4" s="1"/>
  <c r="G11" i="7"/>
  <c r="F22" i="7"/>
  <c r="F17" i="6"/>
  <c r="F19" i="6" s="1"/>
  <c r="G14" i="6" s="1"/>
  <c r="F23" i="7"/>
  <c r="G19" i="7" l="1"/>
  <c r="G23" i="5"/>
  <c r="G25" i="5" s="1"/>
  <c r="F35" i="7"/>
  <c r="G30" i="5" l="1"/>
  <c r="D9" i="9"/>
  <c r="D10" i="9" s="1"/>
  <c r="G20" i="7"/>
  <c r="G15" i="6" s="1"/>
  <c r="G25" i="7"/>
  <c r="J21" i="4" s="1"/>
  <c r="J25" i="4" s="1"/>
  <c r="J30" i="4" s="1"/>
  <c r="D12" i="9" l="1"/>
  <c r="E26" i="9" s="1"/>
  <c r="D11" i="9"/>
  <c r="M26" i="9" s="1"/>
  <c r="J31" i="4"/>
  <c r="J32" i="4" s="1"/>
  <c r="G5" i="6" l="1"/>
  <c r="G12" i="6" s="1"/>
  <c r="H29" i="5"/>
  <c r="G16" i="6" l="1"/>
  <c r="G12" i="7"/>
  <c r="G13" i="7" l="1"/>
  <c r="G14" i="7"/>
  <c r="G21" i="7" l="1"/>
  <c r="H10" i="7"/>
  <c r="H21" i="5"/>
  <c r="H11" i="7" l="1"/>
  <c r="H16" i="7"/>
  <c r="K20" i="4" s="1"/>
  <c r="G22" i="7"/>
  <c r="G17" i="6"/>
  <c r="G19" i="6" s="1"/>
  <c r="H14" i="6" s="1"/>
  <c r="G23" i="7"/>
  <c r="H19" i="7" l="1"/>
  <c r="H23" i="5"/>
  <c r="H25" i="5" s="1"/>
  <c r="G35" i="7"/>
  <c r="H30" i="5" l="1"/>
  <c r="E9" i="9"/>
  <c r="E10" i="9" s="1"/>
  <c r="H20" i="7"/>
  <c r="H15" i="6" s="1"/>
  <c r="H25" i="7"/>
  <c r="K21" i="4" s="1"/>
  <c r="K25" i="4" s="1"/>
  <c r="K30" i="4" s="1"/>
  <c r="E12" i="9" l="1"/>
  <c r="F26" i="9" s="1"/>
  <c r="E11" i="9"/>
  <c r="N26" i="9" s="1"/>
  <c r="K31" i="4"/>
  <c r="K32" i="4" s="1"/>
  <c r="H5" i="6" l="1"/>
  <c r="H12" i="6" s="1"/>
  <c r="I29" i="5"/>
  <c r="H16" i="6" l="1"/>
  <c r="H12" i="7"/>
  <c r="H14" i="7" s="1"/>
  <c r="H21" i="7" l="1"/>
  <c r="H22" i="7" s="1"/>
  <c r="I23" i="5" s="1"/>
  <c r="H13" i="7"/>
  <c r="H17" i="6" l="1"/>
  <c r="H19" i="6" s="1"/>
  <c r="H23" i="7"/>
  <c r="I21" i="5"/>
  <c r="I25" i="5" s="1"/>
  <c r="H35" i="7"/>
  <c r="I30" i="5" l="1"/>
  <c r="F9" i="9"/>
  <c r="F10" i="9" s="1"/>
  <c r="F12" i="9" l="1"/>
  <c r="F11" i="9"/>
  <c r="O26" i="9" l="1"/>
  <c r="J25" i="9"/>
  <c r="G26" i="9"/>
  <c r="B25" i="9"/>
</calcChain>
</file>

<file path=xl/sharedStrings.xml><?xml version="1.0" encoding="utf-8"?>
<sst xmlns="http://schemas.openxmlformats.org/spreadsheetml/2006/main" count="341" uniqueCount="295">
  <si>
    <t>Particulars</t>
  </si>
  <si>
    <t>(` in Million)</t>
  </si>
  <si>
    <t>ASSETS</t>
  </si>
  <si>
    <t>Non-current assets</t>
  </si>
  <si>
    <t>(a) Property, plant and equipment</t>
  </si>
  <si>
    <t>(i) Oil and gas assets</t>
  </si>
  <si>
    <t>(ii) Other property, plant and equipment</t>
  </si>
  <si>
    <t>(iii) Right of Use Assets</t>
  </si>
  <si>
    <t>(b) Capital work-in-progress</t>
  </si>
  <si>
    <t>a) Development wells in progress</t>
  </si>
  <si>
    <t>b) Oil and gas facilities in progress</t>
  </si>
  <si>
    <t>(ii) Others</t>
  </si>
  <si>
    <t>(c) Investment Property</t>
  </si>
  <si>
    <t>(d) Goodwill (including Goodwill on Consolidation)</t>
  </si>
  <si>
    <t>(e) Other intangible assets</t>
  </si>
  <si>
    <t>(f) Intangible assets under development</t>
  </si>
  <si>
    <t>(i) Exploratory wells in progress</t>
  </si>
  <si>
    <t>(ii) Acquisition cost</t>
  </si>
  <si>
    <t>(iii) Others</t>
  </si>
  <si>
    <t>(g) Financial assets</t>
  </si>
  <si>
    <t>(i) Investments in:</t>
  </si>
  <si>
    <t>(a) Joint Ventures and Associates</t>
  </si>
  <si>
    <t>(b) Other Investments</t>
  </si>
  <si>
    <t>(ii) Trade receivables</t>
  </si>
  <si>
    <t>(iii) Loans</t>
  </si>
  <si>
    <t>(iv) Deposit under site restoration fund</t>
  </si>
  <si>
    <t>(v) Finance lease receivables</t>
  </si>
  <si>
    <t>(vi) Others</t>
  </si>
  <si>
    <t>(h) Deferred tax assets (net)</t>
  </si>
  <si>
    <t>(i) Non-current tax assets (net)</t>
  </si>
  <si>
    <t>(j) Other non-current assets</t>
  </si>
  <si>
    <t>Total non-current assets</t>
  </si>
  <si>
    <t>Current assets</t>
  </si>
  <si>
    <t>(a) Inventories</t>
  </si>
  <si>
    <t>(b) Financial assets</t>
  </si>
  <si>
    <t>(i) Investments</t>
  </si>
  <si>
    <t>(iii) Cash and cash equivalents</t>
  </si>
  <si>
    <t>(iv) Other bank balances</t>
  </si>
  <si>
    <t>(v) Loans</t>
  </si>
  <si>
    <t>(c) Current Tax Assets (net)</t>
  </si>
  <si>
    <t>(d) Other current assets</t>
  </si>
  <si>
    <t>Total current assets</t>
  </si>
  <si>
    <t>Assets classified as held for sale</t>
  </si>
  <si>
    <t>Total assets</t>
  </si>
  <si>
    <t>EQUITY AND LIABILITIES</t>
  </si>
  <si>
    <t>Equity</t>
  </si>
  <si>
    <t>(a) Equity share capital</t>
  </si>
  <si>
    <t>(b) Other equity</t>
  </si>
  <si>
    <t>Equity attributable to owners of the Company</t>
  </si>
  <si>
    <t>Non-controlling interests</t>
  </si>
  <si>
    <t>Total Equity</t>
  </si>
  <si>
    <t>Liabilities</t>
  </si>
  <si>
    <t>Non-current liabilities</t>
  </si>
  <si>
    <t>(a) Financial liabilities</t>
  </si>
  <si>
    <t>(i) Borrowings</t>
  </si>
  <si>
    <t>(ii) Lease Liabilities</t>
  </si>
  <si>
    <t>(b) Provisions</t>
  </si>
  <si>
    <t>(c) Deferred Taxliabilities (net)</t>
  </si>
  <si>
    <t>(d) Other non-current liabilities</t>
  </si>
  <si>
    <t>Total non-current liabilities</t>
  </si>
  <si>
    <t>Current liabilities</t>
  </si>
  <si>
    <t>(iii) Trade payables</t>
  </si>
  <si>
    <t xml:space="preserve"> -to micro and small enterprises</t>
  </si>
  <si>
    <t xml:space="preserve"> -to other than micro and small enterprises</t>
  </si>
  <si>
    <t xml:space="preserve">(iv) Others </t>
  </si>
  <si>
    <t>(b) Other current liabilities</t>
  </si>
  <si>
    <t>(c) Provisions</t>
  </si>
  <si>
    <t>(d) Current Tax liabilities (net)</t>
  </si>
  <si>
    <t>Total current liabilities</t>
  </si>
  <si>
    <t>Total liabilities</t>
  </si>
  <si>
    <t>Total equity and liabilities</t>
  </si>
  <si>
    <t>I</t>
  </si>
  <si>
    <t>Revenue from operations</t>
  </si>
  <si>
    <t>II</t>
  </si>
  <si>
    <t>Other income</t>
  </si>
  <si>
    <t>III</t>
  </si>
  <si>
    <t>Total income (I+II)</t>
  </si>
  <si>
    <t>IV</t>
  </si>
  <si>
    <t>Expenses</t>
  </si>
  <si>
    <t>Production, transportation, selling and distribution expenditure</t>
  </si>
  <si>
    <t>Purchase of Stock-in-Trade</t>
  </si>
  <si>
    <t>Changes in inventories of finished goods, stock-in-trade and work-in progress</t>
  </si>
  <si>
    <t>Exploration costs written off</t>
  </si>
  <si>
    <t>(a) Survey costs</t>
  </si>
  <si>
    <t>(b) Exploration well costs</t>
  </si>
  <si>
    <t>Material Cost</t>
  </si>
  <si>
    <t>Finance costs</t>
  </si>
  <si>
    <t>Depreciation, depletion, amortisation and impairment</t>
  </si>
  <si>
    <t>Other impairment and write offs</t>
  </si>
  <si>
    <t>Total expenses (IV)</t>
  </si>
  <si>
    <t>V</t>
  </si>
  <si>
    <t>Profit before exceptional items and tax (III-IV)</t>
  </si>
  <si>
    <t>VI</t>
  </si>
  <si>
    <t>Exceptional items - Income/(expenses)</t>
  </si>
  <si>
    <t>VII</t>
  </si>
  <si>
    <t>Share of profit of Associates</t>
  </si>
  <si>
    <t>VIII</t>
  </si>
  <si>
    <t>Share of profit of Joint Ventures</t>
  </si>
  <si>
    <t>IX</t>
  </si>
  <si>
    <t>Profit before tax (V+VI+VII+VIII)</t>
  </si>
  <si>
    <t>X</t>
  </si>
  <si>
    <t>Tax expense</t>
  </si>
  <si>
    <t>(a) Current tax relating to:</t>
  </si>
  <si>
    <t xml:space="preserve"> -current year</t>
  </si>
  <si>
    <t xml:space="preserve"> -earlier years</t>
  </si>
  <si>
    <t>(b) Deferred tax</t>
  </si>
  <si>
    <t>Total Tax Expense (X)</t>
  </si>
  <si>
    <t>XI</t>
  </si>
  <si>
    <t>Profit of the Year (IX-X)</t>
  </si>
  <si>
    <t>XII</t>
  </si>
  <si>
    <t>Other Comprehensive Income</t>
  </si>
  <si>
    <t>A Items that will not be reclassified to profit or loss</t>
  </si>
  <si>
    <t>(a) Remeasurement of the defined benefit plans</t>
  </si>
  <si>
    <t xml:space="preserve"> - Deferred tax</t>
  </si>
  <si>
    <t>(b) Equity instruments through other comprehensive income</t>
  </si>
  <si>
    <t>(c) Share of other comprehensive income in associates and joint ventures, to the extent not to be reclassified to profit or loss (</t>
  </si>
  <si>
    <t>B Items that will be reclassified to profit or loss</t>
  </si>
  <si>
    <t>(a) Exchange differences in translating the financial statement of foreign operation</t>
  </si>
  <si>
    <t>(b) Effective portion of gains (losses) on hedging instruments in cash flow hedges</t>
  </si>
  <si>
    <t>(c) Share of other comprehensive income in associates and joint ventures, to the extent to be reclassified to profit or loss</t>
  </si>
  <si>
    <t>Total other comprehensive income (net of tax) (XII)</t>
  </si>
  <si>
    <t>XIII</t>
  </si>
  <si>
    <t>Total Comprehensive Income for the year (XI+XII)</t>
  </si>
  <si>
    <t>Profit for the year attributable to:</t>
  </si>
  <si>
    <t xml:space="preserve"> - Owners of the Company</t>
  </si>
  <si>
    <t xml:space="preserve"> - Non-controlling interests</t>
  </si>
  <si>
    <t>Other comprehensive income for the year attributable
to:</t>
  </si>
  <si>
    <t>Total comprehensive income for the year attributable to:</t>
  </si>
  <si>
    <t>Earnings per equity share:</t>
  </si>
  <si>
    <t>(a) Basic (₹)</t>
  </si>
  <si>
    <t>(b) Diluted (₹)</t>
  </si>
  <si>
    <t>DIRECTIONS:</t>
  </si>
  <si>
    <t>You have been asked to evaluate an acquisition of a fictional private shared office space company, WeDon’tWork.</t>
  </si>
  <si>
    <t>The following is the summary of the term sheets you received:</t>
  </si>
  <si>
    <r>
      <t xml:space="preserve">Revolver: </t>
    </r>
    <r>
      <rPr>
        <sz val="16"/>
        <color rgb="FF000000"/>
        <rFont val="Franklin Gothic Book"/>
        <family val="2"/>
      </rPr>
      <t>.5x 2019 EBITDA with L+500 cash interest with all excess cash used to paydown the revolver first </t>
    </r>
  </si>
  <si>
    <r>
      <t>Term Loan A</t>
    </r>
    <r>
      <rPr>
        <sz val="16"/>
        <color rgb="FF000000"/>
        <rFont val="Franklin Gothic Book"/>
        <family val="2"/>
      </rPr>
      <t>: 2.5x 2019 EBITDA with L+500 cash interest. 1% mandatory annual amortization. With all excess cash used to paydown remaining debt after the revolver (if drawn) </t>
    </r>
  </si>
  <si>
    <r>
      <t>Mezzanine:</t>
    </r>
    <r>
      <rPr>
        <sz val="16"/>
        <color rgb="FF000000"/>
        <rFont val="Franklin Gothic Book"/>
        <family val="2"/>
      </rPr>
      <t xml:space="preserve"> 2.0x 2019 EBITDA with a 5% PIK and 10% cash interest. No repayment allowed. </t>
    </r>
  </si>
  <si>
    <t xml:space="preserve">Sweep all excess cash flow down to the revolver </t>
  </si>
  <si>
    <t>transaction assumptions</t>
  </si>
  <si>
    <t>-All existing debt is refinanced at the time of the transaction </t>
  </si>
  <si>
    <t>-Financing fees are listed on the supporting schedule (SS) tab and should be amortized over 15 years</t>
  </si>
  <si>
    <t>-Transaction fees are 20 million </t>
  </si>
  <si>
    <t>-Intangible asset write-up constitutes 10% of excess purchase price and should be amortized over 15 years </t>
  </si>
  <si>
    <t>-Assume interest income is earned on the average cash balance at a rate of 2% </t>
  </si>
  <si>
    <t>-Assume minimum operating cash balance of $25 million</t>
  </si>
  <si>
    <t>For this model you will work on separate tabs with the template provided </t>
  </si>
  <si>
    <t>-Fill out the Sources and Uses table</t>
  </si>
  <si>
    <t>-Create supporting schedules: both Debt and PP&amp;E</t>
  </si>
  <si>
    <t xml:space="preserve">-Perform exit analysis of a 9.0x EBITDA multiple. Show IRR and MoM </t>
  </si>
  <si>
    <t xml:space="preserve">-Create Sensitivity Tables for IRR and MoM showing different exit multiples and exit year </t>
  </si>
  <si>
    <t>Balance Sheet</t>
  </si>
  <si>
    <t>Cash</t>
  </si>
  <si>
    <t>Accounts Receivable</t>
  </si>
  <si>
    <t>Inventory</t>
  </si>
  <si>
    <t>Prepaid Expenses</t>
  </si>
  <si>
    <t>Total Current Assets</t>
  </si>
  <si>
    <t>Property, Plant &amp; Equipment</t>
  </si>
  <si>
    <t>Deferred Financing Fees</t>
  </si>
  <si>
    <t>Goodwill</t>
  </si>
  <si>
    <t>Intangibles</t>
  </si>
  <si>
    <t>Total Assets</t>
  </si>
  <si>
    <t>Accounts Payable</t>
  </si>
  <si>
    <t>Accrued Liabilities</t>
  </si>
  <si>
    <t>Total Current Liabilities</t>
  </si>
  <si>
    <t>Revolver Outstanding</t>
  </si>
  <si>
    <t>Existing Debt</t>
  </si>
  <si>
    <t>Term Loan</t>
  </si>
  <si>
    <t>Mezzanine Debt</t>
  </si>
  <si>
    <t>Total Debt Outstanding</t>
  </si>
  <si>
    <t>Deferred Tax Liability</t>
  </si>
  <si>
    <t>Shareholders' Equity</t>
  </si>
  <si>
    <t>Total Liabilities and Equity</t>
  </si>
  <si>
    <t>Check</t>
  </si>
  <si>
    <t xml:space="preserve">NWC </t>
  </si>
  <si>
    <t xml:space="preserve">BS Assumptions/Drivers </t>
  </si>
  <si>
    <t>Days Sales Outsnatding (Sales)</t>
  </si>
  <si>
    <t>Prepaid Expenses (% of Sales)</t>
  </si>
  <si>
    <t>Days Payables Oustanding (COGS)</t>
  </si>
  <si>
    <t>Accrued Liabilities (% of Sales)</t>
  </si>
  <si>
    <t>Total Net Sales</t>
  </si>
  <si>
    <t>COGS</t>
  </si>
  <si>
    <t>Gross Profit</t>
  </si>
  <si>
    <t>% Margin</t>
  </si>
  <si>
    <t>EBITDA</t>
  </si>
  <si>
    <t>Depreciation</t>
  </si>
  <si>
    <t>EBIT</t>
  </si>
  <si>
    <t>Interest Expense</t>
  </si>
  <si>
    <t>Revolver</t>
  </si>
  <si>
    <t>PIK Interest on Mezz</t>
  </si>
  <si>
    <t>Amortization of Deferred Financing Fees</t>
  </si>
  <si>
    <t>Total Interest Expense</t>
  </si>
  <si>
    <t>Interest Income</t>
  </si>
  <si>
    <t>Amortization of Intangible Writeup</t>
  </si>
  <si>
    <t>Pre-Tax Income</t>
  </si>
  <si>
    <t>Tax Expense</t>
  </si>
  <si>
    <t>Net Income</t>
  </si>
  <si>
    <t>Income Statement Assumptions/Drivers</t>
  </si>
  <si>
    <t>Sales Growth</t>
  </si>
  <si>
    <t>EBITDA Growth</t>
  </si>
  <si>
    <t>COGS (% of Sales)</t>
  </si>
  <si>
    <t>SG&amp;A (% of Sales)</t>
  </si>
  <si>
    <t>Depreciation (% of Capex)</t>
  </si>
  <si>
    <t>Tax Rate</t>
  </si>
  <si>
    <t xml:space="preserve">INCOME STATEMENT </t>
  </si>
  <si>
    <t>SG&amp;A</t>
  </si>
  <si>
    <t>N/A</t>
  </si>
  <si>
    <t>Days</t>
  </si>
  <si>
    <t xml:space="preserve">Cash Flow Statement </t>
  </si>
  <si>
    <t xml:space="preserve">Plus: Depreciation </t>
  </si>
  <si>
    <t>Plus: Amortization of Intangible Writeup</t>
  </si>
  <si>
    <t>Plus: Deferred Financing Fees</t>
  </si>
  <si>
    <t>Plus: PIK Interest</t>
  </si>
  <si>
    <t>Change in Working Capital</t>
  </si>
  <si>
    <t>CapEx</t>
  </si>
  <si>
    <t>Mandatory debt paydown</t>
  </si>
  <si>
    <t>Debt available for discretionary paydown</t>
  </si>
  <si>
    <t>Discretionary paydown</t>
  </si>
  <si>
    <t>Ending Cash</t>
  </si>
  <si>
    <t xml:space="preserve">CADR </t>
  </si>
  <si>
    <t xml:space="preserve">Debt </t>
  </si>
  <si>
    <t xml:space="preserve">Ebitda multiple </t>
  </si>
  <si>
    <t xml:space="preserve">Interest </t>
  </si>
  <si>
    <t xml:space="preserve">Financing Fee </t>
  </si>
  <si>
    <t>Revolving Credit Facility</t>
  </si>
  <si>
    <t>L + 500</t>
  </si>
  <si>
    <t>Term Loan A</t>
  </si>
  <si>
    <t>LIBOR</t>
  </si>
  <si>
    <t>Mezzanine</t>
  </si>
  <si>
    <t>5% PIK / 10%</t>
  </si>
  <si>
    <t xml:space="preserve">Total Leverage </t>
  </si>
  <si>
    <t xml:space="preserve">Debt Schedule </t>
  </si>
  <si>
    <t xml:space="preserve">Revolving Credit </t>
  </si>
  <si>
    <t>Beg Balance</t>
  </si>
  <si>
    <t>Mandatory Payment</t>
  </si>
  <si>
    <t xml:space="preserve">Optional Payment </t>
  </si>
  <si>
    <t>Cash Sweep</t>
  </si>
  <si>
    <t xml:space="preserve">End Balance </t>
  </si>
  <si>
    <t>Cash Left to Paydown</t>
  </si>
  <si>
    <t xml:space="preserve">Term Loan </t>
  </si>
  <si>
    <t xml:space="preserve">PIK Interest </t>
  </si>
  <si>
    <t xml:space="preserve">Total Debt </t>
  </si>
  <si>
    <t xml:space="preserve">PP&amp;E Schedule </t>
  </si>
  <si>
    <t xml:space="preserve">Beg PP&amp;E </t>
  </si>
  <si>
    <t xml:space="preserve">Plus CAPEX </t>
  </si>
  <si>
    <t xml:space="preserve">Capex % of sales </t>
  </si>
  <si>
    <t xml:space="preserve">Less Depreciation </t>
  </si>
  <si>
    <t xml:space="preserve">Depcreciation % of Capex </t>
  </si>
  <si>
    <t xml:space="preserve">End PP&amp;E </t>
  </si>
  <si>
    <t xml:space="preserve">Transaction Assumptions </t>
  </si>
  <si>
    <t xml:space="preserve">Sources </t>
  </si>
  <si>
    <t xml:space="preserve">Uses </t>
  </si>
  <si>
    <t xml:space="preserve">Purchase Accounting </t>
  </si>
  <si>
    <t xml:space="preserve">Entry Level </t>
  </si>
  <si>
    <t>Equity Value</t>
  </si>
  <si>
    <t xml:space="preserve">Mezzanine </t>
  </si>
  <si>
    <t xml:space="preserve">Transaction Fees </t>
  </si>
  <si>
    <t xml:space="preserve">Less: Book Value </t>
  </si>
  <si>
    <t>TEV</t>
  </si>
  <si>
    <t>Sponsor Equity</t>
  </si>
  <si>
    <t xml:space="preserve">Financing Fees </t>
  </si>
  <si>
    <t xml:space="preserve">Plus: Fees </t>
  </si>
  <si>
    <t xml:space="preserve">Plus: Cash </t>
  </si>
  <si>
    <t xml:space="preserve">Cash-Cash Min </t>
  </si>
  <si>
    <t xml:space="preserve">Existing Debt </t>
  </si>
  <si>
    <t>Plus: Existing Goodwill</t>
  </si>
  <si>
    <t xml:space="preserve">Less: Debt </t>
  </si>
  <si>
    <t xml:space="preserve">Excess Premium </t>
  </si>
  <si>
    <t xml:space="preserve">Equity Value </t>
  </si>
  <si>
    <t>Total</t>
  </si>
  <si>
    <t>Intangible Writeup</t>
  </si>
  <si>
    <t xml:space="preserve">DTL </t>
  </si>
  <si>
    <t>Check Sources=Uses</t>
  </si>
  <si>
    <t xml:space="preserve">New Goodwill </t>
  </si>
  <si>
    <t>Cash Min</t>
  </si>
  <si>
    <t>Amount of Loan Taken</t>
  </si>
  <si>
    <t>RCF (Revolver)</t>
  </si>
  <si>
    <t>Beginning Cash</t>
  </si>
  <si>
    <t>ON</t>
  </si>
  <si>
    <t>Scenario</t>
  </si>
  <si>
    <t xml:space="preserve">Returns Analysis </t>
  </si>
  <si>
    <t>Exit Mutiple</t>
  </si>
  <si>
    <t>EV</t>
  </si>
  <si>
    <t>Plus Cash</t>
  </si>
  <si>
    <t xml:space="preserve">Less Debt </t>
  </si>
  <si>
    <t>MoM</t>
  </si>
  <si>
    <t>IRR</t>
  </si>
  <si>
    <t>Exit Year</t>
  </si>
  <si>
    <t>Exit Multiple</t>
  </si>
  <si>
    <t>Assumptions</t>
  </si>
  <si>
    <t>EXIT Multiple</t>
  </si>
  <si>
    <t>Invested Capital</t>
  </si>
  <si>
    <t>Inventory Turns (COGS)</t>
  </si>
  <si>
    <t>A group of investment bankers have indicated that the company should be able to support 5.0x total leverage based on EBITDA generated in 2023. </t>
  </si>
  <si>
    <t xml:space="preserve"> Assume it was decided that the entry premium should be 9.0x 2023 EBITDA and the transaction closes on 12/31/23. </t>
  </si>
  <si>
    <t>Build out fully integrated financial statements with historicals provided through I2lk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</si>
</sst>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(* #,##0_);_(* \(#,##0\);_(* &quot;-&quot;??_);_(@_)"/>
    <numFmt numFmtId="165" formatCode="0.0%_);\(0.0%\);0.0%_);@_)"/>
    <numFmt numFmtId="166" formatCode="[$$-409]#,##0_);\([$$-409]#,##0\)"/>
    <numFmt numFmtId="167" formatCode="0.0_);\(0.0\)"/>
    <numFmt numFmtId="168" formatCode="#,##0.0\x_);\(#,##0.0\x\);#,##0.0\x_);@_)"/>
    <numFmt numFmtId="169" formatCode="&quot;L+ &quot;0.0%_);\(0.0%\);0.0%_);@_)"/>
    <numFmt numFmtId="170" formatCode="0.0\x"/>
    <numFmt numFmtId="171" formatCode="_(&quot;$&quot;* #,##0_);_(&quot;$&quot;* \(#,##0\);_(&quot;$&quot;* &quot;-&quot;??_);_(@_)"/>
    <numFmt numFmtId="172" formatCode="_ [$₹-4009]\ * #,##0.00_ ;_ [$₹-4009]\ * \-#,##0.00_ ;_ [$₹-4009]\ * &quot;-&quot;??_ ;_ @_ "/>
    <numFmt numFmtId="173" formatCode="0.0\X"/>
    <numFmt numFmtId="174" formatCode="&quot;₹&quot;\ #,##0.00"/>
  </numFmts>
  <fonts count="2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rgb="FF000000"/>
      <name val="Franklin Gothic Book"/>
      <family val="2"/>
    </font>
    <font>
      <sz val="16"/>
      <color rgb="FF000000"/>
      <name val="Franklin Gothic Book"/>
      <family val="2"/>
    </font>
    <font>
      <sz val="12"/>
      <name val="Calibri"/>
      <family val="2"/>
    </font>
    <font>
      <b/>
      <sz val="12"/>
      <name val="Calibri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b/>
      <sz val="10"/>
      <color rgb="FF0000FF"/>
      <name val="Arial"/>
      <family val="2"/>
    </font>
    <font>
      <sz val="10"/>
      <color rgb="FF0000FF"/>
      <name val="Arial"/>
      <family val="2"/>
    </font>
    <font>
      <i/>
      <sz val="12"/>
      <name val="Calibri"/>
      <family val="2"/>
    </font>
    <font>
      <sz val="12"/>
      <color rgb="FF0000FF"/>
      <name val="Calibri"/>
      <family val="2"/>
    </font>
    <font>
      <i/>
      <sz val="10"/>
      <color rgb="FF0000FF"/>
      <name val="Arial"/>
      <family val="2"/>
    </font>
    <font>
      <sz val="12"/>
      <color rgb="FF993300"/>
      <name val="Calibri"/>
      <family val="2"/>
    </font>
    <font>
      <b/>
      <sz val="10"/>
      <name val="Calibri"/>
      <family val="2"/>
    </font>
    <font>
      <sz val="10"/>
      <color rgb="FF0000FF"/>
      <name val="Calibri"/>
      <family val="2"/>
    </font>
    <font>
      <i/>
      <sz val="10"/>
      <name val="Arial"/>
      <family val="2"/>
    </font>
    <font>
      <sz val="12"/>
      <color rgb="FF000000"/>
      <name val="Calibri"/>
      <family val="2"/>
    </font>
    <font>
      <i/>
      <sz val="12"/>
      <color rgb="FF993300"/>
      <name val="Calibri"/>
      <family val="2"/>
    </font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5DFEC"/>
        <bgColor rgb="FFE5DFEC"/>
      </patternFill>
    </fill>
    <fill>
      <patternFill patternType="solid">
        <fgColor rgb="FFFFFFFF"/>
        <bgColor rgb="FFFFFFFF"/>
      </patternFill>
    </fill>
    <fill>
      <patternFill patternType="solid">
        <fgColor theme="7" tint="0.59999389629810485"/>
        <bgColor rgb="FFDDD9C3"/>
      </patternFill>
    </fill>
    <fill>
      <patternFill patternType="solid">
        <fgColor theme="7" tint="0.59999389629810485"/>
        <bgColor rgb="FFEEECE1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20" fillId="0" borderId="0" applyFont="0" applyFill="0" applyBorder="0" applyAlignment="0" applyProtection="0"/>
  </cellStyleXfs>
  <cellXfs count="107">
    <xf numFmtId="0" fontId="0" fillId="0" borderId="0" xfId="0"/>
    <xf numFmtId="15" fontId="0" fillId="0" borderId="0" xfId="0" applyNumberFormat="1"/>
    <xf numFmtId="0" fontId="1" fillId="0" borderId="0" xfId="0" applyFont="1"/>
    <xf numFmtId="4" fontId="0" fillId="0" borderId="0" xfId="0" applyNumberFormat="1"/>
    <xf numFmtId="4" fontId="1" fillId="0" borderId="0" xfId="0" applyNumberFormat="1" applyFont="1"/>
    <xf numFmtId="0" fontId="0" fillId="0" borderId="1" xfId="0" applyBorder="1"/>
    <xf numFmtId="4" fontId="0" fillId="0" borderId="1" xfId="0" applyNumberFormat="1" applyBorder="1"/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3" xfId="0" applyFont="1" applyBorder="1"/>
    <xf numFmtId="0" fontId="5" fillId="0" borderId="4" xfId="0" applyFont="1" applyBorder="1"/>
    <xf numFmtId="37" fontId="9" fillId="0" borderId="4" xfId="0" applyNumberFormat="1" applyFont="1" applyBorder="1"/>
    <xf numFmtId="37" fontId="9" fillId="0" borderId="0" xfId="0" applyNumberFormat="1" applyFont="1"/>
    <xf numFmtId="164" fontId="5" fillId="0" borderId="0" xfId="0" applyNumberFormat="1" applyFont="1"/>
    <xf numFmtId="37" fontId="10" fillId="0" borderId="4" xfId="0" applyNumberFormat="1" applyFont="1" applyBorder="1"/>
    <xf numFmtId="37" fontId="10" fillId="0" borderId="0" xfId="0" applyNumberFormat="1" applyFont="1"/>
    <xf numFmtId="164" fontId="4" fillId="0" borderId="0" xfId="0" applyNumberFormat="1" applyFont="1"/>
    <xf numFmtId="37" fontId="5" fillId="0" borderId="4" xfId="0" applyNumberFormat="1" applyFont="1" applyBorder="1"/>
    <xf numFmtId="37" fontId="5" fillId="0" borderId="0" xfId="0" applyNumberFormat="1" applyFont="1"/>
    <xf numFmtId="9" fontId="11" fillId="0" borderId="4" xfId="0" applyNumberFormat="1" applyFont="1" applyBorder="1"/>
    <xf numFmtId="9" fontId="11" fillId="0" borderId="0" xfId="0" applyNumberFormat="1" applyFont="1"/>
    <xf numFmtId="0" fontId="4" fillId="0" borderId="4" xfId="0" applyFont="1" applyBorder="1"/>
    <xf numFmtId="0" fontId="4" fillId="2" borderId="0" xfId="0" applyFont="1" applyFill="1"/>
    <xf numFmtId="164" fontId="12" fillId="0" borderId="0" xfId="0" applyNumberFormat="1" applyFont="1"/>
    <xf numFmtId="9" fontId="12" fillId="0" borderId="4" xfId="0" applyNumberFormat="1" applyFont="1" applyBorder="1"/>
    <xf numFmtId="9" fontId="12" fillId="0" borderId="0" xfId="0" applyNumberFormat="1" applyFont="1"/>
    <xf numFmtId="9" fontId="4" fillId="0" borderId="4" xfId="0" applyNumberFormat="1" applyFont="1" applyBorder="1"/>
    <xf numFmtId="9" fontId="4" fillId="0" borderId="0" xfId="0" applyNumberFormat="1" applyFont="1"/>
    <xf numFmtId="0" fontId="12" fillId="0" borderId="0" xfId="0" applyFont="1"/>
    <xf numFmtId="0" fontId="10" fillId="0" borderId="5" xfId="0" applyFont="1" applyBorder="1" applyAlignment="1">
      <alignment horizontal="right"/>
    </xf>
    <xf numFmtId="0" fontId="10" fillId="0" borderId="6" xfId="0" applyFont="1" applyBorder="1" applyAlignment="1">
      <alignment horizontal="right"/>
    </xf>
    <xf numFmtId="165" fontId="13" fillId="0" borderId="6" xfId="0" applyNumberFormat="1" applyFont="1" applyBorder="1"/>
    <xf numFmtId="165" fontId="13" fillId="0" borderId="5" xfId="0" applyNumberFormat="1" applyFont="1" applyBorder="1"/>
    <xf numFmtId="0" fontId="10" fillId="0" borderId="4" xfId="0" applyFont="1" applyBorder="1" applyAlignment="1">
      <alignment horizontal="right"/>
    </xf>
    <xf numFmtId="0" fontId="10" fillId="0" borderId="0" xfId="0" applyFont="1" applyAlignment="1">
      <alignment horizontal="right"/>
    </xf>
    <xf numFmtId="165" fontId="11" fillId="0" borderId="0" xfId="0" applyNumberFormat="1" applyFont="1"/>
    <xf numFmtId="165" fontId="11" fillId="0" borderId="4" xfId="0" applyNumberFormat="1" applyFont="1" applyBorder="1"/>
    <xf numFmtId="0" fontId="11" fillId="0" borderId="0" xfId="0" applyFont="1"/>
    <xf numFmtId="0" fontId="11" fillId="0" borderId="4" xfId="0" applyFont="1" applyBorder="1"/>
    <xf numFmtId="165" fontId="8" fillId="0" borderId="4" xfId="0" applyNumberFormat="1" applyFont="1" applyBorder="1"/>
    <xf numFmtId="165" fontId="8" fillId="0" borderId="0" xfId="0" applyNumberFormat="1" applyFont="1"/>
    <xf numFmtId="165" fontId="13" fillId="0" borderId="0" xfId="0" applyNumberFormat="1" applyFont="1"/>
    <xf numFmtId="165" fontId="13" fillId="0" borderId="4" xfId="0" applyNumberFormat="1" applyFont="1" applyBorder="1"/>
    <xf numFmtId="165" fontId="10" fillId="0" borderId="4" xfId="0" applyNumberFormat="1" applyFont="1" applyBorder="1"/>
    <xf numFmtId="165" fontId="10" fillId="0" borderId="0" xfId="0" applyNumberFormat="1" applyFont="1"/>
    <xf numFmtId="165" fontId="10" fillId="0" borderId="7" xfId="0" applyNumberFormat="1" applyFont="1" applyBorder="1"/>
    <xf numFmtId="165" fontId="10" fillId="0" borderId="8" xfId="0" applyNumberFormat="1" applyFont="1" applyBorder="1"/>
    <xf numFmtId="165" fontId="13" fillId="0" borderId="8" xfId="0" applyNumberFormat="1" applyFont="1" applyBorder="1"/>
    <xf numFmtId="165" fontId="13" fillId="0" borderId="7" xfId="0" applyNumberFormat="1" applyFont="1" applyBorder="1"/>
    <xf numFmtId="164" fontId="4" fillId="0" borderId="0" xfId="0" applyNumberFormat="1" applyFont="1" applyAlignment="1">
      <alignment horizontal="right"/>
    </xf>
    <xf numFmtId="166" fontId="6" fillId="0" borderId="5" xfId="0" applyNumberFormat="1" applyFont="1" applyBorder="1"/>
    <xf numFmtId="166" fontId="4" fillId="0" borderId="0" xfId="0" applyNumberFormat="1" applyFont="1"/>
    <xf numFmtId="0" fontId="14" fillId="0" borderId="0" xfId="0" applyFont="1"/>
    <xf numFmtId="167" fontId="4" fillId="0" borderId="0" xfId="0" applyNumberFormat="1" applyFont="1"/>
    <xf numFmtId="1" fontId="4" fillId="0" borderId="0" xfId="0" applyNumberFormat="1" applyFont="1"/>
    <xf numFmtId="165" fontId="4" fillId="0" borderId="0" xfId="0" applyNumberFormat="1" applyFont="1"/>
    <xf numFmtId="0" fontId="5" fillId="0" borderId="0" xfId="0" applyFont="1" applyAlignment="1">
      <alignment horizontal="left"/>
    </xf>
    <xf numFmtId="0" fontId="15" fillId="0" borderId="0" xfId="0" applyFont="1"/>
    <xf numFmtId="165" fontId="16" fillId="0" borderId="0" xfId="0" applyNumberFormat="1" applyFont="1"/>
    <xf numFmtId="168" fontId="10" fillId="0" borderId="0" xfId="0" applyNumberFormat="1" applyFont="1" applyAlignment="1">
      <alignment horizontal="center"/>
    </xf>
    <xf numFmtId="169" fontId="10" fillId="0" borderId="0" xfId="0" applyNumberFormat="1" applyFont="1" applyAlignment="1">
      <alignment horizontal="center"/>
    </xf>
    <xf numFmtId="165" fontId="10" fillId="0" borderId="0" xfId="0" applyNumberFormat="1" applyFont="1" applyAlignment="1">
      <alignment horizontal="center"/>
    </xf>
    <xf numFmtId="0" fontId="4" fillId="0" borderId="9" xfId="0" applyFont="1" applyBorder="1"/>
    <xf numFmtId="9" fontId="4" fillId="0" borderId="9" xfId="0" applyNumberFormat="1" applyFont="1" applyBorder="1"/>
    <xf numFmtId="0" fontId="10" fillId="0" borderId="0" xfId="0" applyFont="1" applyAlignment="1">
      <alignment horizontal="center"/>
    </xf>
    <xf numFmtId="0" fontId="4" fillId="0" borderId="6" xfId="0" applyFont="1" applyBorder="1"/>
    <xf numFmtId="168" fontId="6" fillId="0" borderId="6" xfId="0" applyNumberFormat="1" applyFont="1" applyBorder="1" applyAlignment="1">
      <alignment horizontal="center"/>
    </xf>
    <xf numFmtId="0" fontId="17" fillId="0" borderId="0" xfId="0" applyFont="1"/>
    <xf numFmtId="0" fontId="18" fillId="3" borderId="0" xfId="0" applyFont="1" applyFill="1"/>
    <xf numFmtId="9" fontId="18" fillId="3" borderId="0" xfId="0" applyNumberFormat="1" applyFont="1" applyFill="1"/>
    <xf numFmtId="170" fontId="10" fillId="0" borderId="0" xfId="0" applyNumberFormat="1" applyFont="1"/>
    <xf numFmtId="37" fontId="4" fillId="0" borderId="0" xfId="0" applyNumberFormat="1" applyFont="1"/>
    <xf numFmtId="171" fontId="4" fillId="0" borderId="0" xfId="0" applyNumberFormat="1" applyFont="1"/>
    <xf numFmtId="0" fontId="19" fillId="0" borderId="0" xfId="0" applyFont="1"/>
    <xf numFmtId="172" fontId="10" fillId="0" borderId="4" xfId="0" applyNumberFormat="1" applyFont="1" applyBorder="1"/>
    <xf numFmtId="172" fontId="6" fillId="0" borderId="5" xfId="0" applyNumberFormat="1" applyFont="1" applyBorder="1"/>
    <xf numFmtId="172" fontId="4" fillId="0" borderId="4" xfId="0" applyNumberFormat="1" applyFont="1" applyBorder="1"/>
    <xf numFmtId="172" fontId="10" fillId="0" borderId="0" xfId="0" applyNumberFormat="1" applyFont="1"/>
    <xf numFmtId="172" fontId="6" fillId="0" borderId="0" xfId="0" applyNumberFormat="1" applyFont="1"/>
    <xf numFmtId="172" fontId="4" fillId="0" borderId="0" xfId="0" applyNumberFormat="1" applyFont="1"/>
    <xf numFmtId="166" fontId="6" fillId="0" borderId="0" xfId="0" applyNumberFormat="1" applyFont="1"/>
    <xf numFmtId="172" fontId="5" fillId="0" borderId="0" xfId="0" applyNumberFormat="1" applyFont="1"/>
    <xf numFmtId="2" fontId="4" fillId="0" borderId="4" xfId="0" applyNumberFormat="1" applyFont="1" applyBorder="1"/>
    <xf numFmtId="10" fontId="4" fillId="0" borderId="4" xfId="1" applyNumberFormat="1" applyFont="1" applyBorder="1"/>
    <xf numFmtId="2" fontId="4" fillId="0" borderId="0" xfId="0" applyNumberFormat="1" applyFont="1"/>
    <xf numFmtId="10" fontId="4" fillId="0" borderId="0" xfId="1" applyNumberFormat="1" applyFont="1"/>
    <xf numFmtId="10" fontId="11" fillId="0" borderId="0" xfId="1" applyNumberFormat="1" applyFont="1"/>
    <xf numFmtId="164" fontId="4" fillId="0" borderId="10" xfId="0" applyNumberFormat="1" applyFont="1" applyBorder="1"/>
    <xf numFmtId="0" fontId="5" fillId="4" borderId="2" xfId="0" applyFont="1" applyFill="1" applyBorder="1"/>
    <xf numFmtId="0" fontId="4" fillId="4" borderId="2" xfId="0" applyFont="1" applyFill="1" applyBorder="1"/>
    <xf numFmtId="164" fontId="4" fillId="4" borderId="2" xfId="0" applyNumberFormat="1" applyFont="1" applyFill="1" applyBorder="1"/>
    <xf numFmtId="170" fontId="4" fillId="0" borderId="0" xfId="0" applyNumberFormat="1" applyFont="1"/>
    <xf numFmtId="9" fontId="5" fillId="0" borderId="8" xfId="0" applyNumberFormat="1" applyFont="1" applyBorder="1" applyAlignment="1">
      <alignment horizontal="center"/>
    </xf>
    <xf numFmtId="0" fontId="4" fillId="0" borderId="8" xfId="0" applyFont="1" applyBorder="1"/>
    <xf numFmtId="170" fontId="4" fillId="0" borderId="4" xfId="0" applyNumberFormat="1" applyFont="1" applyBorder="1"/>
    <xf numFmtId="173" fontId="4" fillId="0" borderId="0" xfId="0" applyNumberFormat="1" applyFont="1"/>
    <xf numFmtId="173" fontId="12" fillId="0" borderId="0" xfId="0" applyNumberFormat="1" applyFont="1"/>
    <xf numFmtId="0" fontId="5" fillId="5" borderId="2" xfId="0" applyFont="1" applyFill="1" applyBorder="1"/>
    <xf numFmtId="0" fontId="4" fillId="5" borderId="2" xfId="0" applyFont="1" applyFill="1" applyBorder="1"/>
    <xf numFmtId="174" fontId="5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eyansh%20Agarwal\Downloads\lpu\faculty\class%208\LBO%20MODEL%20+%20pIK.xlsx" TargetMode="External"/><Relationship Id="rId1" Type="http://schemas.openxmlformats.org/officeDocument/2006/relationships/externalLinkPath" Target="/Users/Reyansh%20Agarwal/Downloads/lpu/faculty/class%208/LBO%20MODEL%20+%20pI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irections"/>
      <sheetName val="IS"/>
      <sheetName val="BS"/>
      <sheetName val="CFS"/>
      <sheetName val="SS"/>
      <sheetName val="S&amp;U"/>
      <sheetName val="Returns"/>
      <sheetName val="IS (T)"/>
      <sheetName val="BS (T)"/>
      <sheetName val="CFS (T)"/>
      <sheetName val="SS (T)"/>
      <sheetName val="S&amp;U (T)"/>
      <sheetName val="Returns (T)"/>
    </sheetNames>
    <sheetDataSet>
      <sheetData sheetId="0" refreshError="1"/>
      <sheetData sheetId="1" refreshError="1">
        <row r="41">
          <cell r="E41">
            <v>0.35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07057-ABD2-49EA-A00C-0638F3F5A823}">
  <dimension ref="A1:C79"/>
  <sheetViews>
    <sheetView topLeftCell="A49" workbookViewId="0">
      <selection activeCell="E9" sqref="E9"/>
    </sheetView>
  </sheetViews>
  <sheetFormatPr defaultRowHeight="14.4" x14ac:dyDescent="0.3"/>
  <cols>
    <col min="1" max="1" width="38.44140625" customWidth="1"/>
    <col min="2" max="2" width="13.6640625" customWidth="1"/>
    <col min="3" max="3" width="11.6640625" bestFit="1" customWidth="1"/>
  </cols>
  <sheetData>
    <row r="1" spans="1:3" x14ac:dyDescent="0.3">
      <c r="A1" t="s">
        <v>0</v>
      </c>
      <c r="B1" t="s">
        <v>1</v>
      </c>
      <c r="C1" s="1">
        <v>45016</v>
      </c>
    </row>
    <row r="2" spans="1:3" x14ac:dyDescent="0.3">
      <c r="A2" t="s">
        <v>2</v>
      </c>
    </row>
    <row r="3" spans="1:3" x14ac:dyDescent="0.3">
      <c r="A3" s="2" t="s">
        <v>3</v>
      </c>
    </row>
    <row r="4" spans="1:3" x14ac:dyDescent="0.3">
      <c r="A4" t="s">
        <v>4</v>
      </c>
    </row>
    <row r="5" spans="1:3" x14ac:dyDescent="0.3">
      <c r="A5" t="s">
        <v>5</v>
      </c>
      <c r="C5" s="3">
        <v>1309836.32</v>
      </c>
    </row>
    <row r="6" spans="1:3" x14ac:dyDescent="0.3">
      <c r="A6" t="s">
        <v>6</v>
      </c>
      <c r="C6" s="3">
        <v>926315.04</v>
      </c>
    </row>
    <row r="7" spans="1:3" x14ac:dyDescent="0.3">
      <c r="A7" t="s">
        <v>7</v>
      </c>
      <c r="C7" s="3">
        <v>141894.16</v>
      </c>
    </row>
    <row r="8" spans="1:3" x14ac:dyDescent="0.3">
      <c r="A8" t="s">
        <v>8</v>
      </c>
    </row>
    <row r="9" spans="1:3" x14ac:dyDescent="0.3">
      <c r="A9" t="s">
        <v>5</v>
      </c>
    </row>
    <row r="10" spans="1:3" x14ac:dyDescent="0.3">
      <c r="A10" t="s">
        <v>9</v>
      </c>
      <c r="C10" s="3">
        <v>97259.87</v>
      </c>
    </row>
    <row r="11" spans="1:3" x14ac:dyDescent="0.3">
      <c r="A11" t="s">
        <v>10</v>
      </c>
      <c r="C11" s="3">
        <v>353018.22</v>
      </c>
    </row>
    <row r="12" spans="1:3" x14ac:dyDescent="0.3">
      <c r="A12" t="s">
        <v>11</v>
      </c>
      <c r="C12" s="3">
        <v>289473.62</v>
      </c>
    </row>
    <row r="13" spans="1:3" x14ac:dyDescent="0.3">
      <c r="A13" t="s">
        <v>12</v>
      </c>
      <c r="C13">
        <v>78.680000000000007</v>
      </c>
    </row>
    <row r="14" spans="1:3" x14ac:dyDescent="0.3">
      <c r="A14" t="s">
        <v>13</v>
      </c>
      <c r="C14" s="3">
        <v>120334.12</v>
      </c>
    </row>
    <row r="15" spans="1:3" x14ac:dyDescent="0.3">
      <c r="A15" t="s">
        <v>14</v>
      </c>
      <c r="C15" s="3">
        <v>9736.07</v>
      </c>
    </row>
    <row r="16" spans="1:3" x14ac:dyDescent="0.3">
      <c r="A16" t="s">
        <v>15</v>
      </c>
    </row>
    <row r="17" spans="1:3" x14ac:dyDescent="0.3">
      <c r="A17" t="s">
        <v>16</v>
      </c>
      <c r="C17" s="3">
        <v>163924.94</v>
      </c>
    </row>
    <row r="18" spans="1:3" x14ac:dyDescent="0.3">
      <c r="A18" t="s">
        <v>17</v>
      </c>
      <c r="C18" s="3">
        <v>232833.05</v>
      </c>
    </row>
    <row r="19" spans="1:3" x14ac:dyDescent="0.3">
      <c r="A19" t="s">
        <v>18</v>
      </c>
      <c r="C19" s="3">
        <v>2936.37</v>
      </c>
    </row>
    <row r="20" spans="1:3" x14ac:dyDescent="0.3">
      <c r="A20" t="s">
        <v>19</v>
      </c>
    </row>
    <row r="21" spans="1:3" x14ac:dyDescent="0.3">
      <c r="A21" t="s">
        <v>20</v>
      </c>
    </row>
    <row r="22" spans="1:3" x14ac:dyDescent="0.3">
      <c r="A22" t="s">
        <v>21</v>
      </c>
      <c r="C22" s="3">
        <v>536711.54</v>
      </c>
    </row>
    <row r="23" spans="1:3" x14ac:dyDescent="0.3">
      <c r="A23" t="s">
        <v>22</v>
      </c>
      <c r="C23" s="3">
        <v>200325.59</v>
      </c>
    </row>
    <row r="24" spans="1:3" x14ac:dyDescent="0.3">
      <c r="A24" t="s">
        <v>23</v>
      </c>
      <c r="C24" s="3">
        <v>26224.86</v>
      </c>
    </row>
    <row r="25" spans="1:3" x14ac:dyDescent="0.3">
      <c r="A25" t="s">
        <v>24</v>
      </c>
      <c r="C25" s="3">
        <v>29655.59</v>
      </c>
    </row>
    <row r="26" spans="1:3" x14ac:dyDescent="0.3">
      <c r="A26" t="s">
        <v>25</v>
      </c>
      <c r="C26" s="3">
        <v>267511.58</v>
      </c>
    </row>
    <row r="27" spans="1:3" x14ac:dyDescent="0.3">
      <c r="A27" t="s">
        <v>26</v>
      </c>
      <c r="C27" s="3">
        <v>0</v>
      </c>
    </row>
    <row r="28" spans="1:3" x14ac:dyDescent="0.3">
      <c r="A28" t="s">
        <v>27</v>
      </c>
      <c r="C28" s="3">
        <v>94215.88</v>
      </c>
    </row>
    <row r="29" spans="1:3" x14ac:dyDescent="0.3">
      <c r="A29" t="s">
        <v>28</v>
      </c>
      <c r="C29" s="3">
        <v>24145.86</v>
      </c>
    </row>
    <row r="30" spans="1:3" x14ac:dyDescent="0.3">
      <c r="A30" t="s">
        <v>29</v>
      </c>
      <c r="C30" s="3">
        <v>142545.01999999999</v>
      </c>
    </row>
    <row r="31" spans="1:3" x14ac:dyDescent="0.3">
      <c r="A31" t="s">
        <v>30</v>
      </c>
      <c r="C31" s="3">
        <v>34805.57</v>
      </c>
    </row>
    <row r="32" spans="1:3" x14ac:dyDescent="0.3">
      <c r="A32" t="s">
        <v>31</v>
      </c>
      <c r="C32" s="3">
        <v>5003781.95</v>
      </c>
    </row>
    <row r="33" spans="1:3" x14ac:dyDescent="0.3">
      <c r="A33" t="s">
        <v>32</v>
      </c>
    </row>
    <row r="34" spans="1:3" x14ac:dyDescent="0.3">
      <c r="A34" t="s">
        <v>33</v>
      </c>
      <c r="C34" s="3">
        <v>442380.68</v>
      </c>
    </row>
    <row r="35" spans="1:3" x14ac:dyDescent="0.3">
      <c r="A35" t="s">
        <v>34</v>
      </c>
    </row>
    <row r="36" spans="1:3" x14ac:dyDescent="0.3">
      <c r="A36" t="s">
        <v>35</v>
      </c>
      <c r="C36" s="3">
        <v>51688.97</v>
      </c>
    </row>
    <row r="37" spans="1:3" x14ac:dyDescent="0.3">
      <c r="A37" t="s">
        <v>23</v>
      </c>
      <c r="C37" s="3">
        <v>187515.81</v>
      </c>
    </row>
    <row r="38" spans="1:3" x14ac:dyDescent="0.3">
      <c r="A38" t="s">
        <v>36</v>
      </c>
      <c r="C38" s="3">
        <v>26399.98</v>
      </c>
    </row>
    <row r="39" spans="1:3" x14ac:dyDescent="0.3">
      <c r="A39" t="s">
        <v>37</v>
      </c>
      <c r="C39" s="3">
        <v>265003.28999999998</v>
      </c>
    </row>
    <row r="40" spans="1:3" x14ac:dyDescent="0.3">
      <c r="A40" t="s">
        <v>38</v>
      </c>
      <c r="C40" s="3">
        <v>4576.1000000000004</v>
      </c>
    </row>
    <row r="41" spans="1:3" x14ac:dyDescent="0.3">
      <c r="A41" t="s">
        <v>27</v>
      </c>
      <c r="C41" s="3">
        <v>92468.76</v>
      </c>
    </row>
    <row r="42" spans="1:3" x14ac:dyDescent="0.3">
      <c r="A42" t="s">
        <v>39</v>
      </c>
      <c r="C42" s="3">
        <v>1340.16</v>
      </c>
    </row>
    <row r="43" spans="1:3" x14ac:dyDescent="0.3">
      <c r="A43" t="s">
        <v>40</v>
      </c>
      <c r="C43" s="3">
        <v>69593.3</v>
      </c>
    </row>
    <row r="44" spans="1:3" x14ac:dyDescent="0.3">
      <c r="A44" t="s">
        <v>41</v>
      </c>
      <c r="C44" s="3">
        <v>1140967.05</v>
      </c>
    </row>
    <row r="45" spans="1:3" x14ac:dyDescent="0.3">
      <c r="A45" t="s">
        <v>42</v>
      </c>
      <c r="C45">
        <v>538.26</v>
      </c>
    </row>
    <row r="46" spans="1:3" x14ac:dyDescent="0.3">
      <c r="A46" t="s">
        <v>43</v>
      </c>
      <c r="C46" s="3">
        <v>6145287.2599999998</v>
      </c>
    </row>
    <row r="47" spans="1:3" x14ac:dyDescent="0.3">
      <c r="A47" t="s">
        <v>44</v>
      </c>
      <c r="C47" s="3"/>
    </row>
    <row r="48" spans="1:3" x14ac:dyDescent="0.3">
      <c r="A48" t="s">
        <v>45</v>
      </c>
    </row>
    <row r="49" spans="1:3" x14ac:dyDescent="0.3">
      <c r="A49" t="s">
        <v>46</v>
      </c>
      <c r="C49" s="3">
        <v>62901.39</v>
      </c>
    </row>
    <row r="50" spans="1:3" x14ac:dyDescent="0.3">
      <c r="A50" t="s">
        <v>47</v>
      </c>
      <c r="C50" s="3">
        <v>2743571.57</v>
      </c>
    </row>
    <row r="51" spans="1:3" x14ac:dyDescent="0.3">
      <c r="A51" t="s">
        <v>48</v>
      </c>
      <c r="C51" s="3">
        <v>2806472.96</v>
      </c>
    </row>
    <row r="52" spans="1:3" x14ac:dyDescent="0.3">
      <c r="A52" t="s">
        <v>49</v>
      </c>
      <c r="C52" s="3">
        <v>206077.39</v>
      </c>
    </row>
    <row r="53" spans="1:3" x14ac:dyDescent="0.3">
      <c r="A53" t="s">
        <v>50</v>
      </c>
      <c r="C53" s="3">
        <v>3012550.35</v>
      </c>
    </row>
    <row r="54" spans="1:3" x14ac:dyDescent="0.3">
      <c r="A54" t="s">
        <v>51</v>
      </c>
    </row>
    <row r="55" spans="1:3" x14ac:dyDescent="0.3">
      <c r="A55" t="s">
        <v>52</v>
      </c>
    </row>
    <row r="56" spans="1:3" x14ac:dyDescent="0.3">
      <c r="A56" t="s">
        <v>53</v>
      </c>
    </row>
    <row r="57" spans="1:3" x14ac:dyDescent="0.3">
      <c r="A57" t="s">
        <v>54</v>
      </c>
      <c r="C57" s="3">
        <v>983595.45</v>
      </c>
    </row>
    <row r="58" spans="1:3" x14ac:dyDescent="0.3">
      <c r="A58" t="s">
        <v>55</v>
      </c>
      <c r="C58" s="3">
        <v>84035.29</v>
      </c>
    </row>
    <row r="59" spans="1:3" x14ac:dyDescent="0.3">
      <c r="A59" t="s">
        <v>18</v>
      </c>
      <c r="C59" s="3">
        <v>4317.57</v>
      </c>
    </row>
    <row r="60" spans="1:3" x14ac:dyDescent="0.3">
      <c r="A60" t="s">
        <v>56</v>
      </c>
      <c r="C60" s="3">
        <v>404230.68</v>
      </c>
    </row>
    <row r="61" spans="1:3" x14ac:dyDescent="0.3">
      <c r="A61" t="s">
        <v>57</v>
      </c>
      <c r="C61" s="3">
        <v>321357.90000000002</v>
      </c>
    </row>
    <row r="62" spans="1:3" x14ac:dyDescent="0.3">
      <c r="A62" t="s">
        <v>58</v>
      </c>
      <c r="C62" s="3">
        <v>12498.21</v>
      </c>
    </row>
    <row r="63" spans="1:3" x14ac:dyDescent="0.3">
      <c r="A63" t="s">
        <v>59</v>
      </c>
      <c r="C63" s="3">
        <v>1810035.1</v>
      </c>
    </row>
    <row r="64" spans="1:3" x14ac:dyDescent="0.3">
      <c r="A64" t="s">
        <v>60</v>
      </c>
    </row>
    <row r="65" spans="1:3" x14ac:dyDescent="0.3">
      <c r="A65" t="s">
        <v>53</v>
      </c>
    </row>
    <row r="66" spans="1:3" x14ac:dyDescent="0.3">
      <c r="A66" t="s">
        <v>54</v>
      </c>
      <c r="C66" s="3">
        <v>308260.11</v>
      </c>
    </row>
    <row r="67" spans="1:3" x14ac:dyDescent="0.3">
      <c r="A67" t="s">
        <v>55</v>
      </c>
      <c r="C67" s="3">
        <v>46657.31</v>
      </c>
    </row>
    <row r="68" spans="1:3" x14ac:dyDescent="0.3">
      <c r="A68" t="s">
        <v>61</v>
      </c>
    </row>
    <row r="69" spans="1:3" x14ac:dyDescent="0.3">
      <c r="A69" t="s">
        <v>62</v>
      </c>
      <c r="C69" s="3">
        <v>7490.94</v>
      </c>
    </row>
    <row r="70" spans="1:3" x14ac:dyDescent="0.3">
      <c r="A70" t="s">
        <v>63</v>
      </c>
      <c r="C70" s="3">
        <v>328935.08</v>
      </c>
    </row>
    <row r="71" spans="1:3" x14ac:dyDescent="0.3">
      <c r="A71" t="s">
        <v>64</v>
      </c>
      <c r="C71" s="3">
        <v>477222.64</v>
      </c>
    </row>
    <row r="72" spans="1:3" x14ac:dyDescent="0.3">
      <c r="A72" t="s">
        <v>65</v>
      </c>
      <c r="C72" s="3">
        <v>97590.84</v>
      </c>
    </row>
    <row r="73" spans="1:3" x14ac:dyDescent="0.3">
      <c r="A73" t="s">
        <v>66</v>
      </c>
      <c r="C73" s="3">
        <v>52487.360000000001</v>
      </c>
    </row>
    <row r="74" spans="1:3" x14ac:dyDescent="0.3">
      <c r="A74" t="s">
        <v>67</v>
      </c>
      <c r="C74" s="3">
        <v>4057.53</v>
      </c>
    </row>
    <row r="75" spans="1:3" x14ac:dyDescent="0.3">
      <c r="A75" t="s">
        <v>68</v>
      </c>
      <c r="C75" s="3">
        <v>1322701.81</v>
      </c>
    </row>
    <row r="76" spans="1:3" x14ac:dyDescent="0.3">
      <c r="A76" t="s">
        <v>69</v>
      </c>
      <c r="C76" s="3">
        <v>3132736.91</v>
      </c>
    </row>
    <row r="77" spans="1:3" x14ac:dyDescent="0.3">
      <c r="A77" t="s">
        <v>70</v>
      </c>
      <c r="C77" s="3">
        <v>6145287.2599999998</v>
      </c>
    </row>
    <row r="79" spans="1:3" x14ac:dyDescent="0.3">
      <c r="A7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A266B-337F-4E19-9F98-F306C87209D1}">
  <dimension ref="A1:D60"/>
  <sheetViews>
    <sheetView topLeftCell="A16" workbookViewId="0">
      <selection sqref="A1:XFD1048576"/>
    </sheetView>
  </sheetViews>
  <sheetFormatPr defaultRowHeight="14.4" x14ac:dyDescent="0.3"/>
  <cols>
    <col min="2" max="2" width="53.5546875" customWidth="1"/>
    <col min="4" max="4" width="11.6640625" bestFit="1" customWidth="1"/>
  </cols>
  <sheetData>
    <row r="1" spans="1:4" x14ac:dyDescent="0.3">
      <c r="B1" t="s">
        <v>0</v>
      </c>
      <c r="D1" s="1">
        <v>45016</v>
      </c>
    </row>
    <row r="3" spans="1:4" x14ac:dyDescent="0.3">
      <c r="A3" t="s">
        <v>71</v>
      </c>
      <c r="B3" t="s">
        <v>72</v>
      </c>
      <c r="D3" s="3">
        <v>6848292.2300000004</v>
      </c>
    </row>
    <row r="4" spans="1:4" x14ac:dyDescent="0.3">
      <c r="A4" t="s">
        <v>73</v>
      </c>
      <c r="B4" t="s">
        <v>74</v>
      </c>
      <c r="D4" s="3">
        <v>80740.800000000003</v>
      </c>
    </row>
    <row r="5" spans="1:4" x14ac:dyDescent="0.3">
      <c r="A5" t="s">
        <v>75</v>
      </c>
      <c r="B5" t="s">
        <v>76</v>
      </c>
      <c r="D5" s="3">
        <v>6929033.0300000003</v>
      </c>
    </row>
    <row r="6" spans="1:4" x14ac:dyDescent="0.3">
      <c r="A6" t="s">
        <v>77</v>
      </c>
      <c r="B6" t="s">
        <v>78</v>
      </c>
    </row>
    <row r="7" spans="1:4" x14ac:dyDescent="0.3">
      <c r="B7" t="s">
        <v>79</v>
      </c>
      <c r="D7" s="3">
        <v>3266890.09</v>
      </c>
    </row>
    <row r="8" spans="1:4" x14ac:dyDescent="0.3">
      <c r="B8" t="s">
        <v>80</v>
      </c>
      <c r="D8" s="3">
        <v>2661200.41</v>
      </c>
    </row>
    <row r="9" spans="1:4" x14ac:dyDescent="0.3">
      <c r="B9" t="s">
        <v>81</v>
      </c>
      <c r="D9" s="3">
        <v>25660.82</v>
      </c>
    </row>
    <row r="10" spans="1:4" x14ac:dyDescent="0.3">
      <c r="B10" t="s">
        <v>82</v>
      </c>
    </row>
    <row r="11" spans="1:4" x14ac:dyDescent="0.3">
      <c r="B11" t="s">
        <v>83</v>
      </c>
      <c r="D11" s="3">
        <v>39794.31</v>
      </c>
    </row>
    <row r="12" spans="1:4" x14ac:dyDescent="0.3">
      <c r="B12" t="s">
        <v>84</v>
      </c>
      <c r="D12" s="3">
        <v>62015.4</v>
      </c>
    </row>
    <row r="13" spans="1:4" x14ac:dyDescent="0.3">
      <c r="B13" s="2" t="s">
        <v>85</v>
      </c>
      <c r="C13" s="2"/>
      <c r="D13" s="4">
        <f>D8+D9+D11+D12</f>
        <v>2788670.94</v>
      </c>
    </row>
    <row r="14" spans="1:4" x14ac:dyDescent="0.3">
      <c r="B14" t="s">
        <v>86</v>
      </c>
      <c r="D14" s="3">
        <v>78893.56</v>
      </c>
    </row>
    <row r="15" spans="1:4" x14ac:dyDescent="0.3">
      <c r="B15" t="s">
        <v>87</v>
      </c>
      <c r="D15" s="3">
        <v>245570.55</v>
      </c>
    </row>
    <row r="16" spans="1:4" x14ac:dyDescent="0.3">
      <c r="B16" t="s">
        <v>88</v>
      </c>
      <c r="D16" s="3">
        <v>37461.46</v>
      </c>
    </row>
    <row r="17" spans="1:4" x14ac:dyDescent="0.3">
      <c r="B17" t="s">
        <v>89</v>
      </c>
      <c r="D17" s="3">
        <v>6417486.5999999996</v>
      </c>
    </row>
    <row r="18" spans="1:4" x14ac:dyDescent="0.3">
      <c r="A18" t="s">
        <v>90</v>
      </c>
      <c r="B18" t="s">
        <v>91</v>
      </c>
      <c r="D18" s="3">
        <v>511546.43</v>
      </c>
    </row>
    <row r="19" spans="1:4" x14ac:dyDescent="0.3">
      <c r="A19" t="s">
        <v>92</v>
      </c>
      <c r="B19" t="s">
        <v>93</v>
      </c>
      <c r="D19" s="3">
        <v>-81379.42</v>
      </c>
    </row>
    <row r="20" spans="1:4" x14ac:dyDescent="0.3">
      <c r="A20" t="s">
        <v>94</v>
      </c>
      <c r="B20" t="s">
        <v>95</v>
      </c>
      <c r="D20" s="3">
        <v>-3192.34</v>
      </c>
    </row>
    <row r="21" spans="1:4" x14ac:dyDescent="0.3">
      <c r="A21" t="s">
        <v>96</v>
      </c>
      <c r="B21" t="s">
        <v>97</v>
      </c>
      <c r="D21" s="3">
        <v>3532.85</v>
      </c>
    </row>
    <row r="22" spans="1:4" x14ac:dyDescent="0.3">
      <c r="A22" t="s">
        <v>98</v>
      </c>
      <c r="B22" t="s">
        <v>99</v>
      </c>
      <c r="D22" s="3">
        <v>430507.52000000002</v>
      </c>
    </row>
    <row r="23" spans="1:4" x14ac:dyDescent="0.3">
      <c r="A23" t="s">
        <v>100</v>
      </c>
      <c r="B23" t="s">
        <v>101</v>
      </c>
    </row>
    <row r="24" spans="1:4" x14ac:dyDescent="0.3">
      <c r="B24" t="s">
        <v>102</v>
      </c>
    </row>
    <row r="25" spans="1:4" x14ac:dyDescent="0.3">
      <c r="B25" t="s">
        <v>103</v>
      </c>
      <c r="D25" s="3">
        <v>146209.29999999999</v>
      </c>
    </row>
    <row r="26" spans="1:4" x14ac:dyDescent="0.3">
      <c r="B26" t="s">
        <v>104</v>
      </c>
      <c r="D26" s="3">
        <v>-28914.32</v>
      </c>
    </row>
    <row r="27" spans="1:4" x14ac:dyDescent="0.3">
      <c r="B27" t="s">
        <v>105</v>
      </c>
      <c r="D27" s="3">
        <v>-14563.51</v>
      </c>
    </row>
    <row r="28" spans="1:4" x14ac:dyDescent="0.3">
      <c r="B28" t="s">
        <v>106</v>
      </c>
      <c r="D28" s="3">
        <v>102731.47</v>
      </c>
    </row>
    <row r="29" spans="1:4" x14ac:dyDescent="0.3">
      <c r="A29" t="s">
        <v>107</v>
      </c>
      <c r="B29" t="s">
        <v>108</v>
      </c>
      <c r="D29" s="3">
        <v>327776.05</v>
      </c>
    </row>
    <row r="30" spans="1:4" x14ac:dyDescent="0.3">
      <c r="A30" t="s">
        <v>109</v>
      </c>
      <c r="B30" t="s">
        <v>110</v>
      </c>
    </row>
    <row r="31" spans="1:4" x14ac:dyDescent="0.3">
      <c r="B31" t="s">
        <v>111</v>
      </c>
    </row>
    <row r="32" spans="1:4" x14ac:dyDescent="0.3">
      <c r="B32" t="s">
        <v>112</v>
      </c>
      <c r="D32" s="3">
        <v>-2878.81</v>
      </c>
    </row>
    <row r="33" spans="1:4" x14ac:dyDescent="0.3">
      <c r="B33" t="s">
        <v>113</v>
      </c>
      <c r="D33">
        <v>730.82</v>
      </c>
    </row>
    <row r="34" spans="1:4" x14ac:dyDescent="0.3">
      <c r="B34" t="s">
        <v>114</v>
      </c>
      <c r="D34" s="3">
        <v>-2001.8</v>
      </c>
    </row>
    <row r="35" spans="1:4" x14ac:dyDescent="0.3">
      <c r="B35" t="s">
        <v>113</v>
      </c>
      <c r="D35" s="3">
        <v>-2483.16</v>
      </c>
    </row>
    <row r="36" spans="1:4" x14ac:dyDescent="0.3">
      <c r="B36" t="s">
        <v>115</v>
      </c>
      <c r="D36" s="3">
        <v>-26.68</v>
      </c>
    </row>
    <row r="37" spans="1:4" x14ac:dyDescent="0.3">
      <c r="B37" t="s">
        <v>113</v>
      </c>
      <c r="D37" s="3">
        <v>0</v>
      </c>
    </row>
    <row r="38" spans="1:4" x14ac:dyDescent="0.3">
      <c r="B38" t="s">
        <v>116</v>
      </c>
    </row>
    <row r="39" spans="1:4" x14ac:dyDescent="0.3">
      <c r="B39" t="s">
        <v>117</v>
      </c>
      <c r="D39" s="3">
        <v>56541.36</v>
      </c>
    </row>
    <row r="40" spans="1:4" x14ac:dyDescent="0.3">
      <c r="B40" t="s">
        <v>113</v>
      </c>
      <c r="D40" s="3">
        <v>-19902.04</v>
      </c>
    </row>
    <row r="41" spans="1:4" x14ac:dyDescent="0.3">
      <c r="B41" t="s">
        <v>118</v>
      </c>
      <c r="D41" s="3">
        <v>40.14</v>
      </c>
    </row>
    <row r="42" spans="1:4" x14ac:dyDescent="0.3">
      <c r="B42" t="s">
        <v>113</v>
      </c>
      <c r="D42" s="3">
        <v>-10.1</v>
      </c>
    </row>
    <row r="43" spans="1:4" x14ac:dyDescent="0.3">
      <c r="B43" t="s">
        <v>119</v>
      </c>
      <c r="D43" s="3">
        <v>-1296.8900000000001</v>
      </c>
    </row>
    <row r="44" spans="1:4" x14ac:dyDescent="0.3">
      <c r="B44" t="s">
        <v>120</v>
      </c>
      <c r="D44" s="3">
        <v>28712.84</v>
      </c>
    </row>
    <row r="45" spans="1:4" x14ac:dyDescent="0.3">
      <c r="A45" t="s">
        <v>121</v>
      </c>
      <c r="B45" t="s">
        <v>122</v>
      </c>
      <c r="D45" s="3">
        <v>356488.89</v>
      </c>
    </row>
    <row r="46" spans="1:4" x14ac:dyDescent="0.3">
      <c r="B46" t="s">
        <v>123</v>
      </c>
    </row>
    <row r="47" spans="1:4" x14ac:dyDescent="0.3">
      <c r="B47" t="s">
        <v>124</v>
      </c>
      <c r="D47" s="3">
        <v>354404.78</v>
      </c>
    </row>
    <row r="48" spans="1:4" x14ac:dyDescent="0.3">
      <c r="B48" s="5" t="s">
        <v>125</v>
      </c>
      <c r="C48" s="5"/>
      <c r="D48" s="6">
        <v>-26628.73</v>
      </c>
    </row>
    <row r="49" spans="2:4" x14ac:dyDescent="0.3">
      <c r="D49" s="3">
        <v>327776.05</v>
      </c>
    </row>
    <row r="50" spans="2:4" ht="28.8" x14ac:dyDescent="0.3">
      <c r="B50" s="7" t="s">
        <v>126</v>
      </c>
    </row>
    <row r="51" spans="2:4" x14ac:dyDescent="0.3">
      <c r="B51" t="s">
        <v>124</v>
      </c>
      <c r="D51" s="3">
        <v>30129.4</v>
      </c>
    </row>
    <row r="52" spans="2:4" x14ac:dyDescent="0.3">
      <c r="B52" s="5" t="s">
        <v>125</v>
      </c>
      <c r="C52" s="5"/>
      <c r="D52" s="6">
        <v>-1416.56</v>
      </c>
    </row>
    <row r="53" spans="2:4" x14ac:dyDescent="0.3">
      <c r="D53" s="3">
        <v>28712.84</v>
      </c>
    </row>
    <row r="54" spans="2:4" x14ac:dyDescent="0.3">
      <c r="B54" t="s">
        <v>127</v>
      </c>
    </row>
    <row r="55" spans="2:4" x14ac:dyDescent="0.3">
      <c r="B55" t="s">
        <v>124</v>
      </c>
      <c r="D55" s="3">
        <v>384534.18</v>
      </c>
    </row>
    <row r="56" spans="2:4" x14ac:dyDescent="0.3">
      <c r="B56" s="5" t="s">
        <v>125</v>
      </c>
      <c r="C56" s="5"/>
      <c r="D56" s="6">
        <v>-28045.29</v>
      </c>
    </row>
    <row r="57" spans="2:4" x14ac:dyDescent="0.3">
      <c r="D57" s="3">
        <v>356488.89</v>
      </c>
    </row>
    <row r="58" spans="2:4" x14ac:dyDescent="0.3">
      <c r="B58" t="s">
        <v>128</v>
      </c>
    </row>
    <row r="59" spans="2:4" x14ac:dyDescent="0.3">
      <c r="B59" t="s">
        <v>129</v>
      </c>
      <c r="D59">
        <v>28.17</v>
      </c>
    </row>
    <row r="60" spans="2:4" x14ac:dyDescent="0.3">
      <c r="B60" t="s">
        <v>130</v>
      </c>
      <c r="D60">
        <v>28.17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5062E-7893-4AAA-ABA4-8F42ACA41FE7}">
  <dimension ref="A1:A28"/>
  <sheetViews>
    <sheetView tabSelected="1" topLeftCell="A3" workbookViewId="0">
      <selection activeCell="Q17" sqref="A1:XFD1048576"/>
    </sheetView>
  </sheetViews>
  <sheetFormatPr defaultRowHeight="14.4" x14ac:dyDescent="0.3"/>
  <sheetData>
    <row r="1" spans="1:1" ht="21.6" x14ac:dyDescent="0.3">
      <c r="A1" s="8"/>
    </row>
    <row r="2" spans="1:1" ht="21.6" x14ac:dyDescent="0.3">
      <c r="A2" s="8"/>
    </row>
    <row r="3" spans="1:1" ht="21.6" x14ac:dyDescent="0.3">
      <c r="A3" s="8"/>
    </row>
    <row r="4" spans="1:1" ht="21.6" x14ac:dyDescent="0.3">
      <c r="A4" s="8" t="s">
        <v>131</v>
      </c>
    </row>
    <row r="5" spans="1:1" ht="21.6" x14ac:dyDescent="0.3">
      <c r="A5" s="9" t="s">
        <v>132</v>
      </c>
    </row>
    <row r="6" spans="1:1" ht="21.6" x14ac:dyDescent="0.3">
      <c r="A6" s="9"/>
    </row>
    <row r="7" spans="1:1" ht="21.6" x14ac:dyDescent="0.3">
      <c r="A7" s="8" t="s">
        <v>133</v>
      </c>
    </row>
    <row r="8" spans="1:1" ht="21.6" x14ac:dyDescent="0.3">
      <c r="A8" s="8"/>
    </row>
    <row r="9" spans="1:1" ht="21.6" x14ac:dyDescent="0.3">
      <c r="A9" s="8" t="s">
        <v>293</v>
      </c>
    </row>
    <row r="10" spans="1:1" ht="21.6" x14ac:dyDescent="0.3">
      <c r="A10" s="8" t="s">
        <v>292</v>
      </c>
    </row>
    <row r="11" spans="1:1" ht="21.6" x14ac:dyDescent="0.3">
      <c r="A11" s="8" t="s">
        <v>134</v>
      </c>
    </row>
    <row r="12" spans="1:1" ht="21.6" x14ac:dyDescent="0.3">
      <c r="A12" s="8" t="s">
        <v>135</v>
      </c>
    </row>
    <row r="13" spans="1:1" ht="21.6" x14ac:dyDescent="0.3">
      <c r="A13" s="8" t="s">
        <v>136</v>
      </c>
    </row>
    <row r="14" spans="1:1" ht="21.6" x14ac:dyDescent="0.3">
      <c r="A14" s="9" t="s">
        <v>137</v>
      </c>
    </row>
    <row r="15" spans="1:1" ht="21.6" x14ac:dyDescent="0.3">
      <c r="A15" s="9"/>
    </row>
    <row r="16" spans="1:1" ht="21.6" x14ac:dyDescent="0.3">
      <c r="A16" s="8" t="s">
        <v>138</v>
      </c>
    </row>
    <row r="17" spans="1:1" ht="21.6" x14ac:dyDescent="0.3">
      <c r="A17" s="9" t="s">
        <v>139</v>
      </c>
    </row>
    <row r="18" spans="1:1" ht="21.6" x14ac:dyDescent="0.3">
      <c r="A18" s="9" t="s">
        <v>140</v>
      </c>
    </row>
    <row r="19" spans="1:1" ht="21.6" x14ac:dyDescent="0.3">
      <c r="A19" s="9" t="s">
        <v>141</v>
      </c>
    </row>
    <row r="20" spans="1:1" ht="21.6" x14ac:dyDescent="0.3">
      <c r="A20" s="9" t="s">
        <v>142</v>
      </c>
    </row>
    <row r="21" spans="1:1" ht="21.6" x14ac:dyDescent="0.3">
      <c r="A21" s="9" t="s">
        <v>143</v>
      </c>
    </row>
    <row r="22" spans="1:1" ht="21.6" x14ac:dyDescent="0.3">
      <c r="A22" s="9" t="s">
        <v>144</v>
      </c>
    </row>
    <row r="23" spans="1:1" ht="21.6" x14ac:dyDescent="0.3">
      <c r="A23" s="9" t="s">
        <v>145</v>
      </c>
    </row>
    <row r="24" spans="1:1" ht="21.6" x14ac:dyDescent="0.3">
      <c r="A24" s="9" t="s">
        <v>294</v>
      </c>
    </row>
    <row r="25" spans="1:1" ht="21.6" x14ac:dyDescent="0.3">
      <c r="A25" s="9" t="s">
        <v>146</v>
      </c>
    </row>
    <row r="26" spans="1:1" ht="21.6" x14ac:dyDescent="0.3">
      <c r="A26" s="9" t="s">
        <v>147</v>
      </c>
    </row>
    <row r="27" spans="1:1" ht="21.6" x14ac:dyDescent="0.3">
      <c r="A27" s="9" t="s">
        <v>148</v>
      </c>
    </row>
    <row r="28" spans="1:1" ht="21.6" x14ac:dyDescent="0.3">
      <c r="A28" s="9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B69D2-45C5-4464-B193-DFDB28E2BC3C}">
  <dimension ref="A1:Z104"/>
  <sheetViews>
    <sheetView zoomScale="110" workbookViewId="0">
      <selection activeCell="M3" sqref="M3"/>
    </sheetView>
  </sheetViews>
  <sheetFormatPr defaultColWidth="14" defaultRowHeight="14.4" x14ac:dyDescent="0.3"/>
  <cols>
    <col min="1" max="1" width="2.21875" customWidth="1"/>
    <col min="2" max="2" width="12.109375" customWidth="1"/>
    <col min="3" max="3" width="27.109375" customWidth="1"/>
    <col min="4" max="4" width="10.44140625" customWidth="1"/>
    <col min="5" max="8" width="12.109375" customWidth="1"/>
    <col min="9" max="9" width="15.88671875" customWidth="1"/>
    <col min="10" max="10" width="15.21875" customWidth="1"/>
    <col min="11" max="11" width="15" customWidth="1"/>
    <col min="12" max="26" width="12.109375" customWidth="1"/>
  </cols>
  <sheetData>
    <row r="1" spans="1:26" ht="15.75" customHeight="1" x14ac:dyDescent="0.3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6.5" customHeight="1" thickBot="1" x14ac:dyDescent="0.35">
      <c r="A2" s="95"/>
      <c r="B2" s="95" t="s">
        <v>203</v>
      </c>
      <c r="C2" s="95"/>
      <c r="D2" s="95"/>
      <c r="E2" s="95"/>
      <c r="F2" s="95"/>
      <c r="G2" s="95"/>
      <c r="H2" s="95"/>
      <c r="I2" s="95"/>
      <c r="J2" s="95"/>
      <c r="K2" s="95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5.75" customHeight="1" x14ac:dyDescent="0.3">
      <c r="A3" s="10"/>
      <c r="B3" s="10"/>
      <c r="C3" s="10"/>
      <c r="D3" s="10"/>
      <c r="E3" s="17">
        <v>2023</v>
      </c>
      <c r="F3" s="12"/>
      <c r="G3" s="12">
        <v>2024</v>
      </c>
      <c r="H3" s="12">
        <v>2025</v>
      </c>
      <c r="I3" s="12">
        <v>2026</v>
      </c>
      <c r="J3" s="12">
        <v>2027</v>
      </c>
      <c r="K3" s="12">
        <v>2028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.75" customHeight="1" x14ac:dyDescent="0.3">
      <c r="A4" s="10"/>
      <c r="B4" s="10"/>
      <c r="C4" s="10"/>
      <c r="D4" s="10"/>
      <c r="E4" s="17"/>
      <c r="F4" s="12"/>
      <c r="G4" s="12"/>
      <c r="H4" s="12"/>
      <c r="I4" s="12"/>
      <c r="J4" s="12"/>
      <c r="K4" s="12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.75" customHeight="1" x14ac:dyDescent="0.3">
      <c r="A5" s="10" t="s">
        <v>179</v>
      </c>
      <c r="B5" s="10"/>
      <c r="C5" s="10"/>
      <c r="D5" s="10"/>
      <c r="E5" s="18">
        <f>'Income Statement'!D3+'Income Statement'!D4</f>
        <v>6929033.0300000003</v>
      </c>
      <c r="F5" s="19"/>
      <c r="G5" s="20">
        <f>E5*(1+G35)</f>
        <v>7968387.9844999993</v>
      </c>
      <c r="H5" s="20">
        <f>G5*(1+H35)</f>
        <v>9163646.1821749993</v>
      </c>
      <c r="I5" s="20">
        <f t="shared" ref="I5:K5" si="0">H5*(1+I35)</f>
        <v>10538193.109501248</v>
      </c>
      <c r="J5" s="20">
        <f t="shared" si="0"/>
        <v>11065102.764976311</v>
      </c>
      <c r="K5" s="20">
        <f t="shared" si="0"/>
        <v>11618357.903225128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5.75" customHeight="1" x14ac:dyDescent="0.3">
      <c r="A6" s="10" t="s">
        <v>180</v>
      </c>
      <c r="B6" s="10"/>
      <c r="C6" s="10"/>
      <c r="D6" s="10"/>
      <c r="E6" s="21">
        <f>'Income Statement'!D7</f>
        <v>3266890.09</v>
      </c>
      <c r="F6" s="22"/>
      <c r="G6" s="23">
        <f>G5*G42</f>
        <v>4382613.3914750004</v>
      </c>
      <c r="H6" s="23">
        <f t="shared" ref="H6:K6" si="1">H5*H42</f>
        <v>5040005.4001962496</v>
      </c>
      <c r="I6" s="23">
        <f t="shared" si="1"/>
        <v>5796006.2102256874</v>
      </c>
      <c r="J6" s="23">
        <f t="shared" si="1"/>
        <v>6085806.5207369719</v>
      </c>
      <c r="K6" s="23">
        <f t="shared" si="1"/>
        <v>6390096.8467738209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5.75" customHeight="1" x14ac:dyDescent="0.3">
      <c r="A7" s="11" t="s">
        <v>181</v>
      </c>
      <c r="B7" s="10"/>
      <c r="C7" s="10"/>
      <c r="D7" s="10"/>
      <c r="E7" s="24">
        <f>E5-E6</f>
        <v>3662142.9400000004</v>
      </c>
      <c r="F7" s="25"/>
      <c r="G7" s="20">
        <f>G5-G6</f>
        <v>3585774.5930249989</v>
      </c>
      <c r="H7" s="20">
        <f t="shared" ref="H7:K7" si="2">H5-H6</f>
        <v>4123640.7819787497</v>
      </c>
      <c r="I7" s="20">
        <f t="shared" si="2"/>
        <v>4742186.8992755609</v>
      </c>
      <c r="J7" s="20">
        <f t="shared" si="2"/>
        <v>4979296.2442393396</v>
      </c>
      <c r="K7" s="20">
        <f t="shared" si="2"/>
        <v>5228261.0564513067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5.75" customHeight="1" x14ac:dyDescent="0.3">
      <c r="A8" s="13" t="s">
        <v>182</v>
      </c>
      <c r="B8" s="10"/>
      <c r="C8" s="10"/>
      <c r="D8" s="10"/>
      <c r="E8" s="26">
        <f>E7/E5</f>
        <v>0.528521501361641</v>
      </c>
      <c r="F8" s="27"/>
      <c r="G8" s="27">
        <f>G7/G5</f>
        <v>0.4499999999999999</v>
      </c>
      <c r="H8" s="27">
        <f t="shared" ref="H8:K8" si="3">H7/H5</f>
        <v>0.45</v>
      </c>
      <c r="I8" s="27">
        <f t="shared" si="3"/>
        <v>0.4499999999999999</v>
      </c>
      <c r="J8" s="27">
        <f t="shared" si="3"/>
        <v>0.44999999999999996</v>
      </c>
      <c r="K8" s="27">
        <f t="shared" si="3"/>
        <v>0.44999999999999996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5.75" customHeight="1" x14ac:dyDescent="0.3">
      <c r="A9" s="10"/>
      <c r="B9" s="10"/>
      <c r="C9" s="10"/>
      <c r="D9" s="10"/>
      <c r="E9" s="28"/>
      <c r="F9" s="10"/>
      <c r="G9" s="23"/>
      <c r="H9" s="23"/>
      <c r="I9" s="23"/>
      <c r="J9" s="23"/>
      <c r="K9" s="23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.75" customHeight="1" x14ac:dyDescent="0.3">
      <c r="A10" s="10" t="s">
        <v>204</v>
      </c>
      <c r="B10" s="10"/>
      <c r="C10" s="10"/>
      <c r="D10" s="10"/>
      <c r="E10" s="21">
        <f>-('Income Statement'!D13+'Income Statement'!D16)</f>
        <v>-2826132.4</v>
      </c>
      <c r="F10" s="22"/>
      <c r="G10" s="23">
        <f>-G43*G5</f>
        <v>-2390516.3953499999</v>
      </c>
      <c r="H10" s="23">
        <f t="shared" ref="H10:K10" si="4">-H43*H5</f>
        <v>-2703275.6237416244</v>
      </c>
      <c r="I10" s="23">
        <f t="shared" si="4"/>
        <v>-3056076.0017553619</v>
      </c>
      <c r="J10" s="23">
        <f t="shared" si="4"/>
        <v>-3153554.2880182485</v>
      </c>
      <c r="K10" s="23">
        <f t="shared" si="4"/>
        <v>-3253140.2129030363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.75" customHeight="1" x14ac:dyDescent="0.3">
      <c r="A11" s="11" t="s">
        <v>183</v>
      </c>
      <c r="B11" s="10"/>
      <c r="C11" s="10"/>
      <c r="D11" s="10"/>
      <c r="E11" s="24">
        <f>E7+E10</f>
        <v>836010.5400000005</v>
      </c>
      <c r="F11" s="25"/>
      <c r="G11" s="25">
        <f>G7+G10</f>
        <v>1195258.197674999</v>
      </c>
      <c r="H11" s="25">
        <f t="shared" ref="H11:K11" si="5">H7+H10</f>
        <v>1420365.1582371253</v>
      </c>
      <c r="I11" s="25">
        <f t="shared" si="5"/>
        <v>1686110.897520199</v>
      </c>
      <c r="J11" s="25">
        <f t="shared" si="5"/>
        <v>1825741.9562210911</v>
      </c>
      <c r="K11" s="25">
        <f t="shared" si="5"/>
        <v>1975120.8435482704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5.75" customHeight="1" x14ac:dyDescent="0.3">
      <c r="A12" s="13" t="s">
        <v>182</v>
      </c>
      <c r="B12" s="10"/>
      <c r="C12" s="10"/>
      <c r="D12" s="10"/>
      <c r="E12" s="26">
        <f>E11/E5</f>
        <v>0.12065327678196974</v>
      </c>
      <c r="F12" s="27"/>
      <c r="G12" s="27">
        <f>G11/G5</f>
        <v>0.14999999999999988</v>
      </c>
      <c r="H12" s="27">
        <f t="shared" ref="H12:K12" si="6">H11/H5</f>
        <v>0.15500000000000005</v>
      </c>
      <c r="I12" s="27">
        <f t="shared" si="6"/>
        <v>0.15999999999999992</v>
      </c>
      <c r="J12" s="27">
        <f t="shared" si="6"/>
        <v>0.16499999999999998</v>
      </c>
      <c r="K12" s="27">
        <f t="shared" si="6"/>
        <v>0.1699999999999999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.75" customHeight="1" x14ac:dyDescent="0.3">
      <c r="A13" s="10"/>
      <c r="B13" s="10"/>
      <c r="C13" s="10"/>
      <c r="D13" s="10"/>
      <c r="E13" s="28"/>
      <c r="F13" s="10"/>
      <c r="G13" s="23"/>
      <c r="H13" s="23"/>
      <c r="I13" s="23"/>
      <c r="J13" s="23"/>
      <c r="K13" s="23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5.75" customHeight="1" x14ac:dyDescent="0.3">
      <c r="A14" s="10" t="s">
        <v>184</v>
      </c>
      <c r="B14" s="10"/>
      <c r="C14" s="10"/>
      <c r="D14" s="10"/>
      <c r="E14" s="21">
        <f>-'Income Statement'!D15</f>
        <v>-245570.55</v>
      </c>
      <c r="F14" s="22"/>
      <c r="G14" s="23">
        <f>-SS!D42</f>
        <v>-318735.51938000001</v>
      </c>
      <c r="H14" s="23">
        <f>-SS!E42</f>
        <v>-366545.84728699998</v>
      </c>
      <c r="I14" s="23">
        <f>-SS!F42</f>
        <v>-421527.72438004997</v>
      </c>
      <c r="J14" s="23">
        <f>-SS!G42</f>
        <v>-442604.11059905245</v>
      </c>
      <c r="K14" s="23">
        <f>-SS!H42</f>
        <v>-464734.31612900516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.75" customHeight="1" x14ac:dyDescent="0.3">
      <c r="A15" s="10"/>
      <c r="B15" s="10"/>
      <c r="C15" s="10"/>
      <c r="D15" s="10"/>
      <c r="E15" s="28"/>
      <c r="F15" s="10"/>
      <c r="G15" s="23"/>
      <c r="H15" s="23"/>
      <c r="I15" s="23"/>
      <c r="J15" s="23"/>
      <c r="K15" s="23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5.75" customHeight="1" x14ac:dyDescent="0.3">
      <c r="A16" s="11" t="s">
        <v>185</v>
      </c>
      <c r="B16" s="10"/>
      <c r="C16" s="10"/>
      <c r="D16" s="10"/>
      <c r="E16" s="24">
        <f>E11+E14</f>
        <v>590439.99000000046</v>
      </c>
      <c r="F16" s="25"/>
      <c r="G16" s="25">
        <f>G11+G14</f>
        <v>876522.67829499906</v>
      </c>
      <c r="H16" s="25">
        <f t="shared" ref="H16:K16" si="7">H11+H14</f>
        <v>1053819.3109501253</v>
      </c>
      <c r="I16" s="25">
        <f t="shared" si="7"/>
        <v>1264583.1731401491</v>
      </c>
      <c r="J16" s="25">
        <f t="shared" si="7"/>
        <v>1383137.8456220387</v>
      </c>
      <c r="K16" s="25">
        <f t="shared" si="7"/>
        <v>1510386.5274192654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5.75" customHeight="1" x14ac:dyDescent="0.3">
      <c r="A17" s="13" t="s">
        <v>182</v>
      </c>
      <c r="B17" s="10"/>
      <c r="C17" s="10"/>
      <c r="D17" s="10"/>
      <c r="E17" s="26">
        <f>E16/E5</f>
        <v>8.5212465786153199E-2</v>
      </c>
      <c r="F17" s="27"/>
      <c r="G17" s="27">
        <f>G16/G5</f>
        <v>0.10999999999999989</v>
      </c>
      <c r="H17" s="27">
        <f t="shared" ref="H17:K17" si="8">H16/H5</f>
        <v>0.11500000000000005</v>
      </c>
      <c r="I17" s="27">
        <f t="shared" si="8"/>
        <v>0.11999999999999994</v>
      </c>
      <c r="J17" s="27">
        <f t="shared" si="8"/>
        <v>0.12499999999999997</v>
      </c>
      <c r="K17" s="27">
        <f t="shared" si="8"/>
        <v>0.12999999999999989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5.75" customHeight="1" x14ac:dyDescent="0.3">
      <c r="A18" s="10"/>
      <c r="B18" s="10"/>
      <c r="C18" s="10"/>
      <c r="D18" s="10"/>
      <c r="E18" s="28"/>
      <c r="F18" s="10"/>
      <c r="G18" s="23"/>
      <c r="H18" s="23"/>
      <c r="I18" s="23"/>
      <c r="J18" s="23"/>
      <c r="K18" s="23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5.75" customHeight="1" x14ac:dyDescent="0.3">
      <c r="A19" s="12" t="s">
        <v>186</v>
      </c>
      <c r="B19" s="10"/>
      <c r="C19" s="10"/>
      <c r="D19" s="10"/>
      <c r="E19" s="28"/>
      <c r="F19" s="10"/>
      <c r="G19" s="23"/>
      <c r="H19" s="23"/>
      <c r="I19" s="23"/>
      <c r="J19" s="23"/>
      <c r="K19" s="23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5.75" customHeight="1" x14ac:dyDescent="0.3">
      <c r="A20" s="14" t="s">
        <v>187</v>
      </c>
      <c r="B20" s="10"/>
      <c r="C20" s="10"/>
      <c r="D20" s="10"/>
      <c r="E20" s="28"/>
      <c r="F20" s="29"/>
      <c r="G20" s="23">
        <f>SS!D16</f>
        <v>29260.368900000019</v>
      </c>
      <c r="H20" s="23">
        <f>SS!E16</f>
        <v>10450.489528159833</v>
      </c>
      <c r="I20" s="23">
        <f>SS!F16</f>
        <v>0</v>
      </c>
      <c r="J20" s="23">
        <f>SS!G16</f>
        <v>0</v>
      </c>
      <c r="K20" s="23">
        <f>SS!H16</f>
        <v>0</v>
      </c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5.75" customHeight="1" x14ac:dyDescent="0.3">
      <c r="A21" s="14" t="s">
        <v>166</v>
      </c>
      <c r="B21" s="10"/>
      <c r="C21" s="10"/>
      <c r="D21" s="10"/>
      <c r="E21" s="28"/>
      <c r="F21" s="10"/>
      <c r="G21" s="23">
        <f>SS!D25</f>
        <v>146301.84450000009</v>
      </c>
      <c r="H21" s="23">
        <f>SS!E25</f>
        <v>144838.8260550001</v>
      </c>
      <c r="I21" s="23">
        <f>SS!F25</f>
        <v>128279.77491574919</v>
      </c>
      <c r="J21" s="23">
        <f>SS!G25</f>
        <v>92441.813820068608</v>
      </c>
      <c r="K21" s="23">
        <f>SS!H25</f>
        <v>47914.887243554622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5.75" customHeight="1" x14ac:dyDescent="0.3">
      <c r="A22" s="14" t="s">
        <v>167</v>
      </c>
      <c r="B22" s="10"/>
      <c r="C22" s="10"/>
      <c r="D22" s="10"/>
      <c r="E22" s="28"/>
      <c r="F22" s="10"/>
      <c r="G22" s="23">
        <f>SS!D32</f>
        <v>167202.10800000012</v>
      </c>
      <c r="H22" s="23">
        <f>SS!E32</f>
        <v>175562.21340000012</v>
      </c>
      <c r="I22" s="23">
        <f>SS!F32</f>
        <v>184340.32407000012</v>
      </c>
      <c r="J22" s="23">
        <f>SS!G32</f>
        <v>193557.34027350013</v>
      </c>
      <c r="K22" s="23">
        <f>SS!H32</f>
        <v>203235.20728717512</v>
      </c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5.75" customHeight="1" x14ac:dyDescent="0.3">
      <c r="A23" s="15" t="s">
        <v>188</v>
      </c>
      <c r="B23" s="10"/>
      <c r="C23" s="10"/>
      <c r="D23" s="10"/>
      <c r="E23" s="28"/>
      <c r="F23" s="10"/>
      <c r="G23" s="23">
        <f>SS!D29</f>
        <v>83601.054000000062</v>
      </c>
      <c r="H23" s="23">
        <f>SS!E29</f>
        <v>87781.106700000062</v>
      </c>
      <c r="I23" s="23">
        <f>SS!F29</f>
        <v>92170.162035000059</v>
      </c>
      <c r="J23" s="23">
        <f>SS!G29</f>
        <v>96778.670136750065</v>
      </c>
      <c r="K23" s="23">
        <f>SS!H29</f>
        <v>101617.60364358756</v>
      </c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5.75" customHeight="1" thickBot="1" x14ac:dyDescent="0.35">
      <c r="A24" s="14" t="s">
        <v>189</v>
      </c>
      <c r="B24" s="10"/>
      <c r="C24" s="10"/>
      <c r="D24" s="30">
        <v>15</v>
      </c>
      <c r="E24" s="31"/>
      <c r="F24" s="32"/>
      <c r="G24" s="94">
        <f>CFS!D8</f>
        <v>7524.0948600000038</v>
      </c>
      <c r="H24" s="94">
        <f>CFS!E8</f>
        <v>7524.0948600000038</v>
      </c>
      <c r="I24" s="94">
        <f>CFS!F8</f>
        <v>7524.0948600000038</v>
      </c>
      <c r="J24" s="94">
        <f>CFS!G8</f>
        <v>7524.0948600000038</v>
      </c>
      <c r="K24" s="94">
        <f>CFS!H8</f>
        <v>7524.0948600000038</v>
      </c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5.75" customHeight="1" x14ac:dyDescent="0.3">
      <c r="A25" s="12" t="s">
        <v>190</v>
      </c>
      <c r="B25" s="10"/>
      <c r="C25" s="10"/>
      <c r="D25" s="10"/>
      <c r="E25" s="28"/>
      <c r="F25" s="10"/>
      <c r="G25" s="20">
        <f>SUM(G20:G24)</f>
        <v>433889.47026000032</v>
      </c>
      <c r="H25" s="20">
        <f t="shared" ref="H25:K25" si="9">SUM(H20:H24)</f>
        <v>426156.73054316011</v>
      </c>
      <c r="I25" s="20">
        <f t="shared" si="9"/>
        <v>412314.35588074935</v>
      </c>
      <c r="J25" s="20">
        <f t="shared" si="9"/>
        <v>390301.91909031878</v>
      </c>
      <c r="K25" s="20">
        <f t="shared" si="9"/>
        <v>360291.79303431732</v>
      </c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5.75" customHeight="1" x14ac:dyDescent="0.3">
      <c r="A26" s="10"/>
      <c r="B26" s="10"/>
      <c r="C26" s="10"/>
      <c r="D26" s="10"/>
      <c r="E26" s="28"/>
      <c r="F26" s="10"/>
      <c r="G26" s="23"/>
      <c r="H26" s="23"/>
      <c r="I26" s="23"/>
      <c r="J26" s="23"/>
      <c r="K26" s="23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5.75" customHeight="1" x14ac:dyDescent="0.3">
      <c r="A27" s="14" t="s">
        <v>191</v>
      </c>
      <c r="B27" s="10"/>
      <c r="C27" s="10"/>
      <c r="D27" s="32">
        <v>0.02</v>
      </c>
      <c r="E27" s="33"/>
      <c r="F27" s="34"/>
      <c r="G27" s="23">
        <f>$D$27*AVERAGE(BS!C5,BS!E5)</f>
        <v>318.99979999999999</v>
      </c>
      <c r="H27" s="23"/>
      <c r="I27" s="23"/>
      <c r="J27" s="23"/>
      <c r="K27" s="23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5.75" customHeight="1" x14ac:dyDescent="0.3">
      <c r="A28" s="14" t="s">
        <v>192</v>
      </c>
      <c r="B28" s="10"/>
      <c r="C28" s="10"/>
      <c r="D28" s="35">
        <v>15</v>
      </c>
      <c r="E28" s="28"/>
      <c r="F28" s="10"/>
      <c r="G28" s="23">
        <f>CFS!D7</f>
        <v>22442.950733333375</v>
      </c>
      <c r="H28" s="23">
        <f>CFS!E7</f>
        <v>22442.950733333375</v>
      </c>
      <c r="I28" s="23">
        <f>CFS!F7</f>
        <v>22442.950733333375</v>
      </c>
      <c r="J28" s="23">
        <f>CFS!G7</f>
        <v>22442.950733333375</v>
      </c>
      <c r="K28" s="23">
        <f>CFS!H7</f>
        <v>22442.950733333375</v>
      </c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5.75" customHeight="1" x14ac:dyDescent="0.3">
      <c r="A29" s="10"/>
      <c r="B29" s="10"/>
      <c r="C29" s="10"/>
      <c r="D29" s="10"/>
      <c r="E29" s="28"/>
      <c r="F29" s="10"/>
      <c r="G29" s="23"/>
      <c r="H29" s="23"/>
      <c r="I29" s="23"/>
      <c r="J29" s="23"/>
      <c r="K29" s="23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5.75" customHeight="1" x14ac:dyDescent="0.3">
      <c r="A30" s="12" t="s">
        <v>193</v>
      </c>
      <c r="B30" s="10"/>
      <c r="C30" s="10"/>
      <c r="D30" s="10"/>
      <c r="E30" s="28"/>
      <c r="F30" s="10"/>
      <c r="G30" s="20">
        <f>G16-G25+G27-G28</f>
        <v>420509.25710166537</v>
      </c>
      <c r="H30" s="20">
        <f t="shared" ref="H30:K30" si="10">H16-H25+H27-H28</f>
        <v>605219.62967363186</v>
      </c>
      <c r="I30" s="20">
        <f t="shared" si="10"/>
        <v>829825.86652606633</v>
      </c>
      <c r="J30" s="20">
        <f t="shared" si="10"/>
        <v>970392.97579838661</v>
      </c>
      <c r="K30" s="20">
        <f t="shared" si="10"/>
        <v>1127651.7836516146</v>
      </c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5.75" customHeight="1" x14ac:dyDescent="0.3">
      <c r="A31" s="10" t="s">
        <v>194</v>
      </c>
      <c r="B31" s="10"/>
      <c r="C31" s="10"/>
      <c r="D31" s="10"/>
      <c r="E31" s="28"/>
      <c r="F31" s="10"/>
      <c r="G31" s="23">
        <f>G30*G45</f>
        <v>147178.23998558286</v>
      </c>
      <c r="H31" s="23">
        <f t="shared" ref="H31:K31" si="11">H30*H45</f>
        <v>211826.87038577115</v>
      </c>
      <c r="I31" s="23">
        <f t="shared" si="11"/>
        <v>290439.05328412319</v>
      </c>
      <c r="J31" s="23">
        <f t="shared" si="11"/>
        <v>339637.54152943532</v>
      </c>
      <c r="K31" s="23">
        <f t="shared" si="11"/>
        <v>394678.12427806505</v>
      </c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5.75" customHeight="1" x14ac:dyDescent="0.3">
      <c r="A32" s="11" t="s">
        <v>195</v>
      </c>
      <c r="B32" s="10"/>
      <c r="C32" s="10"/>
      <c r="D32" s="10"/>
      <c r="E32" s="28"/>
      <c r="F32" s="10"/>
      <c r="G32" s="20">
        <f>G30-G31</f>
        <v>273331.01711608248</v>
      </c>
      <c r="H32" s="20">
        <f t="shared" ref="H32:K32" si="12">H30-H31</f>
        <v>393392.75928786071</v>
      </c>
      <c r="I32" s="20">
        <f t="shared" si="12"/>
        <v>539386.81324194313</v>
      </c>
      <c r="J32" s="20">
        <f t="shared" si="12"/>
        <v>630755.4342689513</v>
      </c>
      <c r="K32" s="20">
        <f t="shared" si="12"/>
        <v>732973.65937354951</v>
      </c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5.75" customHeight="1" x14ac:dyDescent="0.3">
      <c r="A33" s="10"/>
      <c r="B33" s="10"/>
      <c r="C33" s="10"/>
      <c r="D33" s="10"/>
      <c r="E33" s="28"/>
      <c r="F33" s="10"/>
      <c r="G33" s="23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5.75" customHeight="1" x14ac:dyDescent="0.3">
      <c r="A34" s="11" t="s">
        <v>196</v>
      </c>
      <c r="B34" s="10"/>
      <c r="C34" s="10"/>
      <c r="D34" s="10"/>
      <c r="E34" s="28"/>
      <c r="F34" s="10"/>
      <c r="G34" s="10">
        <v>1</v>
      </c>
      <c r="H34" s="10">
        <v>2</v>
      </c>
      <c r="I34" s="10">
        <v>3</v>
      </c>
      <c r="J34" s="10">
        <v>4</v>
      </c>
      <c r="K34" s="10">
        <v>5</v>
      </c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5.75" customHeight="1" x14ac:dyDescent="0.3">
      <c r="A35" s="16" t="s">
        <v>197</v>
      </c>
      <c r="B35" s="10"/>
      <c r="C35" s="10" t="s">
        <v>278</v>
      </c>
      <c r="D35" s="28">
        <v>1</v>
      </c>
      <c r="E35" s="36" t="s">
        <v>205</v>
      </c>
      <c r="F35" s="37"/>
      <c r="G35" s="38">
        <f>CHOOSE($D$35,G36,G37,G38)</f>
        <v>0.15</v>
      </c>
      <c r="H35" s="38">
        <f t="shared" ref="H35:K35" si="13">CHOOSE($D$35,H36,H37,H38)</f>
        <v>0.15</v>
      </c>
      <c r="I35" s="38">
        <f t="shared" si="13"/>
        <v>0.15</v>
      </c>
      <c r="J35" s="38">
        <f t="shared" si="13"/>
        <v>0.05</v>
      </c>
      <c r="K35" s="38">
        <f t="shared" si="13"/>
        <v>0.05</v>
      </c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5.75" customHeight="1" x14ac:dyDescent="0.3">
      <c r="B36" s="10"/>
      <c r="C36" s="10"/>
      <c r="D36" s="28"/>
      <c r="E36" s="40" t="s">
        <v>205</v>
      </c>
      <c r="F36" s="41">
        <v>1</v>
      </c>
      <c r="G36" s="38">
        <v>0.15</v>
      </c>
      <c r="H36" s="38">
        <v>0.15</v>
      </c>
      <c r="I36" s="38">
        <v>0.15</v>
      </c>
      <c r="J36" s="38">
        <v>0.05</v>
      </c>
      <c r="K36" s="39">
        <v>0.05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5.75" customHeight="1" x14ac:dyDescent="0.3">
      <c r="A37" s="16"/>
      <c r="B37" s="10"/>
      <c r="C37" s="10"/>
      <c r="D37" s="28"/>
      <c r="E37" s="40"/>
      <c r="F37" s="41">
        <v>2</v>
      </c>
      <c r="G37" s="48">
        <v>0.1</v>
      </c>
      <c r="H37" s="48">
        <v>0.1</v>
      </c>
      <c r="I37" s="48">
        <v>0.1</v>
      </c>
      <c r="J37" s="48">
        <v>0.05</v>
      </c>
      <c r="K37" s="49">
        <v>0.05</v>
      </c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5.75" customHeight="1" x14ac:dyDescent="0.3">
      <c r="A38" s="16"/>
      <c r="B38" s="10"/>
      <c r="C38" s="10"/>
      <c r="D38" s="28"/>
      <c r="E38" s="40"/>
      <c r="F38" s="41">
        <v>3</v>
      </c>
      <c r="G38" s="48">
        <v>0.05</v>
      </c>
      <c r="H38" s="48">
        <v>0.05</v>
      </c>
      <c r="I38" s="48">
        <v>0.05</v>
      </c>
      <c r="J38" s="48">
        <v>0.05</v>
      </c>
      <c r="K38" s="48">
        <v>0.05</v>
      </c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5.75" customHeight="1" x14ac:dyDescent="0.3">
      <c r="A39" s="16"/>
      <c r="B39" s="10"/>
      <c r="C39" s="10"/>
      <c r="D39" s="28"/>
      <c r="E39" s="40"/>
      <c r="F39" s="41"/>
      <c r="G39" s="42"/>
      <c r="H39" s="42"/>
      <c r="I39" s="42"/>
      <c r="J39" s="42"/>
      <c r="K39" s="43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5.75" customHeight="1" x14ac:dyDescent="0.3">
      <c r="A40" s="16" t="s">
        <v>198</v>
      </c>
      <c r="B40" s="10"/>
      <c r="C40" s="10"/>
      <c r="D40" s="28"/>
      <c r="E40" s="28"/>
      <c r="F40" s="10"/>
      <c r="G40" s="44"/>
      <c r="H40" s="44"/>
      <c r="I40" s="44"/>
      <c r="J40" s="44"/>
      <c r="K40" s="45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5.75" customHeight="1" x14ac:dyDescent="0.3">
      <c r="A41" s="16"/>
      <c r="B41" s="10"/>
      <c r="C41" s="10"/>
      <c r="D41" s="28"/>
      <c r="E41" s="28"/>
      <c r="F41" s="10"/>
      <c r="G41" s="44"/>
      <c r="H41" s="44"/>
      <c r="I41" s="44"/>
      <c r="J41" s="44"/>
      <c r="K41" s="45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5.75" customHeight="1" x14ac:dyDescent="0.3">
      <c r="A42" s="16" t="s">
        <v>199</v>
      </c>
      <c r="B42" s="10"/>
      <c r="C42" s="10"/>
      <c r="D42" s="28"/>
      <c r="E42" s="46"/>
      <c r="F42" s="47"/>
      <c r="G42" s="48">
        <v>0.55000000000000004</v>
      </c>
      <c r="H42" s="48">
        <v>0.55000000000000004</v>
      </c>
      <c r="I42" s="48">
        <v>0.55000000000000004</v>
      </c>
      <c r="J42" s="48">
        <v>0.55000000000000004</v>
      </c>
      <c r="K42" s="49">
        <v>0.55000000000000004</v>
      </c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5.75" customHeight="1" x14ac:dyDescent="0.3">
      <c r="A43" s="16" t="s">
        <v>200</v>
      </c>
      <c r="B43" s="10"/>
      <c r="C43" s="10"/>
      <c r="D43" s="28"/>
      <c r="E43" s="46"/>
      <c r="F43" s="47"/>
      <c r="G43" s="48">
        <v>0.3</v>
      </c>
      <c r="H43" s="48">
        <v>0.29499999999999998</v>
      </c>
      <c r="I43" s="48">
        <v>0.28999999999999998</v>
      </c>
      <c r="J43" s="48">
        <v>0.28499999999999998</v>
      </c>
      <c r="K43" s="49">
        <v>0.28000000000000003</v>
      </c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5.75" customHeight="1" x14ac:dyDescent="0.3">
      <c r="A44" s="16" t="s">
        <v>201</v>
      </c>
      <c r="B44" s="10"/>
      <c r="C44" s="10"/>
      <c r="D44" s="28"/>
      <c r="E44" s="50"/>
      <c r="F44" s="51"/>
      <c r="G44" s="48">
        <v>0.8</v>
      </c>
      <c r="H44" s="48">
        <v>0.8</v>
      </c>
      <c r="I44" s="48">
        <v>0.8</v>
      </c>
      <c r="J44" s="48">
        <v>0.8</v>
      </c>
      <c r="K44" s="49">
        <v>0.8</v>
      </c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5.75" customHeight="1" x14ac:dyDescent="0.3">
      <c r="A45" s="10" t="s">
        <v>202</v>
      </c>
      <c r="B45" s="10"/>
      <c r="C45" s="10"/>
      <c r="D45" s="28"/>
      <c r="E45" s="52">
        <v>0.35</v>
      </c>
      <c r="F45" s="53"/>
      <c r="G45" s="54">
        <v>0.35</v>
      </c>
      <c r="H45" s="54">
        <v>0.35</v>
      </c>
      <c r="I45" s="54">
        <v>0.35</v>
      </c>
      <c r="J45" s="54">
        <v>0.35</v>
      </c>
      <c r="K45" s="55">
        <v>0.35</v>
      </c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5.75" customHeight="1" x14ac:dyDescent="0.3">
      <c r="A46" s="10"/>
      <c r="B46" s="10"/>
      <c r="C46" s="10"/>
      <c r="D46" s="10"/>
      <c r="E46" s="28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5.75" customHeight="1" x14ac:dyDescent="0.3">
      <c r="A47" s="10"/>
      <c r="B47" s="10"/>
      <c r="C47" s="10"/>
      <c r="D47" s="10"/>
      <c r="E47" s="28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5.75" customHeight="1" x14ac:dyDescent="0.3">
      <c r="A48" s="10"/>
      <c r="B48" s="10"/>
      <c r="C48" s="10"/>
      <c r="D48" s="10"/>
      <c r="E48" s="28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5.75" customHeight="1" x14ac:dyDescent="0.3">
      <c r="A49" s="10"/>
      <c r="B49" s="10"/>
      <c r="C49" s="10"/>
      <c r="D49" s="10"/>
      <c r="E49" s="28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5.75" customHeight="1" x14ac:dyDescent="0.3">
      <c r="A50" s="10"/>
      <c r="B50" s="10"/>
      <c r="C50" s="10"/>
      <c r="D50" s="10"/>
      <c r="E50" s="28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5.75" customHeight="1" x14ac:dyDescent="0.3">
      <c r="A51" s="10"/>
      <c r="B51" s="10"/>
      <c r="C51" s="10"/>
      <c r="D51" s="10"/>
      <c r="E51" s="28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5.75" customHeight="1" x14ac:dyDescent="0.3">
      <c r="A52" s="10"/>
      <c r="B52" s="10"/>
      <c r="C52" s="10"/>
      <c r="D52" s="10"/>
      <c r="E52" s="28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5.75" customHeight="1" x14ac:dyDescent="0.3">
      <c r="A53" s="10"/>
      <c r="B53" s="10"/>
      <c r="C53" s="10"/>
      <c r="D53" s="10"/>
      <c r="E53" s="28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5.75" customHeight="1" x14ac:dyDescent="0.3">
      <c r="A54" s="10"/>
      <c r="B54" s="10"/>
      <c r="C54" s="10"/>
      <c r="D54" s="10"/>
      <c r="E54" s="28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5.75" customHeight="1" x14ac:dyDescent="0.3">
      <c r="A55" s="10"/>
      <c r="B55" s="10"/>
      <c r="C55" s="10"/>
      <c r="D55" s="10"/>
      <c r="E55" s="28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5.75" customHeight="1" x14ac:dyDescent="0.3">
      <c r="A56" s="10"/>
      <c r="B56" s="10"/>
      <c r="C56" s="10"/>
      <c r="D56" s="10"/>
      <c r="E56" s="28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5.75" customHeight="1" x14ac:dyDescent="0.3">
      <c r="A57" s="10"/>
      <c r="B57" s="10"/>
      <c r="C57" s="10"/>
      <c r="D57" s="10"/>
      <c r="E57" s="28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5.75" customHeight="1" x14ac:dyDescent="0.3">
      <c r="A58" s="10"/>
      <c r="B58" s="10"/>
      <c r="C58" s="10"/>
      <c r="D58" s="10"/>
      <c r="E58" s="28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5.75" customHeight="1" x14ac:dyDescent="0.3">
      <c r="A59" s="10"/>
      <c r="B59" s="10"/>
      <c r="C59" s="10"/>
      <c r="D59" s="10"/>
      <c r="E59" s="28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5.75" customHeight="1" x14ac:dyDescent="0.3">
      <c r="A60" s="10"/>
      <c r="B60" s="10"/>
      <c r="C60" s="10"/>
      <c r="D60" s="10"/>
      <c r="E60" s="28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5.75" customHeight="1" x14ac:dyDescent="0.3">
      <c r="A61" s="10"/>
      <c r="B61" s="10"/>
      <c r="C61" s="10"/>
      <c r="D61" s="10"/>
      <c r="E61" s="28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5.75" customHeight="1" x14ac:dyDescent="0.3">
      <c r="A62" s="10"/>
      <c r="B62" s="10"/>
      <c r="C62" s="10"/>
      <c r="D62" s="10"/>
      <c r="E62" s="28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5.75" customHeight="1" x14ac:dyDescent="0.3">
      <c r="A63" s="10"/>
      <c r="B63" s="10"/>
      <c r="C63" s="10"/>
      <c r="D63" s="10"/>
      <c r="E63" s="28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5.75" customHeight="1" x14ac:dyDescent="0.3">
      <c r="A64" s="10"/>
      <c r="B64" s="10"/>
      <c r="C64" s="10"/>
      <c r="D64" s="10"/>
      <c r="E64" s="28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5.75" customHeight="1" x14ac:dyDescent="0.3">
      <c r="A65" s="10"/>
      <c r="B65" s="10"/>
      <c r="C65" s="10"/>
      <c r="D65" s="10"/>
      <c r="E65" s="28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5.75" customHeight="1" x14ac:dyDescent="0.3">
      <c r="A66" s="10"/>
      <c r="B66" s="10"/>
      <c r="C66" s="10"/>
      <c r="D66" s="10"/>
      <c r="E66" s="28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5.75" customHeight="1" x14ac:dyDescent="0.3">
      <c r="A67" s="10"/>
      <c r="B67" s="10"/>
      <c r="C67" s="10"/>
      <c r="D67" s="10"/>
      <c r="E67" s="28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5.75" customHeight="1" x14ac:dyDescent="0.3">
      <c r="A68" s="10"/>
      <c r="B68" s="10"/>
      <c r="C68" s="10"/>
      <c r="D68" s="10"/>
      <c r="E68" s="28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5.75" customHeight="1" x14ac:dyDescent="0.3">
      <c r="A69" s="10"/>
      <c r="B69" s="10"/>
      <c r="C69" s="10"/>
      <c r="D69" s="10"/>
      <c r="E69" s="28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5.75" customHeight="1" x14ac:dyDescent="0.3">
      <c r="A70" s="10"/>
      <c r="B70" s="10"/>
      <c r="C70" s="10"/>
      <c r="D70" s="10"/>
      <c r="E70" s="28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5.75" customHeight="1" x14ac:dyDescent="0.3">
      <c r="A71" s="10"/>
      <c r="B71" s="10"/>
      <c r="C71" s="10"/>
      <c r="D71" s="10"/>
      <c r="E71" s="28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5.75" customHeight="1" x14ac:dyDescent="0.3">
      <c r="A72" s="10"/>
      <c r="B72" s="10"/>
      <c r="C72" s="10"/>
      <c r="D72" s="10"/>
      <c r="E72" s="28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5.75" customHeight="1" x14ac:dyDescent="0.3">
      <c r="A73" s="10"/>
      <c r="B73" s="10"/>
      <c r="C73" s="10"/>
      <c r="D73" s="10"/>
      <c r="E73" s="28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5.75" customHeight="1" x14ac:dyDescent="0.3">
      <c r="A74" s="10"/>
      <c r="B74" s="10"/>
      <c r="C74" s="10"/>
      <c r="D74" s="10"/>
      <c r="E74" s="28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5.75" customHeight="1" x14ac:dyDescent="0.3">
      <c r="A75" s="10"/>
      <c r="B75" s="10"/>
      <c r="C75" s="10"/>
      <c r="D75" s="10"/>
      <c r="E75" s="28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5.75" customHeight="1" x14ac:dyDescent="0.3">
      <c r="A76" s="10"/>
      <c r="B76" s="10"/>
      <c r="C76" s="10"/>
      <c r="D76" s="10"/>
      <c r="E76" s="28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5.75" customHeight="1" x14ac:dyDescent="0.3">
      <c r="A77" s="10"/>
      <c r="B77" s="10"/>
      <c r="C77" s="10"/>
      <c r="D77" s="10"/>
      <c r="E77" s="28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5.75" customHeight="1" x14ac:dyDescent="0.3">
      <c r="A78" s="10"/>
      <c r="B78" s="10"/>
      <c r="C78" s="10"/>
      <c r="D78" s="10"/>
      <c r="E78" s="28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5.75" customHeight="1" x14ac:dyDescent="0.3">
      <c r="A79" s="10"/>
      <c r="B79" s="10"/>
      <c r="C79" s="10"/>
      <c r="D79" s="10"/>
      <c r="E79" s="28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5.75" customHeight="1" x14ac:dyDescent="0.3">
      <c r="A80" s="10"/>
      <c r="B80" s="10"/>
      <c r="C80" s="10"/>
      <c r="D80" s="10"/>
      <c r="E80" s="28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5.75" customHeight="1" x14ac:dyDescent="0.3">
      <c r="A81" s="10"/>
      <c r="B81" s="10"/>
      <c r="C81" s="10"/>
      <c r="D81" s="10"/>
      <c r="E81" s="28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5.75" customHeight="1" x14ac:dyDescent="0.3">
      <c r="A82" s="10"/>
      <c r="B82" s="10"/>
      <c r="C82" s="10"/>
      <c r="D82" s="10"/>
      <c r="E82" s="28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5.75" customHeight="1" x14ac:dyDescent="0.3">
      <c r="A83" s="10"/>
      <c r="B83" s="10"/>
      <c r="C83" s="10"/>
      <c r="D83" s="10"/>
      <c r="E83" s="28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5.75" customHeight="1" x14ac:dyDescent="0.3">
      <c r="A84" s="10"/>
      <c r="B84" s="10"/>
      <c r="C84" s="10"/>
      <c r="D84" s="10"/>
      <c r="E84" s="28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5.75" customHeight="1" x14ac:dyDescent="0.3">
      <c r="A85" s="10"/>
      <c r="B85" s="10"/>
      <c r="C85" s="10"/>
      <c r="D85" s="10"/>
      <c r="E85" s="28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5.75" customHeight="1" x14ac:dyDescent="0.3">
      <c r="A86" s="10"/>
      <c r="B86" s="10"/>
      <c r="C86" s="10"/>
      <c r="D86" s="10"/>
      <c r="E86" s="28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5.75" customHeight="1" x14ac:dyDescent="0.3">
      <c r="A87" s="10"/>
      <c r="B87" s="10"/>
      <c r="C87" s="10"/>
      <c r="D87" s="10"/>
      <c r="E87" s="28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5.75" customHeight="1" x14ac:dyDescent="0.3">
      <c r="A88" s="10"/>
      <c r="B88" s="10"/>
      <c r="C88" s="10"/>
      <c r="D88" s="10"/>
      <c r="E88" s="28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5.75" customHeight="1" x14ac:dyDescent="0.3">
      <c r="A89" s="10"/>
      <c r="B89" s="10"/>
      <c r="C89" s="10"/>
      <c r="D89" s="10"/>
      <c r="E89" s="28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5.75" customHeight="1" x14ac:dyDescent="0.3">
      <c r="A90" s="10"/>
      <c r="B90" s="10"/>
      <c r="C90" s="10"/>
      <c r="D90" s="10"/>
      <c r="E90" s="28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5.75" customHeight="1" x14ac:dyDescent="0.3">
      <c r="A91" s="10"/>
      <c r="B91" s="10"/>
      <c r="C91" s="10"/>
      <c r="D91" s="10"/>
      <c r="E91" s="28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5.75" customHeight="1" x14ac:dyDescent="0.3">
      <c r="A92" s="10"/>
      <c r="B92" s="10"/>
      <c r="C92" s="10"/>
      <c r="D92" s="10"/>
      <c r="E92" s="28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5.75" customHeight="1" x14ac:dyDescent="0.3">
      <c r="A93" s="10"/>
      <c r="B93" s="10"/>
      <c r="C93" s="10"/>
      <c r="D93" s="10"/>
      <c r="E93" s="28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5.75" customHeight="1" x14ac:dyDescent="0.3">
      <c r="A94" s="10"/>
      <c r="B94" s="10"/>
      <c r="C94" s="10"/>
      <c r="D94" s="10"/>
      <c r="E94" s="28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5.75" customHeight="1" x14ac:dyDescent="0.3">
      <c r="A95" s="10"/>
      <c r="B95" s="10"/>
      <c r="C95" s="10"/>
      <c r="D95" s="10"/>
      <c r="E95" s="28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5.75" customHeight="1" x14ac:dyDescent="0.3">
      <c r="A96" s="10"/>
      <c r="B96" s="10"/>
      <c r="C96" s="10"/>
      <c r="D96" s="10"/>
      <c r="E96" s="28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5.75" customHeight="1" x14ac:dyDescent="0.3">
      <c r="A97" s="10"/>
      <c r="B97" s="10"/>
      <c r="C97" s="10"/>
      <c r="D97" s="10"/>
      <c r="E97" s="28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5.75" customHeight="1" x14ac:dyDescent="0.3">
      <c r="A98" s="10"/>
      <c r="B98" s="10"/>
      <c r="C98" s="10"/>
      <c r="D98" s="10"/>
      <c r="E98" s="28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5.75" customHeight="1" x14ac:dyDescent="0.3">
      <c r="A99" s="10"/>
      <c r="B99" s="10"/>
      <c r="C99" s="10"/>
      <c r="D99" s="10"/>
      <c r="E99" s="28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5.75" customHeight="1" x14ac:dyDescent="0.3">
      <c r="A100" s="10"/>
      <c r="B100" s="10"/>
      <c r="C100" s="10"/>
      <c r="D100" s="10"/>
      <c r="E100" s="28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5.6" x14ac:dyDescent="0.3">
      <c r="A101" s="10"/>
      <c r="B101" s="10"/>
      <c r="C101" s="10"/>
      <c r="D101" s="10"/>
      <c r="E101" s="28"/>
      <c r="F101" s="10"/>
      <c r="G101" s="10"/>
      <c r="H101" s="10"/>
      <c r="I101" s="10"/>
      <c r="J101" s="10"/>
      <c r="K101" s="10"/>
    </row>
    <row r="102" spans="1:26" ht="15.6" x14ac:dyDescent="0.3">
      <c r="A102" s="10"/>
      <c r="B102" s="10"/>
      <c r="C102" s="10"/>
      <c r="D102" s="10"/>
      <c r="E102" s="28"/>
      <c r="F102" s="10"/>
      <c r="G102" s="10"/>
      <c r="H102" s="10"/>
      <c r="I102" s="10"/>
      <c r="J102" s="10"/>
      <c r="K102" s="10"/>
    </row>
    <row r="103" spans="1:26" ht="15.6" x14ac:dyDescent="0.3">
      <c r="A103" s="10"/>
      <c r="B103" s="10"/>
      <c r="C103" s="10"/>
      <c r="D103" s="10"/>
      <c r="E103" s="28"/>
      <c r="F103" s="10"/>
      <c r="G103" s="10"/>
      <c r="H103" s="10"/>
      <c r="I103" s="10"/>
      <c r="J103" s="10"/>
      <c r="K103" s="10"/>
    </row>
    <row r="104" spans="1:26" ht="15.6" x14ac:dyDescent="0.3">
      <c r="A104" s="10"/>
      <c r="B104" s="10"/>
      <c r="C104" s="10"/>
      <c r="D104" s="10"/>
      <c r="E104" s="28"/>
      <c r="F104" s="10"/>
      <c r="G104" s="10"/>
      <c r="H104" s="10"/>
      <c r="I104" s="10"/>
      <c r="J104" s="10"/>
      <c r="K104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5AFA2-3CE5-41F9-B9DD-122EAFA87B6C}">
  <dimension ref="A1:M100"/>
  <sheetViews>
    <sheetView zoomScale="75" workbookViewId="0">
      <selection activeCell="E34" sqref="E34:I34"/>
    </sheetView>
  </sheetViews>
  <sheetFormatPr defaultColWidth="14" defaultRowHeight="14.4" x14ac:dyDescent="0.3"/>
  <cols>
    <col min="1" max="1" width="32.6640625" customWidth="1"/>
    <col min="2" max="2" width="11.77734375" customWidth="1"/>
    <col min="3" max="4" width="18.44140625" customWidth="1"/>
    <col min="5" max="13" width="12.109375" customWidth="1"/>
  </cols>
  <sheetData>
    <row r="1" spans="1:13" ht="15.75" customHeight="1" x14ac:dyDescent="0.3">
      <c r="A1" s="10"/>
      <c r="B1" s="10"/>
      <c r="C1" s="10"/>
      <c r="D1" s="10"/>
      <c r="E1" s="10"/>
      <c r="F1" s="10"/>
      <c r="G1" s="10"/>
      <c r="H1" s="10"/>
      <c r="I1" s="10"/>
      <c r="L1" s="10"/>
      <c r="M1" s="10"/>
    </row>
    <row r="2" spans="1:13" ht="16.5" customHeight="1" thickBot="1" x14ac:dyDescent="0.35">
      <c r="A2" s="95" t="s">
        <v>150</v>
      </c>
      <c r="B2" s="95"/>
      <c r="C2" s="95"/>
      <c r="D2" s="95"/>
      <c r="E2" s="95"/>
      <c r="F2" s="95"/>
      <c r="G2" s="95"/>
      <c r="H2" s="95"/>
      <c r="I2" s="95"/>
      <c r="L2" s="10"/>
      <c r="M2" s="10"/>
    </row>
    <row r="3" spans="1:13" ht="15.75" customHeight="1" x14ac:dyDescent="0.3">
      <c r="A3" s="10"/>
      <c r="B3" s="10"/>
      <c r="C3" s="17">
        <v>2023</v>
      </c>
      <c r="D3" s="12"/>
      <c r="E3" s="12">
        <v>2024</v>
      </c>
      <c r="F3" s="12">
        <v>2025</v>
      </c>
      <c r="G3" s="12">
        <v>2026</v>
      </c>
      <c r="H3" s="12">
        <v>2027</v>
      </c>
      <c r="I3" s="12">
        <v>2028</v>
      </c>
      <c r="L3" s="10"/>
      <c r="M3" s="10"/>
    </row>
    <row r="4" spans="1:13" ht="15.75" customHeight="1" x14ac:dyDescent="0.3">
      <c r="A4" s="10"/>
      <c r="B4" s="10"/>
      <c r="C4" s="28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ht="15.75" customHeight="1" x14ac:dyDescent="0.3">
      <c r="A5" s="10" t="s">
        <v>151</v>
      </c>
      <c r="B5" s="10"/>
      <c r="C5" s="81">
        <f>'Balance Sheet'!C38</f>
        <v>26399.98</v>
      </c>
      <c r="D5" s="84"/>
      <c r="E5" s="23">
        <v>5500</v>
      </c>
      <c r="F5" s="23">
        <v>-15191.544365000038</v>
      </c>
      <c r="G5" s="23">
        <v>-33519.728995821322</v>
      </c>
      <c r="H5" s="23">
        <v>-46728.293737438275</v>
      </c>
      <c r="I5" s="23">
        <v>-53108.67802327589</v>
      </c>
      <c r="J5" s="23"/>
      <c r="K5" s="23"/>
      <c r="L5" s="10"/>
      <c r="M5" s="10"/>
    </row>
    <row r="6" spans="1:13" ht="15.75" customHeight="1" x14ac:dyDescent="0.3">
      <c r="A6" s="10" t="s">
        <v>152</v>
      </c>
      <c r="B6" s="10"/>
      <c r="C6" s="81">
        <f>'Balance Sheet'!C37</f>
        <v>187515.81</v>
      </c>
      <c r="D6" s="84"/>
      <c r="E6" s="23">
        <f>E37*IS!G5/BS!$C$43</f>
        <v>215643.18150000001</v>
      </c>
      <c r="F6" s="23">
        <f>F37*IS!H5/BS!$C$43</f>
        <v>247989.65872499999</v>
      </c>
      <c r="G6" s="23">
        <f>G37*IS!I5/BS!$C$43</f>
        <v>285188.10753375001</v>
      </c>
      <c r="H6" s="23">
        <f>H37*IS!J5/BS!$C$43</f>
        <v>299447.51291043748</v>
      </c>
      <c r="I6" s="23">
        <f>I37*IS!K5/BS!$C$43</f>
        <v>314419.88855595939</v>
      </c>
      <c r="J6" s="23"/>
      <c r="K6" s="23"/>
      <c r="L6" s="10"/>
      <c r="M6" s="10"/>
    </row>
    <row r="7" spans="1:13" ht="15.75" customHeight="1" x14ac:dyDescent="0.3">
      <c r="A7" s="10" t="s">
        <v>153</v>
      </c>
      <c r="B7" s="10"/>
      <c r="C7" s="81">
        <f>'Balance Sheet'!C34</f>
        <v>442380.68</v>
      </c>
      <c r="D7" s="84"/>
      <c r="E7" s="56">
        <f>E38*IS!G6/BS!$C$43</f>
        <v>593464.56075533805</v>
      </c>
      <c r="F7" s="56">
        <f>F38*IS!H6/BS!$C$43</f>
        <v>682484.24486863869</v>
      </c>
      <c r="G7" s="56">
        <f>G38*IS!I6/BS!$C$43</f>
        <v>784856.88159893453</v>
      </c>
      <c r="H7" s="56">
        <f>H38*IS!J6/BS!$C$43</f>
        <v>824099.72567888128</v>
      </c>
      <c r="I7" s="56">
        <f>I38*IS!K6/BS!$C$43</f>
        <v>865304.7119628255</v>
      </c>
      <c r="J7" s="56"/>
      <c r="K7" s="56"/>
      <c r="L7" s="10"/>
      <c r="M7" s="10"/>
    </row>
    <row r="8" spans="1:13" ht="15.75" customHeight="1" thickBot="1" x14ac:dyDescent="0.35">
      <c r="A8" s="10" t="s">
        <v>154</v>
      </c>
      <c r="B8" s="10"/>
      <c r="C8" s="81">
        <v>5694.59</v>
      </c>
      <c r="D8" s="84"/>
      <c r="E8" s="94">
        <f>E39*IS!G5</f>
        <v>6548.7784999999994</v>
      </c>
      <c r="F8" s="94">
        <f>F39*IS!H5</f>
        <v>7531.0952749999997</v>
      </c>
      <c r="G8" s="94">
        <f>G39*IS!I5</f>
        <v>8660.7595662499989</v>
      </c>
      <c r="H8" s="94">
        <f>H39*IS!J5</f>
        <v>9093.7975445624998</v>
      </c>
      <c r="I8" s="94">
        <f>I39*IS!K5</f>
        <v>9548.4874217906254</v>
      </c>
      <c r="J8" s="23"/>
      <c r="K8" s="23"/>
      <c r="L8" s="10"/>
      <c r="M8" s="10"/>
    </row>
    <row r="9" spans="1:13" ht="15.75" customHeight="1" x14ac:dyDescent="0.3">
      <c r="A9" s="11" t="s">
        <v>155</v>
      </c>
      <c r="B9" s="10"/>
      <c r="C9" s="82">
        <f>SUM(C5:C8)</f>
        <v>661991.05999999994</v>
      </c>
      <c r="D9" s="85"/>
      <c r="E9" s="20">
        <f>SUM(E5:E8)</f>
        <v>821156.52075533802</v>
      </c>
      <c r="F9" s="20">
        <f t="shared" ref="F9:I9" si="0">SUM(F5:F8)</f>
        <v>922813.45450363867</v>
      </c>
      <c r="G9" s="20">
        <f t="shared" si="0"/>
        <v>1045186.0197031132</v>
      </c>
      <c r="H9" s="20">
        <f t="shared" si="0"/>
        <v>1085912.7423964429</v>
      </c>
      <c r="I9" s="20">
        <f t="shared" si="0"/>
        <v>1136164.4099172996</v>
      </c>
      <c r="J9" s="20"/>
      <c r="K9" s="20"/>
      <c r="L9" s="10"/>
      <c r="M9" s="10"/>
    </row>
    <row r="10" spans="1:13" ht="15.75" customHeight="1" x14ac:dyDescent="0.3">
      <c r="A10" s="10"/>
      <c r="B10" s="10"/>
      <c r="C10" s="83"/>
      <c r="D10" s="86"/>
      <c r="E10" s="23"/>
      <c r="F10" s="23"/>
      <c r="G10" s="23"/>
      <c r="H10" s="23"/>
      <c r="I10" s="23"/>
      <c r="J10" s="23"/>
      <c r="K10" s="23"/>
      <c r="L10" s="10"/>
      <c r="M10" s="10"/>
    </row>
    <row r="11" spans="1:13" ht="15.75" customHeight="1" x14ac:dyDescent="0.3">
      <c r="A11" s="10" t="s">
        <v>156</v>
      </c>
      <c r="B11" s="10"/>
      <c r="C11" s="81">
        <f>'Balance Sheet'!C5+'Balance Sheet'!C6+'Balance Sheet'!C7</f>
        <v>2378045.5200000005</v>
      </c>
      <c r="D11" s="84"/>
      <c r="E11" s="23">
        <f>SS!D44</f>
        <v>2457729.3998450004</v>
      </c>
      <c r="F11" s="23">
        <f>SS!E44</f>
        <v>2549365.8616667502</v>
      </c>
      <c r="G11" s="23">
        <f>SS!F44</f>
        <v>2654747.7927617626</v>
      </c>
      <c r="H11" s="23">
        <f>SS!G44</f>
        <v>2765398.8204115257</v>
      </c>
      <c r="I11" s="23">
        <f>SS!H44</f>
        <v>2881582.3994437768</v>
      </c>
      <c r="J11" s="23"/>
      <c r="K11" s="23"/>
      <c r="L11" s="23"/>
      <c r="M11" s="10"/>
    </row>
    <row r="12" spans="1:13" ht="15.75" customHeight="1" x14ac:dyDescent="0.3">
      <c r="A12" s="10" t="s">
        <v>157</v>
      </c>
      <c r="B12" s="10"/>
      <c r="C12" s="81">
        <f>3431.16</f>
        <v>3431.16</v>
      </c>
      <c r="D12" s="84"/>
      <c r="E12" s="23">
        <f>SS!D5-CFS!D8</f>
        <v>105337.32804000007</v>
      </c>
      <c r="F12" s="23">
        <f>E12-CFS!E8</f>
        <v>97813.233180000068</v>
      </c>
      <c r="G12" s="23">
        <f>F12-CFS!F8</f>
        <v>90289.138320000071</v>
      </c>
      <c r="H12" s="23">
        <f>G12-CFS!G8</f>
        <v>82765.043460000074</v>
      </c>
      <c r="I12" s="23">
        <f>H12-CFS!H8</f>
        <v>75240.948600000076</v>
      </c>
      <c r="J12" s="23"/>
      <c r="K12" s="23"/>
      <c r="L12" s="10"/>
      <c r="M12" s="10"/>
    </row>
    <row r="13" spans="1:13" ht="15.75" customHeight="1" x14ac:dyDescent="0.3">
      <c r="A13" s="10" t="s">
        <v>158</v>
      </c>
      <c r="B13" s="10"/>
      <c r="C13" s="81">
        <f>'Balance Sheet'!C14</f>
        <v>120334.12</v>
      </c>
      <c r="D13" s="84"/>
      <c r="E13" s="23">
        <f>'S&amp;U'!$M$9</f>
        <v>4208053.2625000067</v>
      </c>
      <c r="F13" s="23">
        <v>4208053</v>
      </c>
      <c r="G13" s="23">
        <v>4208053</v>
      </c>
      <c r="H13" s="23">
        <v>4208053</v>
      </c>
      <c r="I13" s="23">
        <v>4208053</v>
      </c>
      <c r="J13" s="23"/>
      <c r="K13" s="23"/>
      <c r="L13" s="10"/>
      <c r="M13" s="10"/>
    </row>
    <row r="14" spans="1:13" ht="15.75" customHeight="1" thickBot="1" x14ac:dyDescent="0.35">
      <c r="A14" s="10" t="s">
        <v>159</v>
      </c>
      <c r="B14" s="10"/>
      <c r="C14" s="81">
        <f>'Balance Sheet'!C17+'Balance Sheet'!C18+'Balance Sheet'!C19</f>
        <v>399694.36</v>
      </c>
      <c r="D14" s="84"/>
      <c r="E14" s="94">
        <f>'S&amp;U'!M7-CFS!D7</f>
        <v>314201.31026666728</v>
      </c>
      <c r="F14" s="94">
        <f>E14-CFS!E8</f>
        <v>306677.21540666727</v>
      </c>
      <c r="G14" s="94">
        <f>F14-CFS!F8</f>
        <v>299153.12054666725</v>
      </c>
      <c r="H14" s="94">
        <f>G14-CFS!G8</f>
        <v>291629.02568666724</v>
      </c>
      <c r="I14" s="94">
        <f>H14-CFS!H8</f>
        <v>284104.93082666723</v>
      </c>
      <c r="J14" s="23"/>
      <c r="K14" s="23"/>
      <c r="L14" s="10"/>
      <c r="M14" s="10"/>
    </row>
    <row r="15" spans="1:13" ht="15.75" customHeight="1" x14ac:dyDescent="0.3">
      <c r="A15" s="11" t="s">
        <v>160</v>
      </c>
      <c r="B15" s="10"/>
      <c r="C15" s="82">
        <f>SUM(C11:C14)</f>
        <v>2901505.1600000006</v>
      </c>
      <c r="D15" s="85"/>
      <c r="E15" s="23">
        <f>SUM(E9:E14)</f>
        <v>7906477.8214070117</v>
      </c>
      <c r="F15" s="23">
        <f t="shared" ref="F15:I15" si="1">SUM(F9:F14)</f>
        <v>8084722.7647570558</v>
      </c>
      <c r="G15" s="23">
        <f t="shared" si="1"/>
        <v>8297429.0713315429</v>
      </c>
      <c r="H15" s="23">
        <f t="shared" si="1"/>
        <v>8433758.6319546364</v>
      </c>
      <c r="I15" s="23">
        <f t="shared" si="1"/>
        <v>8585145.6887877434</v>
      </c>
      <c r="J15" s="23"/>
      <c r="K15" s="23"/>
      <c r="L15" s="10"/>
      <c r="M15" s="58"/>
    </row>
    <row r="16" spans="1:13" ht="15.75" customHeight="1" x14ac:dyDescent="0.3">
      <c r="A16" s="10"/>
      <c r="B16" s="10"/>
      <c r="C16" s="83"/>
      <c r="D16" s="86"/>
      <c r="E16" s="23"/>
      <c r="F16" s="23"/>
      <c r="G16" s="23"/>
      <c r="H16" s="23"/>
      <c r="I16" s="23"/>
      <c r="J16" s="23"/>
      <c r="K16" s="23"/>
      <c r="L16" s="10"/>
      <c r="M16" s="10"/>
    </row>
    <row r="17" spans="1:13" ht="15.75" customHeight="1" x14ac:dyDescent="0.3">
      <c r="A17" s="10" t="s">
        <v>161</v>
      </c>
      <c r="B17" s="10"/>
      <c r="C17" s="81">
        <f>'Balance Sheet'!C69+'Balance Sheet'!C70</f>
        <v>336426.02</v>
      </c>
      <c r="D17" s="84"/>
      <c r="E17" s="23">
        <f>E40*IS!G6/BS!$C$43</f>
        <v>451323.77884578193</v>
      </c>
      <c r="F17" s="23">
        <f>F40*IS!H6/BS!$C$43</f>
        <v>519022.34567264904</v>
      </c>
      <c r="G17" s="23">
        <f>G40*IS!I6/BS!$C$43</f>
        <v>596875.69752354652</v>
      </c>
      <c r="H17" s="23">
        <f>H40*IS!J6/BS!$C$43</f>
        <v>626719.48239972384</v>
      </c>
      <c r="I17" s="23">
        <f>I40*IS!K6/BS!$C$43</f>
        <v>658055.45651971002</v>
      </c>
      <c r="J17" s="23"/>
      <c r="K17" s="23"/>
      <c r="L17" s="10"/>
      <c r="M17" s="10"/>
    </row>
    <row r="18" spans="1:13" ht="15.75" customHeight="1" thickBot="1" x14ac:dyDescent="0.35">
      <c r="A18" s="10" t="s">
        <v>162</v>
      </c>
      <c r="B18" s="10"/>
      <c r="C18" s="81">
        <v>1766.85</v>
      </c>
      <c r="D18" s="84"/>
      <c r="E18" s="94">
        <f>E41*IS!G5</f>
        <v>2031.8774999999996</v>
      </c>
      <c r="F18" s="94">
        <f>F41*IS!H5</f>
        <v>2336.6591249999997</v>
      </c>
      <c r="G18" s="94">
        <f>G41*IS!I5</f>
        <v>2687.1579937499992</v>
      </c>
      <c r="H18" s="94">
        <f>H41*IS!J5</f>
        <v>2821.5158934374995</v>
      </c>
      <c r="I18" s="94">
        <f>I41*IS!K5</f>
        <v>2962.5916881093744</v>
      </c>
      <c r="J18" s="23"/>
      <c r="K18" s="23"/>
      <c r="L18" s="10"/>
      <c r="M18" s="10"/>
    </row>
    <row r="19" spans="1:13" ht="15.75" customHeight="1" x14ac:dyDescent="0.3">
      <c r="A19" s="11" t="s">
        <v>163</v>
      </c>
      <c r="B19" s="10"/>
      <c r="C19" s="82">
        <f>SUM(C17:C18)</f>
        <v>338192.87</v>
      </c>
      <c r="D19" s="85"/>
      <c r="E19" s="23">
        <f>SUM(E17:E18)</f>
        <v>453355.65634578193</v>
      </c>
      <c r="F19" s="23">
        <f t="shared" ref="F19:H19" si="2">SUM(F17:F18)</f>
        <v>521359.00479764905</v>
      </c>
      <c r="G19" s="23">
        <f t="shared" si="2"/>
        <v>599562.85551729647</v>
      </c>
      <c r="H19" s="23">
        <f t="shared" si="2"/>
        <v>629540.99829316139</v>
      </c>
      <c r="I19" s="23"/>
      <c r="J19" s="23"/>
      <c r="K19" s="23"/>
      <c r="L19" s="10"/>
      <c r="M19" s="10"/>
    </row>
    <row r="20" spans="1:13" ht="15.75" customHeight="1" x14ac:dyDescent="0.3">
      <c r="A20" s="10"/>
      <c r="B20" s="10"/>
      <c r="C20" s="83"/>
      <c r="D20" s="86"/>
      <c r="E20" s="23"/>
      <c r="F20" s="23"/>
      <c r="G20" s="23"/>
      <c r="H20" s="23"/>
      <c r="I20" s="23"/>
      <c r="J20" s="23"/>
      <c r="K20" s="23"/>
      <c r="L20" s="10"/>
      <c r="M20" s="10"/>
    </row>
    <row r="21" spans="1:13" ht="15.75" customHeight="1" x14ac:dyDescent="0.3">
      <c r="A21" s="10" t="s">
        <v>164</v>
      </c>
      <c r="B21" s="10"/>
      <c r="C21" s="81">
        <v>0</v>
      </c>
      <c r="D21" s="84"/>
      <c r="E21" s="23">
        <f>SS!D13</f>
        <v>149292.70754514047</v>
      </c>
      <c r="F21" s="23">
        <f>SS!E13</f>
        <v>0</v>
      </c>
      <c r="G21" s="23">
        <f>SS!F13</f>
        <v>0</v>
      </c>
      <c r="H21" s="23">
        <f>SS!G13</f>
        <v>0</v>
      </c>
      <c r="I21" s="23">
        <f>SS!H13</f>
        <v>0</v>
      </c>
      <c r="J21" s="23"/>
      <c r="K21" s="23"/>
      <c r="L21" s="10"/>
      <c r="M21" s="10"/>
    </row>
    <row r="22" spans="1:13" ht="15.75" customHeight="1" x14ac:dyDescent="0.3">
      <c r="A22" s="10" t="s">
        <v>165</v>
      </c>
      <c r="B22" s="10"/>
      <c r="C22" s="81">
        <v>1291856</v>
      </c>
      <c r="D22" s="84"/>
      <c r="E22" s="23">
        <v>0</v>
      </c>
      <c r="F22" s="23">
        <v>0</v>
      </c>
      <c r="G22" s="23">
        <v>0</v>
      </c>
      <c r="H22" s="23">
        <v>0</v>
      </c>
      <c r="I22" s="23">
        <v>0</v>
      </c>
      <c r="J22" s="23"/>
      <c r="K22" s="23"/>
      <c r="L22" s="10"/>
      <c r="M22" s="10"/>
    </row>
    <row r="23" spans="1:13" ht="15.75" customHeight="1" x14ac:dyDescent="0.3">
      <c r="A23" s="10" t="s">
        <v>166</v>
      </c>
      <c r="B23" s="10"/>
      <c r="C23" s="81">
        <v>0</v>
      </c>
      <c r="D23" s="84"/>
      <c r="E23" s="23">
        <f>SS!D22</f>
        <v>2069126.0865000011</v>
      </c>
      <c r="F23" s="23">
        <f>SS!E22</f>
        <v>1832568.2130821312</v>
      </c>
      <c r="G23" s="23">
        <f>SS!F22</f>
        <v>1320597.3402866942</v>
      </c>
      <c r="H23" s="23">
        <f>SS!G22</f>
        <v>684498.38919363741</v>
      </c>
      <c r="I23" s="23">
        <f>SS!H22</f>
        <v>615451.72582333745</v>
      </c>
      <c r="J23" s="23"/>
      <c r="K23" s="23"/>
      <c r="L23" s="10"/>
      <c r="M23" s="10"/>
    </row>
    <row r="24" spans="1:13" ht="15.75" customHeight="1" thickBot="1" x14ac:dyDescent="0.35">
      <c r="A24" s="10" t="s">
        <v>167</v>
      </c>
      <c r="B24" s="10"/>
      <c r="C24" s="81">
        <v>0</v>
      </c>
      <c r="D24" s="84"/>
      <c r="E24" s="94">
        <f>SS!D30</f>
        <v>1755622.134000001</v>
      </c>
      <c r="F24" s="94">
        <f>SS!E30</f>
        <v>1843403.2407000011</v>
      </c>
      <c r="G24" s="94">
        <f>SS!F30</f>
        <v>1935573.4027350012</v>
      </c>
      <c r="H24" s="94">
        <f>SS!G30</f>
        <v>2032352.0728717512</v>
      </c>
      <c r="I24" s="94">
        <f>SS!H30</f>
        <v>2133969.6765153389</v>
      </c>
      <c r="J24" s="23"/>
      <c r="K24" s="23"/>
      <c r="L24" s="10"/>
      <c r="M24" s="10"/>
    </row>
    <row r="25" spans="1:13" ht="15.75" customHeight="1" x14ac:dyDescent="0.3">
      <c r="A25" s="11" t="s">
        <v>168</v>
      </c>
      <c r="B25" s="10"/>
      <c r="C25" s="82"/>
      <c r="D25" s="85"/>
      <c r="E25" s="23">
        <f>SUM(E21:E24)</f>
        <v>3974040.9280451424</v>
      </c>
      <c r="F25" s="23">
        <f t="shared" ref="F25:I25" si="3">SUM(F21:F24)</f>
        <v>3675971.4537821324</v>
      </c>
      <c r="G25" s="23">
        <f t="shared" si="3"/>
        <v>3256170.7430216954</v>
      </c>
      <c r="H25" s="23">
        <f t="shared" si="3"/>
        <v>2716850.4620653884</v>
      </c>
      <c r="I25" s="23">
        <f t="shared" si="3"/>
        <v>2749421.4023386762</v>
      </c>
      <c r="J25" s="23"/>
      <c r="K25" s="23"/>
      <c r="L25" s="10"/>
      <c r="M25" s="10"/>
    </row>
    <row r="26" spans="1:13" ht="15.75" customHeight="1" x14ac:dyDescent="0.3">
      <c r="A26" s="10"/>
      <c r="B26" s="10"/>
      <c r="C26" s="83"/>
      <c r="D26" s="86"/>
      <c r="E26" s="23"/>
      <c r="F26" s="23"/>
      <c r="G26" s="23"/>
      <c r="H26" s="23"/>
      <c r="I26" s="23"/>
      <c r="J26" s="23"/>
      <c r="K26" s="23"/>
      <c r="L26" s="10"/>
      <c r="M26" s="10"/>
    </row>
    <row r="27" spans="1:13" ht="15.75" customHeight="1" x14ac:dyDescent="0.3">
      <c r="A27" s="10" t="s">
        <v>169</v>
      </c>
      <c r="B27" s="10"/>
      <c r="C27" s="81">
        <v>0</v>
      </c>
      <c r="D27" s="84"/>
      <c r="E27" s="23">
        <f>'S&amp;U'!$M$8</f>
        <v>1178254.9135000019</v>
      </c>
      <c r="F27" s="23">
        <f>'S&amp;U'!$M$8</f>
        <v>1178254.9135000019</v>
      </c>
      <c r="G27" s="23">
        <f>'S&amp;U'!$M$8</f>
        <v>1178254.9135000019</v>
      </c>
      <c r="H27" s="23">
        <f>'S&amp;U'!$M$8</f>
        <v>1178254.9135000019</v>
      </c>
      <c r="I27" s="23">
        <f>'S&amp;U'!$M$8</f>
        <v>1178254.9135000019</v>
      </c>
      <c r="J27" s="23"/>
      <c r="K27" s="23"/>
      <c r="L27" s="10"/>
      <c r="M27" s="10"/>
    </row>
    <row r="28" spans="1:13" ht="15.75" customHeight="1" x14ac:dyDescent="0.3">
      <c r="A28" s="10"/>
      <c r="B28" s="10"/>
      <c r="C28" s="83"/>
      <c r="D28" s="86"/>
      <c r="E28" s="23"/>
      <c r="F28" s="23"/>
      <c r="G28" s="23"/>
      <c r="H28" s="23"/>
      <c r="I28" s="23"/>
      <c r="J28" s="23"/>
      <c r="K28" s="23"/>
      <c r="L28" s="10"/>
      <c r="M28" s="10"/>
    </row>
    <row r="29" spans="1:13" ht="15.75" customHeight="1" thickBot="1" x14ac:dyDescent="0.35">
      <c r="A29" s="10" t="s">
        <v>170</v>
      </c>
      <c r="B29" s="10"/>
      <c r="C29" s="21">
        <f>'Balance Sheet'!C46-'Balance Sheet'!C76</f>
        <v>3012550.3499999996</v>
      </c>
      <c r="D29" s="22"/>
      <c r="E29" s="94">
        <f>'S&amp;U'!$E$6+IS!G32</f>
        <v>3730279.600016085</v>
      </c>
      <c r="F29" s="94">
        <f>E29+IS!H32</f>
        <v>4123672.3593039457</v>
      </c>
      <c r="G29" s="94">
        <f>F29+IS!I32</f>
        <v>4663059.1725458885</v>
      </c>
      <c r="H29" s="94">
        <f>G29+IS!J32</f>
        <v>5293814.6068148399</v>
      </c>
      <c r="I29" s="94">
        <f>H29+IS!K32</f>
        <v>6026788.2661883896</v>
      </c>
      <c r="J29" s="23"/>
      <c r="K29" s="23"/>
      <c r="L29" s="10"/>
      <c r="M29" s="10"/>
    </row>
    <row r="30" spans="1:13" ht="15.75" customHeight="1" x14ac:dyDescent="0.3">
      <c r="A30" s="11" t="s">
        <v>171</v>
      </c>
      <c r="B30" s="10"/>
      <c r="C30" s="57"/>
      <c r="D30" s="87"/>
      <c r="E30" s="23">
        <f>E19+E25+E27+E29</f>
        <v>9335931.0979070105</v>
      </c>
      <c r="F30" s="23">
        <f t="shared" ref="F30:I30" si="4">F19+F25+F27+F29</f>
        <v>9499257.7313837297</v>
      </c>
      <c r="G30" s="23">
        <f t="shared" si="4"/>
        <v>9697047.6845848821</v>
      </c>
      <c r="H30" s="23">
        <f t="shared" si="4"/>
        <v>9818460.9806733914</v>
      </c>
      <c r="I30" s="23">
        <f t="shared" si="4"/>
        <v>9954464.5820270665</v>
      </c>
      <c r="J30" s="23"/>
      <c r="K30" s="23"/>
      <c r="L30" s="10"/>
      <c r="M30" s="10"/>
    </row>
    <row r="31" spans="1:13" ht="15.75" customHeight="1" x14ac:dyDescent="0.3">
      <c r="A31" s="10"/>
      <c r="B31" s="10"/>
      <c r="C31" s="28"/>
      <c r="D31" s="10"/>
      <c r="E31" s="10"/>
      <c r="F31" s="10"/>
      <c r="G31" s="10"/>
      <c r="H31" s="10"/>
      <c r="I31" s="10"/>
      <c r="J31" s="10"/>
      <c r="K31" s="10"/>
      <c r="L31" s="10"/>
      <c r="M31" s="10"/>
    </row>
    <row r="32" spans="1:13" ht="15.75" customHeight="1" x14ac:dyDescent="0.3">
      <c r="A32" s="10" t="s">
        <v>172</v>
      </c>
      <c r="B32" s="10"/>
      <c r="C32" s="28" t="str">
        <f>IF(C30-C15=0,"ok","error")</f>
        <v>error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</row>
    <row r="33" spans="1:13" ht="15.75" customHeight="1" x14ac:dyDescent="0.3">
      <c r="A33" s="10"/>
      <c r="B33" s="10"/>
      <c r="C33" s="28"/>
      <c r="D33" s="10"/>
      <c r="E33" s="59"/>
      <c r="F33" s="59"/>
      <c r="G33" s="59"/>
      <c r="H33" s="59"/>
      <c r="I33" s="59"/>
      <c r="J33" s="59"/>
      <c r="K33" s="59"/>
      <c r="L33" s="10"/>
      <c r="M33" s="10"/>
    </row>
    <row r="34" spans="1:13" ht="15.75" customHeight="1" x14ac:dyDescent="0.3">
      <c r="A34" s="10" t="s">
        <v>173</v>
      </c>
      <c r="B34" s="10"/>
      <c r="C34" s="83">
        <f>C9-C19</f>
        <v>323798.18999999994</v>
      </c>
      <c r="D34" s="10"/>
      <c r="E34" s="23">
        <f>E9-E19-E5</f>
        <v>362300.86440955609</v>
      </c>
      <c r="F34" s="23">
        <f t="shared" ref="F34:I34" si="5">F9-F19-F5</f>
        <v>416645.99407098966</v>
      </c>
      <c r="G34" s="23">
        <f t="shared" si="5"/>
        <v>479142.89318163809</v>
      </c>
      <c r="H34" s="23">
        <f t="shared" si="5"/>
        <v>503100.0378407198</v>
      </c>
      <c r="I34" s="23">
        <f t="shared" si="5"/>
        <v>1189273.0879405756</v>
      </c>
      <c r="J34" s="23"/>
      <c r="K34" s="23"/>
      <c r="L34" s="10"/>
      <c r="M34" s="10"/>
    </row>
    <row r="35" spans="1:13" ht="15.75" customHeight="1" x14ac:dyDescent="0.3">
      <c r="A35" s="10"/>
      <c r="B35" s="10"/>
      <c r="C35" s="28"/>
      <c r="D35" s="10"/>
      <c r="E35" s="59"/>
      <c r="F35" s="59"/>
      <c r="G35" s="59"/>
      <c r="H35" s="59"/>
      <c r="I35" s="59"/>
      <c r="J35" s="59"/>
      <c r="K35" s="59"/>
      <c r="L35" s="10"/>
      <c r="M35" s="10"/>
    </row>
    <row r="36" spans="1:13" ht="15.75" customHeight="1" x14ac:dyDescent="0.3">
      <c r="A36" s="12" t="s">
        <v>174</v>
      </c>
      <c r="B36" s="10"/>
      <c r="C36" s="17">
        <v>2023</v>
      </c>
      <c r="D36" s="12"/>
      <c r="E36" s="12">
        <v>2024</v>
      </c>
      <c r="F36" s="12">
        <v>2025</v>
      </c>
      <c r="G36" s="12">
        <v>2026</v>
      </c>
      <c r="H36" s="12">
        <v>2027</v>
      </c>
      <c r="I36" s="12">
        <v>2028</v>
      </c>
      <c r="J36" s="10"/>
      <c r="K36" s="10"/>
      <c r="L36" s="10"/>
      <c r="M36" s="10"/>
    </row>
    <row r="37" spans="1:13" ht="15.75" customHeight="1" x14ac:dyDescent="0.3">
      <c r="A37" s="10" t="s">
        <v>175</v>
      </c>
      <c r="B37" s="60"/>
      <c r="C37" s="89">
        <f>C6*C43/IS!E5</f>
        <v>9.8777521125483805</v>
      </c>
      <c r="D37" s="10"/>
      <c r="E37" s="89">
        <v>9.8777521125483805</v>
      </c>
      <c r="F37" s="89">
        <v>9.8777521125483805</v>
      </c>
      <c r="G37" s="89">
        <v>9.8777521125483805</v>
      </c>
      <c r="H37" s="89">
        <v>9.8777521125483805</v>
      </c>
      <c r="I37" s="89">
        <v>9.8777521125483805</v>
      </c>
      <c r="J37" s="61"/>
      <c r="K37" s="61"/>
      <c r="L37" s="10"/>
      <c r="M37" s="10"/>
    </row>
    <row r="38" spans="1:13" ht="15.75" customHeight="1" x14ac:dyDescent="0.3">
      <c r="A38" s="10" t="s">
        <v>291</v>
      </c>
      <c r="B38" s="60"/>
      <c r="C38" s="89">
        <f>C43*C7/IS!E6</f>
        <v>49.425889378482275</v>
      </c>
      <c r="D38" s="61"/>
      <c r="E38" s="91">
        <v>49.425889378482275</v>
      </c>
      <c r="F38" s="91">
        <v>49.425889378482275</v>
      </c>
      <c r="G38" s="91">
        <v>49.425889378482275</v>
      </c>
      <c r="H38" s="91">
        <v>49.425889378482275</v>
      </c>
      <c r="I38" s="91">
        <v>49.425889378482275</v>
      </c>
      <c r="J38" s="61"/>
      <c r="K38" s="61"/>
      <c r="L38" s="10"/>
      <c r="M38" s="10"/>
    </row>
    <row r="39" spans="1:13" ht="15.75" customHeight="1" x14ac:dyDescent="0.3">
      <c r="A39" s="10" t="s">
        <v>176</v>
      </c>
      <c r="B39" s="62"/>
      <c r="C39" s="90">
        <f>C8/IS!E5</f>
        <v>8.2184483395369241E-4</v>
      </c>
      <c r="D39" s="34"/>
      <c r="E39" s="92">
        <v>8.2184483395369241E-4</v>
      </c>
      <c r="F39" s="92">
        <v>8.2184483395369241E-4</v>
      </c>
      <c r="G39" s="92">
        <v>8.2184483395369241E-4</v>
      </c>
      <c r="H39" s="92">
        <v>8.2184483395369241E-4</v>
      </c>
      <c r="I39" s="92">
        <v>8.2184483395369241E-4</v>
      </c>
      <c r="J39" s="34"/>
      <c r="K39" s="34"/>
      <c r="L39" s="10"/>
      <c r="M39" s="10"/>
    </row>
    <row r="40" spans="1:13" ht="15.75" customHeight="1" x14ac:dyDescent="0.3">
      <c r="A40" s="10" t="s">
        <v>177</v>
      </c>
      <c r="B40" s="60"/>
      <c r="C40" s="89">
        <f>C43*C17/IS!E6</f>
        <v>37.587887537410239</v>
      </c>
      <c r="D40" s="61"/>
      <c r="E40" s="91">
        <v>37.587887537410239</v>
      </c>
      <c r="F40" s="91">
        <v>37.587887537410239</v>
      </c>
      <c r="G40" s="91">
        <v>37.587887537410239</v>
      </c>
      <c r="H40" s="91">
        <v>37.587887537410239</v>
      </c>
      <c r="I40" s="91">
        <v>37.587887537410239</v>
      </c>
      <c r="J40" s="61"/>
      <c r="K40" s="61"/>
      <c r="L40" s="10"/>
      <c r="M40" s="10"/>
    </row>
    <row r="41" spans="1:13" ht="15.75" customHeight="1" x14ac:dyDescent="0.3">
      <c r="A41" s="10" t="s">
        <v>178</v>
      </c>
      <c r="B41" s="62"/>
      <c r="C41" s="90">
        <f>C18/IS!E5</f>
        <v>2.5499229002809356E-4</v>
      </c>
      <c r="D41" s="34"/>
      <c r="E41" s="93">
        <v>2.5499229002809356E-4</v>
      </c>
      <c r="F41" s="93">
        <v>2.5499229002809356E-4</v>
      </c>
      <c r="G41" s="93">
        <v>2.5499229002809356E-4</v>
      </c>
      <c r="H41" s="93">
        <v>2.5499229002809356E-4</v>
      </c>
      <c r="I41" s="93">
        <v>2.5499229002809356E-4</v>
      </c>
      <c r="J41" s="27"/>
      <c r="K41" s="27"/>
      <c r="L41" s="10"/>
      <c r="M41" s="10"/>
    </row>
    <row r="42" spans="1:13" ht="15.75" customHeight="1" x14ac:dyDescent="0.3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</row>
    <row r="43" spans="1:13" ht="15.75" customHeight="1" x14ac:dyDescent="0.3">
      <c r="A43" s="10"/>
      <c r="B43" s="10" t="s">
        <v>206</v>
      </c>
      <c r="C43" s="35">
        <v>365</v>
      </c>
      <c r="D43" s="35"/>
      <c r="E43" s="10"/>
      <c r="F43" s="10"/>
      <c r="G43" s="10"/>
      <c r="H43" s="10"/>
      <c r="I43" s="10"/>
      <c r="J43" s="10"/>
      <c r="K43" s="10"/>
      <c r="L43" s="10"/>
      <c r="M43" s="10"/>
    </row>
    <row r="44" spans="1:13" ht="15.75" customHeight="1" x14ac:dyDescent="0.3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</row>
    <row r="45" spans="1:13" ht="15.75" customHeight="1" x14ac:dyDescent="0.3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</row>
    <row r="46" spans="1:13" ht="15.75" customHeight="1" x14ac:dyDescent="0.3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</row>
    <row r="47" spans="1:13" ht="15.75" customHeight="1" x14ac:dyDescent="0.3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</row>
    <row r="48" spans="1:13" ht="15.75" customHeight="1" x14ac:dyDescent="0.3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</row>
    <row r="49" spans="1:13" ht="15.75" customHeight="1" x14ac:dyDescent="0.3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</row>
    <row r="50" spans="1:13" ht="15.75" customHeight="1" x14ac:dyDescent="0.3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</row>
    <row r="51" spans="1:13" ht="15.75" customHeight="1" x14ac:dyDescent="0.3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</row>
    <row r="52" spans="1:13" ht="15.75" customHeight="1" x14ac:dyDescent="0.3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</row>
    <row r="53" spans="1:13" ht="15.75" customHeight="1" x14ac:dyDescent="0.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</row>
    <row r="54" spans="1:13" ht="15.75" customHeight="1" x14ac:dyDescent="0.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</row>
    <row r="55" spans="1:13" ht="15.75" customHeight="1" x14ac:dyDescent="0.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</row>
    <row r="56" spans="1:13" ht="15.75" customHeight="1" x14ac:dyDescent="0.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</row>
    <row r="57" spans="1:13" ht="15.75" customHeight="1" x14ac:dyDescent="0.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</row>
    <row r="58" spans="1:13" ht="15.75" customHeight="1" x14ac:dyDescent="0.3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</row>
    <row r="59" spans="1:13" ht="15.75" customHeight="1" x14ac:dyDescent="0.3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</row>
    <row r="60" spans="1:13" ht="15.75" customHeight="1" x14ac:dyDescent="0.3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</row>
    <row r="61" spans="1:13" ht="15.75" customHeight="1" x14ac:dyDescent="0.3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</row>
    <row r="62" spans="1:13" ht="15.75" customHeight="1" x14ac:dyDescent="0.3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</row>
    <row r="63" spans="1:13" ht="15.75" customHeight="1" x14ac:dyDescent="0.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</row>
    <row r="64" spans="1:13" ht="15.75" customHeight="1" x14ac:dyDescent="0.3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</row>
    <row r="65" spans="1:13" ht="15.75" customHeight="1" x14ac:dyDescent="0.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</row>
    <row r="66" spans="1:13" ht="15.75" customHeight="1" x14ac:dyDescent="0.3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</row>
    <row r="67" spans="1:13" ht="15.75" customHeight="1" x14ac:dyDescent="0.3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</row>
    <row r="68" spans="1:13" ht="15.75" customHeight="1" x14ac:dyDescent="0.3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</row>
    <row r="69" spans="1:13" ht="15.75" customHeight="1" x14ac:dyDescent="0.3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</row>
    <row r="70" spans="1:13" ht="15.75" customHeight="1" x14ac:dyDescent="0.3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</row>
    <row r="71" spans="1:13" ht="15.75" customHeight="1" x14ac:dyDescent="0.3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</row>
    <row r="72" spans="1:13" ht="15.75" customHeight="1" x14ac:dyDescent="0.3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</row>
    <row r="73" spans="1:13" ht="15.75" customHeight="1" x14ac:dyDescent="0.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</row>
    <row r="74" spans="1:13" ht="15.75" customHeight="1" x14ac:dyDescent="0.3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</row>
    <row r="75" spans="1:13" ht="15.75" customHeight="1" x14ac:dyDescent="0.3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</row>
    <row r="76" spans="1:13" ht="15.75" customHeight="1" x14ac:dyDescent="0.3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</row>
    <row r="77" spans="1:13" ht="15.75" customHeight="1" x14ac:dyDescent="0.3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</row>
    <row r="78" spans="1:13" ht="15.75" customHeight="1" x14ac:dyDescent="0.3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</row>
    <row r="79" spans="1:13" ht="15.75" customHeight="1" x14ac:dyDescent="0.3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</row>
    <row r="80" spans="1:13" ht="15.75" customHeight="1" x14ac:dyDescent="0.3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</row>
    <row r="81" spans="1:13" ht="15.75" customHeight="1" x14ac:dyDescent="0.3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</row>
    <row r="82" spans="1:13" ht="15.75" customHeight="1" x14ac:dyDescent="0.3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</row>
    <row r="83" spans="1:13" ht="15.75" customHeight="1" x14ac:dyDescent="0.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</row>
    <row r="84" spans="1:13" ht="15.75" customHeight="1" x14ac:dyDescent="0.3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</row>
    <row r="85" spans="1:13" ht="15.75" customHeight="1" x14ac:dyDescent="0.3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</row>
    <row r="86" spans="1:13" ht="15.75" customHeight="1" x14ac:dyDescent="0.3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</row>
    <row r="87" spans="1:13" ht="15.75" customHeight="1" x14ac:dyDescent="0.3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</row>
    <row r="88" spans="1:13" ht="15.75" customHeight="1" x14ac:dyDescent="0.3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</row>
    <row r="89" spans="1:13" ht="15.75" customHeight="1" x14ac:dyDescent="0.3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</row>
    <row r="90" spans="1:13" ht="15.75" customHeight="1" x14ac:dyDescent="0.3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</row>
    <row r="91" spans="1:13" ht="15.75" customHeight="1" x14ac:dyDescent="0.3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</row>
    <row r="92" spans="1:13" ht="15.75" customHeight="1" x14ac:dyDescent="0.3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</row>
    <row r="93" spans="1:13" ht="15.75" customHeight="1" x14ac:dyDescent="0.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</row>
    <row r="94" spans="1:13" ht="15.75" customHeight="1" x14ac:dyDescent="0.3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</row>
    <row r="95" spans="1:13" ht="15.75" customHeight="1" x14ac:dyDescent="0.3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</row>
    <row r="96" spans="1:13" ht="15.75" customHeight="1" x14ac:dyDescent="0.3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</row>
    <row r="97" spans="1:13" ht="15.75" customHeight="1" x14ac:dyDescent="0.3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</row>
    <row r="98" spans="1:13" ht="15.75" customHeight="1" x14ac:dyDescent="0.3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</row>
    <row r="99" spans="1:13" ht="15.75" customHeight="1" x14ac:dyDescent="0.3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</row>
    <row r="100" spans="1:13" ht="15.75" customHeight="1" x14ac:dyDescent="0.3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64B34-D447-481F-9609-E22BB5D13635}">
  <dimension ref="A1:K101"/>
  <sheetViews>
    <sheetView workbookViewId="0">
      <selection activeCell="B25" sqref="B25"/>
    </sheetView>
  </sheetViews>
  <sheetFormatPr defaultColWidth="14" defaultRowHeight="14.4" x14ac:dyDescent="0.3"/>
  <cols>
    <col min="1" max="1" width="12.109375" customWidth="1"/>
    <col min="2" max="2" width="22.88671875" customWidth="1"/>
    <col min="3" max="8" width="12.109375" customWidth="1"/>
    <col min="9" max="11" width="11.109375" customWidth="1"/>
  </cols>
  <sheetData>
    <row r="1" spans="1:11" ht="16.5" customHeight="1" thickBot="1" x14ac:dyDescent="0.35">
      <c r="A1" s="95" t="s">
        <v>207</v>
      </c>
      <c r="B1" s="96"/>
      <c r="C1" s="96"/>
      <c r="D1" s="96"/>
      <c r="E1" s="96"/>
      <c r="F1" s="96"/>
      <c r="G1" s="96"/>
      <c r="H1" s="96"/>
      <c r="I1" s="10"/>
      <c r="J1" s="10"/>
      <c r="K1" s="10"/>
    </row>
    <row r="2" spans="1:11" ht="15.75" customHeight="1" x14ac:dyDescent="0.3">
      <c r="A2" s="10"/>
      <c r="B2" s="10"/>
      <c r="C2" s="28"/>
      <c r="D2" s="10"/>
      <c r="E2" s="10"/>
      <c r="F2" s="10"/>
      <c r="G2" s="10"/>
      <c r="H2" s="10"/>
      <c r="I2" s="10"/>
      <c r="J2" s="10"/>
      <c r="K2" s="10"/>
    </row>
    <row r="3" spans="1:11" ht="15.75" customHeight="1" x14ac:dyDescent="0.3">
      <c r="A3" s="10"/>
      <c r="B3" s="10"/>
      <c r="C3" s="28"/>
      <c r="D3" s="12">
        <v>2024</v>
      </c>
      <c r="E3" s="12">
        <v>2025</v>
      </c>
      <c r="F3" s="12">
        <v>2026</v>
      </c>
      <c r="G3" s="12">
        <v>2027</v>
      </c>
      <c r="H3" s="12">
        <v>2028</v>
      </c>
      <c r="I3" s="10"/>
      <c r="J3" s="10"/>
      <c r="K3" s="10"/>
    </row>
    <row r="4" spans="1:11" ht="15.75" customHeight="1" x14ac:dyDescent="0.3">
      <c r="A4" s="10"/>
      <c r="B4" s="10"/>
      <c r="C4" s="28"/>
      <c r="D4" s="10"/>
      <c r="E4" s="10"/>
      <c r="F4" s="10"/>
      <c r="G4" s="10"/>
      <c r="H4" s="10"/>
      <c r="I4" s="10"/>
      <c r="J4" s="10"/>
      <c r="K4" s="10"/>
    </row>
    <row r="5" spans="1:11" ht="15.75" customHeight="1" x14ac:dyDescent="0.3">
      <c r="A5" s="14" t="s">
        <v>195</v>
      </c>
      <c r="B5" s="10"/>
      <c r="C5" s="28"/>
      <c r="D5" s="23">
        <f>IS!G32</f>
        <v>273331.01711608248</v>
      </c>
      <c r="E5" s="23">
        <f>IS!H32</f>
        <v>393392.75928786071</v>
      </c>
      <c r="F5" s="23">
        <f>IS!I32</f>
        <v>539386.81324194313</v>
      </c>
      <c r="G5" s="23">
        <f>IS!J32</f>
        <v>630755.4342689513</v>
      </c>
      <c r="H5" s="23">
        <f>IS!K32</f>
        <v>732973.65937354951</v>
      </c>
      <c r="I5" s="10"/>
      <c r="J5" s="10"/>
      <c r="K5" s="10"/>
    </row>
    <row r="6" spans="1:11" ht="15.75" customHeight="1" x14ac:dyDescent="0.3">
      <c r="A6" s="14" t="s">
        <v>208</v>
      </c>
      <c r="B6" s="10"/>
      <c r="C6" s="28"/>
      <c r="D6" s="23">
        <f>SS!D42</f>
        <v>318735.51938000001</v>
      </c>
      <c r="E6" s="23">
        <f>SS!E42</f>
        <v>366545.84728699998</v>
      </c>
      <c r="F6" s="23">
        <f>SS!F42</f>
        <v>421527.72438004997</v>
      </c>
      <c r="G6" s="23">
        <f>SS!G42</f>
        <v>442604.11059905245</v>
      </c>
      <c r="H6" s="23">
        <f>SS!H42</f>
        <v>464734.31612900516</v>
      </c>
      <c r="I6" s="10"/>
      <c r="J6" s="10"/>
      <c r="K6" s="10"/>
    </row>
    <row r="7" spans="1:11" ht="15.75" customHeight="1" x14ac:dyDescent="0.3">
      <c r="A7" s="14" t="s">
        <v>209</v>
      </c>
      <c r="B7" s="10"/>
      <c r="C7" s="28"/>
      <c r="D7" s="23">
        <f>'S&amp;U'!$M$7/15</f>
        <v>22442.950733333375</v>
      </c>
      <c r="E7" s="23">
        <f>'S&amp;U'!$M$7/15</f>
        <v>22442.950733333375</v>
      </c>
      <c r="F7" s="23">
        <f>'S&amp;U'!$M$7/15</f>
        <v>22442.950733333375</v>
      </c>
      <c r="G7" s="23">
        <f>'S&amp;U'!$M$7/15</f>
        <v>22442.950733333375</v>
      </c>
      <c r="H7" s="23">
        <f>'S&amp;U'!$M$7/15</f>
        <v>22442.950733333375</v>
      </c>
      <c r="I7" s="10"/>
      <c r="J7" s="10"/>
      <c r="K7" s="10"/>
    </row>
    <row r="8" spans="1:11" ht="15.75" customHeight="1" x14ac:dyDescent="0.3">
      <c r="A8" s="14" t="s">
        <v>210</v>
      </c>
      <c r="B8" s="10"/>
      <c r="C8" s="28"/>
      <c r="D8" s="23">
        <f>SS!$D$5/15</f>
        <v>7524.0948600000038</v>
      </c>
      <c r="E8" s="23">
        <f>SS!$D$5/15</f>
        <v>7524.0948600000038</v>
      </c>
      <c r="F8" s="23">
        <f>SS!$D$5/15</f>
        <v>7524.0948600000038</v>
      </c>
      <c r="G8" s="23">
        <f>SS!$D$5/15</f>
        <v>7524.0948600000038</v>
      </c>
      <c r="H8" s="23">
        <f>SS!$D$5/15</f>
        <v>7524.0948600000038</v>
      </c>
      <c r="I8" s="10"/>
      <c r="J8" s="10"/>
      <c r="K8" s="10"/>
    </row>
    <row r="9" spans="1:11" ht="15.75" customHeight="1" x14ac:dyDescent="0.3">
      <c r="A9" s="14" t="s">
        <v>211</v>
      </c>
      <c r="B9" s="10"/>
      <c r="C9" s="28"/>
      <c r="D9" s="23">
        <f>SS!D29</f>
        <v>83601.054000000062</v>
      </c>
      <c r="E9" s="23">
        <f>SS!E29</f>
        <v>87781.106700000062</v>
      </c>
      <c r="F9" s="23">
        <f>SS!F29</f>
        <v>92170.162035000059</v>
      </c>
      <c r="G9" s="23">
        <f>SS!G29</f>
        <v>96778.670136750065</v>
      </c>
      <c r="H9" s="23">
        <f>SS!H29</f>
        <v>101617.60364358756</v>
      </c>
      <c r="I9" s="10"/>
      <c r="J9" s="10"/>
      <c r="K9" s="10"/>
    </row>
    <row r="10" spans="1:11" ht="15.75" customHeight="1" x14ac:dyDescent="0.3">
      <c r="A10" s="14" t="s">
        <v>212</v>
      </c>
      <c r="B10" s="10"/>
      <c r="C10" s="28"/>
      <c r="D10" s="23">
        <f>BS!E34-BS!C34</f>
        <v>38502.674409556144</v>
      </c>
      <c r="E10" s="23">
        <f>BS!F34-BS!E34</f>
        <v>54345.129661433573</v>
      </c>
      <c r="F10" s="23">
        <f>BS!G34-BS!F34</f>
        <v>62496.899110648432</v>
      </c>
      <c r="G10" s="23">
        <f>BS!H34-BS!G34</f>
        <v>23957.144659081707</v>
      </c>
      <c r="H10" s="23">
        <f>BS!I34-BS!H34</f>
        <v>686173.05009985575</v>
      </c>
      <c r="I10" s="10"/>
      <c r="J10" s="10"/>
      <c r="K10" s="10"/>
    </row>
    <row r="11" spans="1:11" ht="15.75" customHeight="1" x14ac:dyDescent="0.3">
      <c r="A11" s="14" t="s">
        <v>213</v>
      </c>
      <c r="B11" s="10"/>
      <c r="C11" s="28"/>
      <c r="D11" s="23">
        <f>SS!D40</f>
        <v>398419.399225</v>
      </c>
      <c r="E11" s="23">
        <f>SS!E40</f>
        <v>458182.30910874996</v>
      </c>
      <c r="F11" s="23">
        <f>SS!F40</f>
        <v>526909.65547506243</v>
      </c>
      <c r="G11" s="23">
        <f>SS!G40</f>
        <v>553255.13824881555</v>
      </c>
      <c r="H11" s="23">
        <f>SS!H40</f>
        <v>580917.89516125643</v>
      </c>
      <c r="I11" s="10"/>
      <c r="J11" s="10"/>
      <c r="K11" s="10"/>
    </row>
    <row r="12" spans="1:11" ht="15.75" customHeight="1" x14ac:dyDescent="0.3">
      <c r="A12" s="63" t="s">
        <v>218</v>
      </c>
      <c r="B12" s="12"/>
      <c r="C12" s="17"/>
      <c r="D12" s="20">
        <f>SUM(D5:D9)-D10-D11</f>
        <v>268712.56245485978</v>
      </c>
      <c r="E12" s="20">
        <f t="shared" ref="E12:H12" si="0">SUM(E5:E9)-E10-E11</f>
        <v>365159.32009801036</v>
      </c>
      <c r="F12" s="20">
        <f t="shared" si="0"/>
        <v>493645.19066461571</v>
      </c>
      <c r="G12" s="20">
        <f t="shared" si="0"/>
        <v>622892.97769018996</v>
      </c>
      <c r="H12" s="20">
        <f t="shared" si="0"/>
        <v>62201.6794783636</v>
      </c>
      <c r="I12" s="10"/>
      <c r="J12" s="10"/>
      <c r="K12" s="10"/>
    </row>
    <row r="13" spans="1:11" ht="15.75" customHeight="1" x14ac:dyDescent="0.3">
      <c r="A13" s="63"/>
      <c r="B13" s="10"/>
      <c r="C13" s="28"/>
      <c r="D13" s="10"/>
      <c r="E13" s="10"/>
      <c r="F13" s="10"/>
      <c r="G13" s="10"/>
      <c r="H13" s="10"/>
      <c r="I13" s="10"/>
      <c r="J13" s="10"/>
      <c r="K13" s="10"/>
    </row>
    <row r="14" spans="1:11" ht="15.75" customHeight="1" x14ac:dyDescent="0.3">
      <c r="A14" s="63" t="s">
        <v>276</v>
      </c>
      <c r="B14" s="10"/>
      <c r="C14" s="28"/>
      <c r="D14" s="23">
        <f>BS!C5</f>
        <v>26399.98</v>
      </c>
      <c r="E14" s="23">
        <f>D19</f>
        <v>5499.7164999999804</v>
      </c>
      <c r="F14" s="23">
        <f t="shared" ref="F14:H14" si="1">E19</f>
        <v>-15191.544365000038</v>
      </c>
      <c r="G14" s="23">
        <f t="shared" si="1"/>
        <v>-33517.226495821378</v>
      </c>
      <c r="H14" s="23">
        <f t="shared" si="1"/>
        <v>-46723.199898688355</v>
      </c>
      <c r="I14" s="10"/>
      <c r="J14" s="10"/>
      <c r="K14" s="10"/>
    </row>
    <row r="15" spans="1:11" ht="15.75" customHeight="1" x14ac:dyDescent="0.3">
      <c r="A15" s="14" t="s">
        <v>214</v>
      </c>
      <c r="B15" s="10"/>
      <c r="C15" s="28"/>
      <c r="D15" s="23">
        <f>SS!D11+SS!D20</f>
        <v>20900.263500000012</v>
      </c>
      <c r="E15" s="23">
        <f>SS!E11+SS!E20</f>
        <v>20691.260865000011</v>
      </c>
      <c r="F15" s="23">
        <f>SS!F11+SS!F20</f>
        <v>18325.682130821311</v>
      </c>
      <c r="G15" s="23">
        <f>SS!G11+SS!G20</f>
        <v>13205.973402866943</v>
      </c>
      <c r="H15" s="23">
        <f>SS!H11+SS!H20</f>
        <v>6844.9838919363747</v>
      </c>
      <c r="I15" s="10"/>
      <c r="J15" s="10"/>
      <c r="K15" s="10"/>
    </row>
    <row r="16" spans="1:11" ht="15.75" customHeight="1" x14ac:dyDescent="0.3">
      <c r="A16" s="14" t="s">
        <v>215</v>
      </c>
      <c r="B16" s="10"/>
      <c r="C16" s="28"/>
      <c r="D16" s="23">
        <f>D12</f>
        <v>268712.56245485978</v>
      </c>
      <c r="E16" s="23">
        <f t="shared" ref="E16:H16" si="2">E12</f>
        <v>365159.32009801036</v>
      </c>
      <c r="F16" s="23">
        <f t="shared" si="2"/>
        <v>493645.19066461571</v>
      </c>
      <c r="G16" s="23">
        <f t="shared" si="2"/>
        <v>622892.97769018996</v>
      </c>
      <c r="H16" s="23">
        <f t="shared" si="2"/>
        <v>62201.6794783636</v>
      </c>
      <c r="I16" s="10"/>
      <c r="J16" s="10"/>
      <c r="K16" s="10"/>
    </row>
    <row r="17" spans="1:11" ht="15.75" customHeight="1" x14ac:dyDescent="0.3">
      <c r="A17" s="14" t="s">
        <v>216</v>
      </c>
      <c r="B17" s="10"/>
      <c r="C17" s="28"/>
      <c r="D17" s="91">
        <f>SS!D12+SS!D21</f>
        <v>268712.56245485978</v>
      </c>
      <c r="E17" s="91">
        <f>SS!E12+SS!E21</f>
        <v>365159.32009801036</v>
      </c>
      <c r="F17" s="91">
        <f>SS!F12+SS!F21</f>
        <v>493645.19066461571</v>
      </c>
      <c r="G17" s="91">
        <f>SS!G12+SS!G21</f>
        <v>622892.97769018996</v>
      </c>
      <c r="H17" s="91">
        <f>SS!H12+SS!H21</f>
        <v>62201.6794783636</v>
      </c>
      <c r="I17" s="10"/>
      <c r="J17" s="10"/>
      <c r="K17" s="10"/>
    </row>
    <row r="18" spans="1:11" ht="15.75" customHeight="1" x14ac:dyDescent="0.3">
      <c r="A18" s="63"/>
      <c r="B18" s="12"/>
      <c r="C18" s="17"/>
      <c r="D18" s="20"/>
      <c r="E18" s="20"/>
      <c r="F18" s="20"/>
      <c r="G18" s="20"/>
      <c r="H18" s="20"/>
      <c r="I18" s="10"/>
      <c r="J18" s="10"/>
      <c r="K18" s="10"/>
    </row>
    <row r="19" spans="1:11" ht="15.75" customHeight="1" x14ac:dyDescent="0.3">
      <c r="A19" s="63" t="s">
        <v>217</v>
      </c>
      <c r="B19" s="10"/>
      <c r="C19" s="10"/>
      <c r="D19" s="20">
        <f>D14-D15+D16-D17</f>
        <v>5499.7164999999804</v>
      </c>
      <c r="E19" s="20">
        <f t="shared" ref="E19:H19" si="3">E14-E15+E16-E17</f>
        <v>-15191.544365000038</v>
      </c>
      <c r="F19" s="20">
        <f t="shared" si="3"/>
        <v>-33517.226495821378</v>
      </c>
      <c r="G19" s="20">
        <f t="shared" si="3"/>
        <v>-46723.199898688355</v>
      </c>
      <c r="H19" s="20">
        <f t="shared" si="3"/>
        <v>-53568.183790624731</v>
      </c>
      <c r="I19" s="10"/>
      <c r="J19" s="10"/>
      <c r="K19" s="10"/>
    </row>
    <row r="20" spans="1:11" ht="15.75" customHeight="1" x14ac:dyDescent="0.3">
      <c r="A20" s="14"/>
      <c r="B20" s="10"/>
      <c r="C20" s="10"/>
      <c r="D20" s="10"/>
      <c r="E20" s="10"/>
      <c r="F20" s="10"/>
      <c r="G20" s="10"/>
      <c r="H20" s="10"/>
      <c r="I20" s="10"/>
      <c r="J20" s="10"/>
      <c r="K20" s="10"/>
    </row>
    <row r="21" spans="1:11" ht="15.75" customHeight="1" x14ac:dyDescent="0.3">
      <c r="A21" s="64"/>
      <c r="B21" s="10"/>
      <c r="C21" s="10"/>
      <c r="D21" s="10"/>
      <c r="E21" s="10"/>
      <c r="F21" s="10"/>
      <c r="G21" s="10"/>
      <c r="H21" s="10"/>
      <c r="I21" s="10"/>
      <c r="J21" s="10"/>
      <c r="K21" s="10"/>
    </row>
    <row r="22" spans="1:11" ht="15.75" customHeight="1" x14ac:dyDescent="0.3">
      <c r="A22" s="10"/>
      <c r="B22" s="10"/>
      <c r="C22" s="65"/>
      <c r="D22" s="65"/>
      <c r="E22" s="65"/>
      <c r="F22" s="65"/>
      <c r="G22" s="65"/>
      <c r="H22" s="10"/>
      <c r="I22" s="10"/>
      <c r="J22" s="10"/>
      <c r="K22" s="10"/>
    </row>
    <row r="23" spans="1:11" ht="15.75" customHeight="1" x14ac:dyDescent="0.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</row>
    <row r="24" spans="1:11" ht="15.75" customHeight="1" x14ac:dyDescent="0.3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</row>
    <row r="25" spans="1:11" ht="15.75" customHeight="1" x14ac:dyDescent="0.3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</row>
    <row r="26" spans="1:11" ht="15.75" customHeight="1" x14ac:dyDescent="0.3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</row>
    <row r="27" spans="1:11" ht="15.75" customHeight="1" x14ac:dyDescent="0.3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</row>
    <row r="28" spans="1:11" ht="15.75" customHeight="1" x14ac:dyDescent="0.3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</row>
    <row r="29" spans="1:11" ht="15.75" customHeight="1" x14ac:dyDescent="0.3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</row>
    <row r="30" spans="1:11" ht="15.75" customHeight="1" x14ac:dyDescent="0.3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</row>
    <row r="31" spans="1:11" ht="15.75" customHeight="1" x14ac:dyDescent="0.3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</row>
    <row r="32" spans="1:11" ht="15.75" customHeight="1" x14ac:dyDescent="0.3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</row>
    <row r="33" spans="1:11" ht="15.75" customHeight="1" x14ac:dyDescent="0.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</row>
    <row r="34" spans="1:11" ht="15.75" customHeight="1" x14ac:dyDescent="0.3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</row>
    <row r="35" spans="1:11" ht="15.75" customHeight="1" x14ac:dyDescent="0.3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</row>
    <row r="36" spans="1:11" ht="15.75" customHeight="1" x14ac:dyDescent="0.3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</row>
    <row r="37" spans="1:11" ht="15.75" customHeight="1" x14ac:dyDescent="0.3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</row>
    <row r="38" spans="1:11" ht="15.75" customHeight="1" x14ac:dyDescent="0.3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</row>
    <row r="39" spans="1:11" ht="15.75" customHeight="1" x14ac:dyDescent="0.3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</row>
    <row r="40" spans="1:11" ht="15.75" customHeight="1" x14ac:dyDescent="0.3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</row>
    <row r="41" spans="1:11" ht="15.75" customHeight="1" x14ac:dyDescent="0.3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</row>
    <row r="42" spans="1:11" ht="15.75" customHeight="1" x14ac:dyDescent="0.3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</row>
    <row r="43" spans="1:11" ht="15.75" customHeight="1" x14ac:dyDescent="0.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</row>
    <row r="44" spans="1:11" ht="15.75" customHeight="1" x14ac:dyDescent="0.3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</row>
    <row r="45" spans="1:11" ht="15.75" customHeight="1" x14ac:dyDescent="0.3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</row>
    <row r="46" spans="1:11" ht="15.75" customHeight="1" x14ac:dyDescent="0.3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</row>
    <row r="47" spans="1:11" ht="15.75" customHeight="1" x14ac:dyDescent="0.3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</row>
    <row r="48" spans="1:11" ht="15.75" customHeight="1" x14ac:dyDescent="0.3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</row>
    <row r="49" spans="1:11" ht="15.75" customHeight="1" x14ac:dyDescent="0.3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</row>
    <row r="50" spans="1:11" ht="15.75" customHeight="1" x14ac:dyDescent="0.3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</row>
    <row r="51" spans="1:11" ht="15.75" customHeight="1" x14ac:dyDescent="0.3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</row>
    <row r="52" spans="1:11" ht="15.75" customHeight="1" x14ac:dyDescent="0.3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</row>
    <row r="53" spans="1:11" ht="15.75" customHeight="1" x14ac:dyDescent="0.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</row>
    <row r="54" spans="1:11" ht="15.75" customHeight="1" x14ac:dyDescent="0.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</row>
    <row r="55" spans="1:11" ht="15.75" customHeight="1" x14ac:dyDescent="0.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ht="15.75" customHeight="1" x14ac:dyDescent="0.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</row>
    <row r="57" spans="1:11" ht="15.75" customHeight="1" x14ac:dyDescent="0.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 ht="15.75" customHeight="1" x14ac:dyDescent="0.3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</row>
    <row r="59" spans="1:11" ht="15.75" customHeight="1" x14ac:dyDescent="0.3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</row>
    <row r="60" spans="1:11" ht="15.75" customHeight="1" x14ac:dyDescent="0.3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</row>
    <row r="61" spans="1:11" ht="15.75" customHeight="1" x14ac:dyDescent="0.3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</row>
    <row r="62" spans="1:11" ht="15.75" customHeight="1" x14ac:dyDescent="0.3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</row>
    <row r="63" spans="1:11" ht="15.75" customHeight="1" x14ac:dyDescent="0.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</row>
    <row r="64" spans="1:11" ht="15.75" customHeight="1" x14ac:dyDescent="0.3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</row>
    <row r="65" spans="1:11" ht="15.75" customHeight="1" x14ac:dyDescent="0.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</row>
    <row r="66" spans="1:11" ht="15.75" customHeight="1" x14ac:dyDescent="0.3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</row>
    <row r="67" spans="1:11" ht="15.75" customHeight="1" x14ac:dyDescent="0.3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</row>
    <row r="68" spans="1:11" ht="15.75" customHeight="1" x14ac:dyDescent="0.3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</row>
    <row r="69" spans="1:11" ht="15.75" customHeight="1" x14ac:dyDescent="0.3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</row>
    <row r="70" spans="1:11" ht="15.75" customHeight="1" x14ac:dyDescent="0.3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</row>
    <row r="71" spans="1:11" ht="15.75" customHeight="1" x14ac:dyDescent="0.3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</row>
    <row r="72" spans="1:11" ht="15.75" customHeight="1" x14ac:dyDescent="0.3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</row>
    <row r="73" spans="1:11" ht="15.75" customHeight="1" x14ac:dyDescent="0.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</row>
    <row r="74" spans="1:11" ht="15.75" customHeight="1" x14ac:dyDescent="0.3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</row>
    <row r="75" spans="1:11" ht="15.75" customHeight="1" x14ac:dyDescent="0.3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</row>
    <row r="76" spans="1:11" ht="15.75" customHeight="1" x14ac:dyDescent="0.3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</row>
    <row r="77" spans="1:11" ht="15.75" customHeight="1" x14ac:dyDescent="0.3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</row>
    <row r="78" spans="1:11" ht="15.75" customHeight="1" x14ac:dyDescent="0.3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</row>
    <row r="79" spans="1:11" ht="15.75" customHeight="1" x14ac:dyDescent="0.3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</row>
    <row r="80" spans="1:11" ht="15.75" customHeight="1" x14ac:dyDescent="0.3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</row>
    <row r="81" spans="1:11" ht="15.75" customHeight="1" x14ac:dyDescent="0.3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</row>
    <row r="82" spans="1:11" ht="15.75" customHeight="1" x14ac:dyDescent="0.3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</row>
    <row r="83" spans="1:11" ht="15.75" customHeight="1" x14ac:dyDescent="0.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</row>
    <row r="84" spans="1:11" ht="15.75" customHeight="1" x14ac:dyDescent="0.3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</row>
    <row r="85" spans="1:11" ht="15.75" customHeight="1" x14ac:dyDescent="0.3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</row>
    <row r="86" spans="1:11" ht="15.75" customHeight="1" x14ac:dyDescent="0.3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</row>
    <row r="87" spans="1:11" ht="15.75" customHeight="1" x14ac:dyDescent="0.3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</row>
    <row r="88" spans="1:11" ht="15.75" customHeight="1" x14ac:dyDescent="0.3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</row>
    <row r="89" spans="1:11" ht="15.75" customHeight="1" x14ac:dyDescent="0.3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</row>
    <row r="90" spans="1:11" ht="15.75" customHeight="1" x14ac:dyDescent="0.3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</row>
    <row r="91" spans="1:11" ht="15.75" customHeight="1" x14ac:dyDescent="0.3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</row>
    <row r="92" spans="1:11" ht="15.75" customHeight="1" x14ac:dyDescent="0.3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</row>
    <row r="93" spans="1:11" ht="15.75" customHeight="1" x14ac:dyDescent="0.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</row>
    <row r="94" spans="1:11" ht="15.75" customHeight="1" x14ac:dyDescent="0.3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</row>
    <row r="95" spans="1:11" ht="15.75" customHeight="1" x14ac:dyDescent="0.3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</row>
    <row r="96" spans="1:11" ht="15.75" customHeight="1" x14ac:dyDescent="0.3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</row>
    <row r="97" spans="1:11" ht="15.75" customHeight="1" x14ac:dyDescent="0.3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</row>
    <row r="98" spans="1:11" ht="15.75" customHeight="1" x14ac:dyDescent="0.3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ht="15.75" customHeight="1" x14ac:dyDescent="0.3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</row>
    <row r="100" spans="1:11" ht="15.75" customHeight="1" x14ac:dyDescent="0.3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</row>
    <row r="101" spans="1:11" ht="15.6" x14ac:dyDescent="0.3">
      <c r="A101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54F3D-20CB-4FAD-B07E-020D8BD7F6FE}">
  <dimension ref="A1:K100"/>
  <sheetViews>
    <sheetView workbookViewId="0">
      <selection activeCell="G3" sqref="G3"/>
    </sheetView>
  </sheetViews>
  <sheetFormatPr defaultColWidth="14" defaultRowHeight="14.4" x14ac:dyDescent="0.3"/>
  <cols>
    <col min="1" max="1" width="26.21875" customWidth="1"/>
    <col min="2" max="2" width="18.21875" customWidth="1"/>
    <col min="3" max="8" width="12.109375" customWidth="1"/>
    <col min="9" max="11" width="11.109375" customWidth="1"/>
  </cols>
  <sheetData>
    <row r="1" spans="1:11" ht="15.75" customHeight="1" x14ac:dyDescent="0.3">
      <c r="A1" s="10" t="s">
        <v>219</v>
      </c>
      <c r="B1" s="10" t="s">
        <v>220</v>
      </c>
      <c r="C1" s="10" t="s">
        <v>221</v>
      </c>
      <c r="D1" s="10" t="s">
        <v>222</v>
      </c>
      <c r="E1" s="10" t="s">
        <v>274</v>
      </c>
      <c r="F1" s="10"/>
      <c r="G1" s="10"/>
      <c r="H1" s="10"/>
      <c r="I1" s="10"/>
      <c r="J1" s="10"/>
      <c r="K1" s="10"/>
    </row>
    <row r="2" spans="1:11" ht="15.75" customHeight="1" x14ac:dyDescent="0.3">
      <c r="A2" s="10" t="s">
        <v>223</v>
      </c>
      <c r="B2" s="66">
        <v>0.5</v>
      </c>
      <c r="C2" s="67" t="s">
        <v>224</v>
      </c>
      <c r="D2" s="68">
        <v>2.5000000000000001E-2</v>
      </c>
      <c r="E2" s="10">
        <f>B2*IS!$E$11</f>
        <v>418005.27000000025</v>
      </c>
      <c r="F2" s="10"/>
      <c r="G2" s="10"/>
      <c r="H2" s="10"/>
      <c r="I2" s="10"/>
      <c r="J2" s="10"/>
      <c r="K2" s="10"/>
    </row>
    <row r="3" spans="1:11" ht="15.75" customHeight="1" x14ac:dyDescent="0.3">
      <c r="A3" s="10" t="s">
        <v>225</v>
      </c>
      <c r="B3" s="66">
        <v>2.5</v>
      </c>
      <c r="C3" s="67" t="s">
        <v>224</v>
      </c>
      <c r="D3" s="68">
        <v>2.5000000000000001E-2</v>
      </c>
      <c r="E3" s="10">
        <f>B3*IS!$E$11</f>
        <v>2090026.3500000013</v>
      </c>
      <c r="F3" s="69" t="s">
        <v>226</v>
      </c>
      <c r="G3" s="70">
        <v>0.02</v>
      </c>
      <c r="H3" s="10"/>
      <c r="I3" s="10"/>
      <c r="J3" s="10"/>
      <c r="K3" s="10"/>
    </row>
    <row r="4" spans="1:11" ht="15.75" customHeight="1" x14ac:dyDescent="0.3">
      <c r="A4" s="10" t="s">
        <v>227</v>
      </c>
      <c r="B4" s="66">
        <v>2</v>
      </c>
      <c r="C4" s="71" t="s">
        <v>228</v>
      </c>
      <c r="D4" s="68">
        <v>0.03</v>
      </c>
      <c r="E4" s="10">
        <f>B4*IS!$E$11</f>
        <v>1672021.080000001</v>
      </c>
      <c r="F4" s="10"/>
      <c r="G4" s="10"/>
      <c r="H4" s="10"/>
      <c r="I4" s="10"/>
      <c r="J4" s="10"/>
      <c r="K4" s="10"/>
    </row>
    <row r="5" spans="1:11" ht="15.75" customHeight="1" x14ac:dyDescent="0.3">
      <c r="A5" s="72" t="s">
        <v>229</v>
      </c>
      <c r="B5" s="73">
        <f>+SUM(B2:B4)</f>
        <v>5</v>
      </c>
      <c r="C5" s="72"/>
      <c r="D5" s="72">
        <f>SUMPRODUCT(D2:D4,E2:E4)</f>
        <v>112861.42290000006</v>
      </c>
      <c r="E5" s="72">
        <f>SUM(E2:E4)</f>
        <v>4180052.7000000025</v>
      </c>
      <c r="F5" s="72"/>
      <c r="G5" s="72"/>
      <c r="H5" s="10"/>
      <c r="I5" s="10"/>
      <c r="J5" s="10"/>
      <c r="K5" s="10"/>
    </row>
    <row r="6" spans="1:11" ht="15.75" customHeight="1" x14ac:dyDescent="0.3">
      <c r="A6" s="74"/>
      <c r="B6" s="10"/>
      <c r="C6" s="10"/>
      <c r="D6" s="10"/>
      <c r="E6" s="10"/>
      <c r="F6" s="10"/>
      <c r="G6" s="10"/>
      <c r="H6" s="10"/>
      <c r="I6" s="10"/>
      <c r="J6" s="10"/>
      <c r="K6" s="10"/>
    </row>
    <row r="7" spans="1:11" ht="16.5" customHeight="1" thickBot="1" x14ac:dyDescent="0.35">
      <c r="A7" s="95" t="s">
        <v>230</v>
      </c>
      <c r="B7" s="95"/>
      <c r="C7" s="95"/>
      <c r="D7" s="95"/>
      <c r="E7" s="95"/>
      <c r="F7" s="95"/>
      <c r="G7" s="95"/>
      <c r="H7" s="95"/>
      <c r="I7" s="10"/>
      <c r="J7" s="10"/>
      <c r="K7" s="10"/>
    </row>
    <row r="8" spans="1:11" ht="15.75" customHeight="1" x14ac:dyDescent="0.3">
      <c r="A8" s="10"/>
      <c r="B8" s="10"/>
      <c r="C8" s="10"/>
      <c r="D8" s="12">
        <v>2024</v>
      </c>
      <c r="E8" s="12">
        <v>2025</v>
      </c>
      <c r="F8" s="12">
        <v>2026</v>
      </c>
      <c r="G8" s="12">
        <v>2027</v>
      </c>
      <c r="H8" s="12">
        <v>2028</v>
      </c>
      <c r="I8" s="10"/>
      <c r="J8" s="10"/>
      <c r="K8" s="10"/>
    </row>
    <row r="9" spans="1:11" ht="15.75" customHeight="1" x14ac:dyDescent="0.3">
      <c r="A9" s="12" t="s">
        <v>231</v>
      </c>
      <c r="B9" s="10"/>
      <c r="C9" s="10"/>
      <c r="D9" s="12"/>
      <c r="E9" s="12"/>
      <c r="F9" s="12"/>
      <c r="G9" s="12"/>
      <c r="H9" s="12"/>
      <c r="I9" s="10"/>
      <c r="J9" s="10"/>
      <c r="K9" s="10"/>
    </row>
    <row r="10" spans="1:11" ht="15.75" customHeight="1" x14ac:dyDescent="0.3">
      <c r="A10" s="10" t="s">
        <v>232</v>
      </c>
      <c r="B10" s="10" t="s">
        <v>235</v>
      </c>
      <c r="C10" s="10" t="s">
        <v>277</v>
      </c>
      <c r="D10" s="10">
        <f>E2</f>
        <v>418005.27000000025</v>
      </c>
      <c r="E10" s="10">
        <f>D13</f>
        <v>149292.70754514047</v>
      </c>
      <c r="F10" s="10">
        <f t="shared" ref="F10:H10" si="0">E13</f>
        <v>0</v>
      </c>
      <c r="G10" s="10">
        <f t="shared" si="0"/>
        <v>0</v>
      </c>
      <c r="H10" s="10">
        <f t="shared" si="0"/>
        <v>0</v>
      </c>
      <c r="I10" s="10"/>
      <c r="J10" s="10"/>
      <c r="K10" s="10"/>
    </row>
    <row r="11" spans="1:11" ht="15.75" customHeight="1" x14ac:dyDescent="0.3">
      <c r="A11" s="10" t="s">
        <v>233</v>
      </c>
      <c r="B11" s="10"/>
      <c r="C11" s="34">
        <v>0</v>
      </c>
      <c r="D11" s="10">
        <f>$C$11*D10</f>
        <v>0</v>
      </c>
      <c r="E11" s="10">
        <f t="shared" ref="E11:H11" si="1">$C$11*E10</f>
        <v>0</v>
      </c>
      <c r="F11" s="10">
        <f t="shared" si="1"/>
        <v>0</v>
      </c>
      <c r="G11" s="10">
        <f t="shared" si="1"/>
        <v>0</v>
      </c>
      <c r="H11" s="10">
        <f t="shared" si="1"/>
        <v>0</v>
      </c>
      <c r="I11" s="10"/>
      <c r="J11" s="10"/>
      <c r="K11" s="10"/>
    </row>
    <row r="12" spans="1:11" ht="15.75" customHeight="1" x14ac:dyDescent="0.3">
      <c r="A12" s="10" t="s">
        <v>234</v>
      </c>
      <c r="B12" s="69" t="s">
        <v>235</v>
      </c>
      <c r="C12" s="70">
        <v>1</v>
      </c>
      <c r="D12" s="10">
        <f>IF($C$10="ON",MIN(D10-D11,CFS!D12)*SS!$C$12)</f>
        <v>268712.56245485978</v>
      </c>
      <c r="E12" s="10">
        <f>IF($C$10="ON",MIN(E10-E11,CFS!E12)*SS!$C$12)</f>
        <v>149292.70754514047</v>
      </c>
      <c r="F12" s="10">
        <f>IF($C$10="ON",MIN(F10-F11,CFS!F12)*SS!$C$12)</f>
        <v>0</v>
      </c>
      <c r="G12" s="10">
        <f>IF($C$10="ON",MIN(G10-G11,CFS!G12)*SS!$C$12)</f>
        <v>0</v>
      </c>
      <c r="H12" s="10">
        <f>IF($C$10="ON",MIN(H10-H11,CFS!H12)*SS!$C$12)</f>
        <v>0</v>
      </c>
      <c r="I12" s="10"/>
      <c r="J12" s="10"/>
      <c r="K12" s="10"/>
    </row>
    <row r="13" spans="1:11" ht="15.75" customHeight="1" x14ac:dyDescent="0.3">
      <c r="A13" s="10" t="s">
        <v>236</v>
      </c>
      <c r="B13" s="10"/>
      <c r="C13" s="10"/>
      <c r="D13" s="10">
        <f>D10-D11-D12</f>
        <v>149292.70754514047</v>
      </c>
      <c r="E13" s="10">
        <f t="shared" ref="E13:H13" si="2">E10-E11-E12</f>
        <v>0</v>
      </c>
      <c r="F13" s="10">
        <f t="shared" si="2"/>
        <v>0</v>
      </c>
      <c r="G13" s="10">
        <f t="shared" si="2"/>
        <v>0</v>
      </c>
      <c r="H13" s="10">
        <f t="shared" si="2"/>
        <v>0</v>
      </c>
      <c r="I13" s="10"/>
      <c r="J13" s="10"/>
      <c r="K13" s="10"/>
    </row>
    <row r="14" spans="1:11" ht="15.75" customHeight="1" x14ac:dyDescent="0.3">
      <c r="A14" s="10" t="s">
        <v>237</v>
      </c>
      <c r="B14" s="10"/>
      <c r="C14" s="10"/>
      <c r="D14" s="91">
        <f>CFS!D12-SS!D12</f>
        <v>0</v>
      </c>
      <c r="E14" s="91">
        <f>CFS!E12-SS!E12</f>
        <v>215866.61255286989</v>
      </c>
      <c r="F14" s="91">
        <f>CFS!F12-SS!F12</f>
        <v>493645.19066461571</v>
      </c>
      <c r="G14" s="91">
        <f>CFS!G12-SS!G12</f>
        <v>622892.97769018996</v>
      </c>
      <c r="H14" s="91">
        <f>CFS!H12-SS!H12</f>
        <v>62201.6794783636</v>
      </c>
      <c r="I14" s="10"/>
      <c r="J14" s="10"/>
      <c r="K14" s="10"/>
    </row>
    <row r="15" spans="1:11" ht="15.75" customHeight="1" x14ac:dyDescent="0.3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pans="1:11" ht="15.75" customHeight="1" x14ac:dyDescent="0.3">
      <c r="A16" s="10" t="s">
        <v>221</v>
      </c>
      <c r="B16" s="34">
        <f>G3+0.05</f>
        <v>7.0000000000000007E-2</v>
      </c>
      <c r="C16" s="10"/>
      <c r="D16" s="91">
        <f>D10*$B$16</f>
        <v>29260.368900000019</v>
      </c>
      <c r="E16" s="91">
        <f t="shared" ref="E16:H16" si="3">E10*$B$16</f>
        <v>10450.489528159833</v>
      </c>
      <c r="F16" s="91">
        <f t="shared" si="3"/>
        <v>0</v>
      </c>
      <c r="G16" s="91">
        <f t="shared" si="3"/>
        <v>0</v>
      </c>
      <c r="H16" s="91">
        <f t="shared" si="3"/>
        <v>0</v>
      </c>
      <c r="I16" s="10"/>
      <c r="J16" s="10"/>
      <c r="K16" s="10"/>
    </row>
    <row r="17" spans="1:11" ht="15.75" customHeight="1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spans="1:11" ht="15.75" customHeight="1" x14ac:dyDescent="0.3">
      <c r="A18" s="12" t="s">
        <v>238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</row>
    <row r="19" spans="1:11" ht="15.75" customHeight="1" x14ac:dyDescent="0.3">
      <c r="A19" s="10" t="s">
        <v>232</v>
      </c>
      <c r="B19" s="34">
        <v>0.01</v>
      </c>
      <c r="C19" s="10"/>
      <c r="D19" s="23">
        <f>E3</f>
        <v>2090026.3500000013</v>
      </c>
      <c r="E19" s="23">
        <f>D22</f>
        <v>2069126.0865000011</v>
      </c>
      <c r="F19" s="23">
        <f t="shared" ref="F19:H19" si="4">E22</f>
        <v>1832568.2130821312</v>
      </c>
      <c r="G19" s="23">
        <f t="shared" si="4"/>
        <v>1320597.3402866942</v>
      </c>
      <c r="H19" s="23">
        <f t="shared" si="4"/>
        <v>684498.38919363741</v>
      </c>
      <c r="I19" s="10"/>
      <c r="J19" s="10"/>
      <c r="K19" s="10"/>
    </row>
    <row r="20" spans="1:11" ht="15.75" customHeight="1" x14ac:dyDescent="0.3">
      <c r="A20" s="10" t="s">
        <v>233</v>
      </c>
      <c r="B20" s="10"/>
      <c r="C20" s="10"/>
      <c r="D20" s="23">
        <f>$B$19*D19</f>
        <v>20900.263500000012</v>
      </c>
      <c r="E20" s="23">
        <f t="shared" ref="E20:H20" si="5">$B$19*E19</f>
        <v>20691.260865000011</v>
      </c>
      <c r="F20" s="23">
        <f t="shared" si="5"/>
        <v>18325.682130821311</v>
      </c>
      <c r="G20" s="23">
        <f t="shared" si="5"/>
        <v>13205.973402866943</v>
      </c>
      <c r="H20" s="23">
        <f t="shared" si="5"/>
        <v>6844.9838919363747</v>
      </c>
      <c r="I20" s="10"/>
      <c r="J20" s="10"/>
      <c r="K20" s="10"/>
    </row>
    <row r="21" spans="1:11" ht="15.75" customHeight="1" x14ac:dyDescent="0.3">
      <c r="A21" s="10" t="s">
        <v>234</v>
      </c>
      <c r="B21" s="69" t="s">
        <v>235</v>
      </c>
      <c r="C21" s="70">
        <v>1</v>
      </c>
      <c r="D21" s="23">
        <f>MIN(D19-D20,D14)*$C$21</f>
        <v>0</v>
      </c>
      <c r="E21" s="23">
        <f t="shared" ref="E21:H21" si="6">MIN(E19-E20,E14)*$C$21</f>
        <v>215866.61255286989</v>
      </c>
      <c r="F21" s="23">
        <f t="shared" si="6"/>
        <v>493645.19066461571</v>
      </c>
      <c r="G21" s="23">
        <f t="shared" si="6"/>
        <v>622892.97769018996</v>
      </c>
      <c r="H21" s="23">
        <f t="shared" si="6"/>
        <v>62201.6794783636</v>
      </c>
      <c r="I21" s="10"/>
      <c r="J21" s="10"/>
      <c r="K21" s="10"/>
    </row>
    <row r="22" spans="1:11" ht="15.75" customHeight="1" x14ac:dyDescent="0.3">
      <c r="A22" s="10" t="s">
        <v>236</v>
      </c>
      <c r="B22" s="10"/>
      <c r="C22" s="10"/>
      <c r="D22" s="23">
        <f>D19-D20-D21</f>
        <v>2069126.0865000011</v>
      </c>
      <c r="E22" s="23">
        <f t="shared" ref="E22:H22" si="7">E19-E20-E21</f>
        <v>1832568.2130821312</v>
      </c>
      <c r="F22" s="23">
        <f t="shared" si="7"/>
        <v>1320597.3402866942</v>
      </c>
      <c r="G22" s="23">
        <f t="shared" si="7"/>
        <v>684498.38919363741</v>
      </c>
      <c r="H22" s="23">
        <f t="shared" si="7"/>
        <v>615451.72582333745</v>
      </c>
      <c r="I22" s="10"/>
      <c r="J22" s="10"/>
      <c r="K22" s="10"/>
    </row>
    <row r="23" spans="1:11" ht="15.75" customHeight="1" x14ac:dyDescent="0.3">
      <c r="A23" s="10" t="s">
        <v>237</v>
      </c>
      <c r="B23" s="10"/>
      <c r="C23" s="10"/>
      <c r="D23" s="23">
        <f>D14-D21</f>
        <v>0</v>
      </c>
      <c r="E23" s="23">
        <f t="shared" ref="E23:H23" si="8">E14-E21</f>
        <v>0</v>
      </c>
      <c r="F23" s="23">
        <f t="shared" si="8"/>
        <v>0</v>
      </c>
      <c r="G23" s="23">
        <f t="shared" si="8"/>
        <v>0</v>
      </c>
      <c r="H23" s="23">
        <f t="shared" si="8"/>
        <v>0</v>
      </c>
      <c r="I23" s="10"/>
      <c r="J23" s="10"/>
      <c r="K23" s="10"/>
    </row>
    <row r="24" spans="1:11" ht="15.75" customHeight="1" x14ac:dyDescent="0.3">
      <c r="A24" s="10"/>
      <c r="B24" s="10"/>
      <c r="C24" s="10"/>
      <c r="D24" s="23"/>
      <c r="E24" s="23"/>
      <c r="F24" s="23"/>
      <c r="G24" s="23"/>
      <c r="H24" s="23"/>
      <c r="I24" s="10"/>
      <c r="J24" s="10"/>
      <c r="K24" s="10"/>
    </row>
    <row r="25" spans="1:11" ht="15.75" customHeight="1" x14ac:dyDescent="0.3">
      <c r="A25" s="10" t="s">
        <v>221</v>
      </c>
      <c r="B25" s="34">
        <f>G3+0.05</f>
        <v>7.0000000000000007E-2</v>
      </c>
      <c r="C25" s="10"/>
      <c r="D25" s="23">
        <f>$B$25*D19</f>
        <v>146301.84450000009</v>
      </c>
      <c r="E25" s="23">
        <f t="shared" ref="E25:H25" si="9">$B$25*E19</f>
        <v>144838.8260550001</v>
      </c>
      <c r="F25" s="23">
        <f t="shared" si="9"/>
        <v>128279.77491574919</v>
      </c>
      <c r="G25" s="23">
        <f t="shared" si="9"/>
        <v>92441.813820068608</v>
      </c>
      <c r="H25" s="23">
        <f t="shared" si="9"/>
        <v>47914.887243554622</v>
      </c>
      <c r="I25" s="10"/>
      <c r="J25" s="10"/>
      <c r="K25" s="10"/>
    </row>
    <row r="26" spans="1:11" ht="15.75" customHeight="1" x14ac:dyDescent="0.3">
      <c r="A26" s="10"/>
      <c r="B26" s="34"/>
      <c r="C26" s="10"/>
      <c r="D26" s="10"/>
      <c r="E26" s="10"/>
      <c r="F26" s="10"/>
      <c r="G26" s="10"/>
      <c r="H26" s="10"/>
      <c r="I26" s="10"/>
      <c r="J26" s="10"/>
      <c r="K26" s="10"/>
    </row>
    <row r="27" spans="1:11" ht="15.75" customHeight="1" x14ac:dyDescent="0.3">
      <c r="A27" s="12" t="s">
        <v>227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</row>
    <row r="28" spans="1:11" ht="15.75" customHeight="1" x14ac:dyDescent="0.3">
      <c r="A28" s="75" t="s">
        <v>232</v>
      </c>
      <c r="B28" s="75"/>
      <c r="C28" s="75"/>
      <c r="D28" s="23">
        <f>E4</f>
        <v>1672021.080000001</v>
      </c>
      <c r="E28" s="23">
        <f>D30</f>
        <v>1755622.134000001</v>
      </c>
      <c r="F28" s="23">
        <f t="shared" ref="F28:H28" si="10">E30</f>
        <v>1843403.2407000011</v>
      </c>
      <c r="G28" s="23">
        <f t="shared" si="10"/>
        <v>1935573.4027350012</v>
      </c>
      <c r="H28" s="23">
        <f t="shared" si="10"/>
        <v>2032352.0728717512</v>
      </c>
      <c r="I28" s="10"/>
      <c r="J28" s="10"/>
      <c r="K28" s="10"/>
    </row>
    <row r="29" spans="1:11" ht="15.75" customHeight="1" x14ac:dyDescent="0.3">
      <c r="A29" s="75" t="s">
        <v>239</v>
      </c>
      <c r="B29" s="76">
        <v>0.05</v>
      </c>
      <c r="C29" s="75"/>
      <c r="D29" s="23">
        <f>$B$29*D28</f>
        <v>83601.054000000062</v>
      </c>
      <c r="E29" s="23">
        <f t="shared" ref="E29:H29" si="11">$B$29*E28</f>
        <v>87781.106700000062</v>
      </c>
      <c r="F29" s="23">
        <f t="shared" si="11"/>
        <v>92170.162035000059</v>
      </c>
      <c r="G29" s="23">
        <f t="shared" si="11"/>
        <v>96778.670136750065</v>
      </c>
      <c r="H29" s="23">
        <f t="shared" si="11"/>
        <v>101617.60364358756</v>
      </c>
      <c r="I29" s="10"/>
      <c r="J29" s="10"/>
      <c r="K29" s="10"/>
    </row>
    <row r="30" spans="1:11" ht="15.75" customHeight="1" x14ac:dyDescent="0.3">
      <c r="A30" s="75" t="s">
        <v>236</v>
      </c>
      <c r="B30" s="75"/>
      <c r="C30" s="75"/>
      <c r="D30" s="23">
        <f>D28+D29</f>
        <v>1755622.134000001</v>
      </c>
      <c r="E30" s="23">
        <f t="shared" ref="E30:H30" si="12">E28+E29</f>
        <v>1843403.2407000011</v>
      </c>
      <c r="F30" s="23">
        <f t="shared" si="12"/>
        <v>1935573.4027350012</v>
      </c>
      <c r="G30" s="23">
        <f t="shared" si="12"/>
        <v>2032352.0728717512</v>
      </c>
      <c r="H30" s="23">
        <f t="shared" si="12"/>
        <v>2133969.6765153389</v>
      </c>
      <c r="I30" s="10"/>
      <c r="J30" s="10"/>
      <c r="K30" s="10"/>
    </row>
    <row r="31" spans="1:11" ht="15.75" customHeight="1" x14ac:dyDescent="0.3">
      <c r="A31" s="75"/>
      <c r="B31" s="75"/>
      <c r="C31" s="75"/>
      <c r="D31" s="23"/>
      <c r="E31" s="23"/>
      <c r="F31" s="23"/>
      <c r="G31" s="23"/>
      <c r="H31" s="23"/>
      <c r="I31" s="10"/>
      <c r="J31" s="10"/>
      <c r="K31" s="10"/>
    </row>
    <row r="32" spans="1:11" ht="15.75" customHeight="1" x14ac:dyDescent="0.3">
      <c r="A32" s="75" t="s">
        <v>221</v>
      </c>
      <c r="B32" s="76">
        <v>0.1</v>
      </c>
      <c r="C32" s="75"/>
      <c r="D32" s="23">
        <f>$B$32*D28</f>
        <v>167202.10800000012</v>
      </c>
      <c r="E32" s="23">
        <f t="shared" ref="E32:H32" si="13">$B$32*E28</f>
        <v>175562.21340000012</v>
      </c>
      <c r="F32" s="23">
        <f t="shared" si="13"/>
        <v>184340.32407000012</v>
      </c>
      <c r="G32" s="23">
        <f t="shared" si="13"/>
        <v>193557.34027350013</v>
      </c>
      <c r="H32" s="23">
        <f t="shared" si="13"/>
        <v>203235.20728717512</v>
      </c>
      <c r="I32" s="10"/>
      <c r="J32" s="10"/>
      <c r="K32" s="10"/>
    </row>
    <row r="33" spans="1:11" ht="15.75" customHeight="1" x14ac:dyDescent="0.3">
      <c r="A33" s="10"/>
      <c r="B33" s="10"/>
      <c r="C33" s="10"/>
      <c r="D33" s="23"/>
      <c r="E33" s="23"/>
      <c r="F33" s="23"/>
      <c r="G33" s="23"/>
      <c r="H33" s="23"/>
      <c r="I33" s="10"/>
      <c r="J33" s="10"/>
      <c r="K33" s="10"/>
    </row>
    <row r="34" spans="1:11" ht="15.75" customHeight="1" x14ac:dyDescent="0.3">
      <c r="A34" s="10"/>
      <c r="B34" s="10"/>
      <c r="C34" s="10"/>
      <c r="D34" s="23"/>
      <c r="E34" s="23"/>
      <c r="F34" s="23"/>
      <c r="G34" s="23"/>
      <c r="H34" s="23"/>
      <c r="I34" s="10"/>
      <c r="J34" s="10"/>
      <c r="K34" s="10"/>
    </row>
    <row r="35" spans="1:11" ht="15.75" customHeight="1" x14ac:dyDescent="0.3">
      <c r="A35" s="10" t="s">
        <v>240</v>
      </c>
      <c r="B35" s="10"/>
      <c r="C35" s="10"/>
      <c r="D35" s="23">
        <f>D13+D22+D30</f>
        <v>3974040.9280451424</v>
      </c>
      <c r="E35" s="23">
        <f t="shared" ref="E35:H35" si="14">E13+E22+E30</f>
        <v>3675971.4537821324</v>
      </c>
      <c r="F35" s="23">
        <f t="shared" si="14"/>
        <v>3256170.7430216954</v>
      </c>
      <c r="G35" s="23">
        <f t="shared" si="14"/>
        <v>2716850.4620653884</v>
      </c>
      <c r="H35" s="23">
        <f t="shared" si="14"/>
        <v>2749421.4023386762</v>
      </c>
      <c r="I35" s="10"/>
      <c r="J35" s="10"/>
      <c r="K35" s="10"/>
    </row>
    <row r="36" spans="1:11" ht="15.75" customHeight="1" x14ac:dyDescent="0.3">
      <c r="A36" s="10"/>
      <c r="B36" s="10"/>
      <c r="C36" s="10"/>
      <c r="D36" s="23"/>
      <c r="E36" s="23"/>
      <c r="F36" s="23"/>
      <c r="G36" s="23"/>
      <c r="H36" s="23"/>
      <c r="I36" s="10"/>
      <c r="J36" s="10"/>
      <c r="K36" s="10"/>
    </row>
    <row r="37" spans="1:11" ht="15.75" customHeight="1" x14ac:dyDescent="0.3">
      <c r="A37" s="10"/>
      <c r="B37" s="10"/>
      <c r="C37" s="10"/>
      <c r="D37" s="23"/>
      <c r="E37" s="23"/>
      <c r="F37" s="23"/>
      <c r="G37" s="23"/>
      <c r="H37" s="23"/>
      <c r="I37" s="10"/>
      <c r="J37" s="10"/>
      <c r="K37" s="10"/>
    </row>
    <row r="38" spans="1:11" ht="16.5" customHeight="1" thickBot="1" x14ac:dyDescent="0.35">
      <c r="A38" s="95" t="s">
        <v>241</v>
      </c>
      <c r="B38" s="96"/>
      <c r="C38" s="96"/>
      <c r="D38" s="97"/>
      <c r="E38" s="97"/>
      <c r="F38" s="97"/>
      <c r="G38" s="97"/>
      <c r="H38" s="97"/>
      <c r="I38" s="10"/>
      <c r="J38" s="10"/>
      <c r="K38" s="10"/>
    </row>
    <row r="39" spans="1:11" ht="15.75" customHeight="1" x14ac:dyDescent="0.3">
      <c r="A39" s="10" t="s">
        <v>242</v>
      </c>
      <c r="B39" s="10"/>
      <c r="C39" s="10"/>
      <c r="D39" s="23">
        <f>BS!C11</f>
        <v>2378045.5200000005</v>
      </c>
      <c r="E39" s="23">
        <f>D44</f>
        <v>2457729.3998450004</v>
      </c>
      <c r="F39" s="23">
        <f t="shared" ref="F39:H39" si="15">E44</f>
        <v>2549365.8616667502</v>
      </c>
      <c r="G39" s="23">
        <f t="shared" si="15"/>
        <v>2654747.7927617626</v>
      </c>
      <c r="H39" s="23">
        <f t="shared" si="15"/>
        <v>2765398.8204115257</v>
      </c>
      <c r="I39" s="10"/>
      <c r="J39" s="10"/>
      <c r="K39" s="10"/>
    </row>
    <row r="40" spans="1:11" ht="15.75" customHeight="1" x14ac:dyDescent="0.3">
      <c r="A40" s="10" t="s">
        <v>243</v>
      </c>
      <c r="B40" s="10"/>
      <c r="C40" s="10"/>
      <c r="D40" s="23">
        <f>D41*IS!G5</f>
        <v>398419.399225</v>
      </c>
      <c r="E40" s="23">
        <f>E41*IS!H5</f>
        <v>458182.30910874996</v>
      </c>
      <c r="F40" s="23">
        <f>F41*IS!I5</f>
        <v>526909.65547506243</v>
      </c>
      <c r="G40" s="23">
        <f>G41*IS!J5</f>
        <v>553255.13824881555</v>
      </c>
      <c r="H40" s="23">
        <f>H41*IS!K5</f>
        <v>580917.89516125643</v>
      </c>
      <c r="I40" s="10"/>
      <c r="J40" s="10"/>
      <c r="K40" s="10"/>
    </row>
    <row r="41" spans="1:11" ht="15.75" customHeight="1" x14ac:dyDescent="0.3">
      <c r="A41" s="10" t="s">
        <v>244</v>
      </c>
      <c r="B41" s="10"/>
      <c r="C41" s="10"/>
      <c r="D41" s="32">
        <v>0.05</v>
      </c>
      <c r="E41" s="32">
        <v>0.05</v>
      </c>
      <c r="F41" s="32">
        <v>0.05</v>
      </c>
      <c r="G41" s="32">
        <v>0.05</v>
      </c>
      <c r="H41" s="32">
        <v>0.05</v>
      </c>
      <c r="I41" s="10"/>
      <c r="J41" s="10"/>
      <c r="K41" s="10"/>
    </row>
    <row r="42" spans="1:11" ht="15.75" customHeight="1" x14ac:dyDescent="0.3">
      <c r="A42" s="10" t="s">
        <v>245</v>
      </c>
      <c r="B42" s="10"/>
      <c r="C42" s="10"/>
      <c r="D42" s="23">
        <f>D43*D40</f>
        <v>318735.51938000001</v>
      </c>
      <c r="E42" s="23">
        <f t="shared" ref="E42:H42" si="16">E43*E40</f>
        <v>366545.84728699998</v>
      </c>
      <c r="F42" s="23">
        <f t="shared" si="16"/>
        <v>421527.72438004997</v>
      </c>
      <c r="G42" s="23">
        <f t="shared" si="16"/>
        <v>442604.11059905245</v>
      </c>
      <c r="H42" s="23">
        <f t="shared" si="16"/>
        <v>464734.31612900516</v>
      </c>
      <c r="I42" s="10"/>
      <c r="J42" s="10"/>
      <c r="K42" s="10"/>
    </row>
    <row r="43" spans="1:11" ht="15.75" customHeight="1" x14ac:dyDescent="0.3">
      <c r="A43" s="10" t="s">
        <v>246</v>
      </c>
      <c r="B43" s="10"/>
      <c r="C43" s="10"/>
      <c r="D43" s="32">
        <v>0.8</v>
      </c>
      <c r="E43" s="32">
        <v>0.8</v>
      </c>
      <c r="F43" s="32">
        <v>0.8</v>
      </c>
      <c r="G43" s="32">
        <v>0.8</v>
      </c>
      <c r="H43" s="32">
        <v>0.8</v>
      </c>
      <c r="I43" s="10"/>
      <c r="J43" s="10"/>
      <c r="K43" s="10"/>
    </row>
    <row r="44" spans="1:11" ht="15.75" customHeight="1" x14ac:dyDescent="0.3">
      <c r="A44" s="10" t="s">
        <v>247</v>
      </c>
      <c r="B44" s="10"/>
      <c r="C44" s="10"/>
      <c r="D44" s="23">
        <f>D39+D40-D42</f>
        <v>2457729.3998450004</v>
      </c>
      <c r="E44" s="23">
        <f t="shared" ref="E44:H44" si="17">E39+E40-E42</f>
        <v>2549365.8616667502</v>
      </c>
      <c r="F44" s="23">
        <f t="shared" si="17"/>
        <v>2654747.7927617626</v>
      </c>
      <c r="G44" s="23">
        <f t="shared" si="17"/>
        <v>2765398.8204115257</v>
      </c>
      <c r="H44" s="23">
        <f t="shared" si="17"/>
        <v>2881582.3994437768</v>
      </c>
      <c r="I44" s="10"/>
      <c r="J44" s="10"/>
      <c r="K44" s="10"/>
    </row>
    <row r="45" spans="1:11" ht="15.75" customHeight="1" x14ac:dyDescent="0.3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</row>
    <row r="46" spans="1:11" ht="15.75" customHeight="1" x14ac:dyDescent="0.3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</row>
    <row r="47" spans="1:11" ht="15.75" customHeight="1" x14ac:dyDescent="0.3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</row>
    <row r="48" spans="1:11" ht="15.75" customHeight="1" x14ac:dyDescent="0.3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</row>
    <row r="49" spans="1:11" ht="15.75" customHeight="1" x14ac:dyDescent="0.3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</row>
    <row r="50" spans="1:11" ht="15.75" customHeight="1" x14ac:dyDescent="0.3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</row>
    <row r="51" spans="1:11" ht="15.75" customHeight="1" x14ac:dyDescent="0.3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</row>
    <row r="52" spans="1:11" ht="15.75" customHeight="1" x14ac:dyDescent="0.3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</row>
    <row r="53" spans="1:11" ht="15.75" customHeight="1" x14ac:dyDescent="0.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</row>
    <row r="54" spans="1:11" ht="15.75" customHeight="1" x14ac:dyDescent="0.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</row>
    <row r="55" spans="1:11" ht="15.75" customHeight="1" x14ac:dyDescent="0.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ht="15.75" customHeight="1" x14ac:dyDescent="0.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</row>
    <row r="57" spans="1:11" ht="15.75" customHeight="1" x14ac:dyDescent="0.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 ht="15.75" customHeight="1" x14ac:dyDescent="0.3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</row>
    <row r="59" spans="1:11" ht="15.75" customHeight="1" x14ac:dyDescent="0.3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</row>
    <row r="60" spans="1:11" ht="15.75" customHeight="1" x14ac:dyDescent="0.3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</row>
    <row r="61" spans="1:11" ht="15.75" customHeight="1" x14ac:dyDescent="0.3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</row>
    <row r="62" spans="1:11" ht="15.75" customHeight="1" x14ac:dyDescent="0.3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</row>
    <row r="63" spans="1:11" ht="15.75" customHeight="1" x14ac:dyDescent="0.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</row>
    <row r="64" spans="1:11" ht="15.75" customHeight="1" x14ac:dyDescent="0.3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</row>
    <row r="65" spans="1:11" ht="15.75" customHeight="1" x14ac:dyDescent="0.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</row>
    <row r="66" spans="1:11" ht="15.75" customHeight="1" x14ac:dyDescent="0.3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</row>
    <row r="67" spans="1:11" ht="15.75" customHeight="1" x14ac:dyDescent="0.3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</row>
    <row r="68" spans="1:11" ht="15.75" customHeight="1" x14ac:dyDescent="0.3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</row>
    <row r="69" spans="1:11" ht="15.75" customHeight="1" x14ac:dyDescent="0.3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</row>
    <row r="70" spans="1:11" ht="15.75" customHeight="1" x14ac:dyDescent="0.3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</row>
    <row r="71" spans="1:11" ht="15.75" customHeight="1" x14ac:dyDescent="0.3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</row>
    <row r="72" spans="1:11" ht="15.75" customHeight="1" x14ac:dyDescent="0.3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</row>
    <row r="73" spans="1:11" ht="15.75" customHeight="1" x14ac:dyDescent="0.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</row>
    <row r="74" spans="1:11" ht="15.75" customHeight="1" x14ac:dyDescent="0.3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</row>
    <row r="75" spans="1:11" ht="15.75" customHeight="1" x14ac:dyDescent="0.3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</row>
    <row r="76" spans="1:11" ht="15.75" customHeight="1" x14ac:dyDescent="0.3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</row>
    <row r="77" spans="1:11" ht="15.75" customHeight="1" x14ac:dyDescent="0.3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</row>
    <row r="78" spans="1:11" ht="15.75" customHeight="1" x14ac:dyDescent="0.3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</row>
    <row r="79" spans="1:11" ht="15.75" customHeight="1" x14ac:dyDescent="0.3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</row>
    <row r="80" spans="1:11" ht="15.75" customHeight="1" x14ac:dyDescent="0.3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</row>
    <row r="81" spans="1:11" ht="15.75" customHeight="1" x14ac:dyDescent="0.3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</row>
    <row r="82" spans="1:11" ht="15.75" customHeight="1" x14ac:dyDescent="0.3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</row>
    <row r="83" spans="1:11" ht="15.75" customHeight="1" x14ac:dyDescent="0.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</row>
    <row r="84" spans="1:11" ht="15.75" customHeight="1" x14ac:dyDescent="0.3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</row>
    <row r="85" spans="1:11" ht="15.75" customHeight="1" x14ac:dyDescent="0.3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</row>
    <row r="86" spans="1:11" ht="15.75" customHeight="1" x14ac:dyDescent="0.3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</row>
    <row r="87" spans="1:11" ht="15.75" customHeight="1" x14ac:dyDescent="0.3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</row>
    <row r="88" spans="1:11" ht="15.75" customHeight="1" x14ac:dyDescent="0.3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</row>
    <row r="89" spans="1:11" ht="15.75" customHeight="1" x14ac:dyDescent="0.3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</row>
    <row r="90" spans="1:11" ht="15.75" customHeight="1" x14ac:dyDescent="0.3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</row>
    <row r="91" spans="1:11" ht="15.75" customHeight="1" x14ac:dyDescent="0.3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</row>
    <row r="92" spans="1:11" ht="15.75" customHeight="1" x14ac:dyDescent="0.3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</row>
    <row r="93" spans="1:11" ht="15.75" customHeight="1" x14ac:dyDescent="0.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</row>
    <row r="94" spans="1:11" ht="15.75" customHeight="1" x14ac:dyDescent="0.3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</row>
    <row r="95" spans="1:11" ht="15.75" customHeight="1" x14ac:dyDescent="0.3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</row>
    <row r="96" spans="1:11" ht="15.75" customHeight="1" x14ac:dyDescent="0.3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</row>
    <row r="97" spans="1:11" ht="15.75" customHeight="1" x14ac:dyDescent="0.3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</row>
    <row r="98" spans="1:11" ht="15.75" customHeight="1" x14ac:dyDescent="0.3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ht="15.75" customHeight="1" x14ac:dyDescent="0.3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</row>
    <row r="100" spans="1:11" ht="15.75" customHeight="1" x14ac:dyDescent="0.3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</row>
  </sheetData>
  <dataValidations count="1">
    <dataValidation type="whole" allowBlank="1" showInputMessage="1" showErrorMessage="1" sqref="C12" xr:uid="{8559A925-EF5E-4A83-A758-056E50F66C7F}">
      <formula1>0</formula1>
      <formula2>1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4BD20-93D7-4856-B0BA-099E598998C7}">
  <dimension ref="A1:M101"/>
  <sheetViews>
    <sheetView workbookViewId="0">
      <selection activeCell="G12" sqref="G12"/>
    </sheetView>
  </sheetViews>
  <sheetFormatPr defaultColWidth="14" defaultRowHeight="14.4" x14ac:dyDescent="0.3"/>
  <cols>
    <col min="1" max="3" width="12.109375" customWidth="1"/>
    <col min="4" max="4" width="16.109375" customWidth="1"/>
    <col min="5" max="5" width="16" customWidth="1"/>
    <col min="6" max="6" width="12.109375" customWidth="1"/>
    <col min="7" max="7" width="16.77734375" customWidth="1"/>
    <col min="8" max="8" width="16.6640625" customWidth="1"/>
    <col min="9" max="9" width="6.6640625" customWidth="1"/>
    <col min="10" max="13" width="12.109375" customWidth="1"/>
  </cols>
  <sheetData>
    <row r="1" spans="1:13" ht="16.5" customHeight="1" thickBot="1" x14ac:dyDescent="0.35">
      <c r="A1" s="95" t="s">
        <v>248</v>
      </c>
      <c r="B1" s="95"/>
      <c r="C1" s="12"/>
      <c r="D1" s="95" t="s">
        <v>249</v>
      </c>
      <c r="E1" s="95"/>
      <c r="F1" s="12"/>
      <c r="G1" s="95" t="s">
        <v>250</v>
      </c>
      <c r="H1" s="95"/>
      <c r="I1" s="12"/>
      <c r="J1" s="12"/>
      <c r="K1" s="95" t="s">
        <v>251</v>
      </c>
      <c r="L1" s="95"/>
      <c r="M1" s="95"/>
    </row>
    <row r="2" spans="1:13" ht="15.75" customHeight="1" x14ac:dyDescent="0.3">
      <c r="A2" s="10" t="s">
        <v>252</v>
      </c>
      <c r="B2" s="77">
        <v>9</v>
      </c>
      <c r="C2" s="10"/>
      <c r="D2" s="10" t="s">
        <v>238</v>
      </c>
      <c r="E2" s="10">
        <f>SS!E3</f>
        <v>2090026.3500000013</v>
      </c>
      <c r="F2" s="10"/>
      <c r="G2" s="10" t="s">
        <v>253</v>
      </c>
      <c r="H2" s="10">
        <f>B7</f>
        <v>6258638.8400000054</v>
      </c>
      <c r="I2" s="10"/>
      <c r="J2" s="10"/>
      <c r="K2" s="10" t="s">
        <v>253</v>
      </c>
      <c r="L2" s="10"/>
      <c r="M2" s="10">
        <f>H2</f>
        <v>6258638.8400000054</v>
      </c>
    </row>
    <row r="3" spans="1:13" ht="15.75" customHeight="1" x14ac:dyDescent="0.3">
      <c r="A3" s="10" t="s">
        <v>183</v>
      </c>
      <c r="B3" s="78">
        <f>IS!E11</f>
        <v>836010.5400000005</v>
      </c>
      <c r="C3" s="10"/>
      <c r="D3" s="10" t="s">
        <v>254</v>
      </c>
      <c r="E3" s="10">
        <f>SS!E4</f>
        <v>1672021.080000001</v>
      </c>
      <c r="F3" s="10"/>
      <c r="G3" s="10" t="s">
        <v>255</v>
      </c>
      <c r="H3" s="30">
        <v>20</v>
      </c>
      <c r="I3" s="30"/>
      <c r="J3" s="10"/>
      <c r="K3" s="10" t="s">
        <v>256</v>
      </c>
      <c r="L3" s="10"/>
      <c r="M3" s="78">
        <f>-('Balance Sheet'!C46-'Balance Sheet'!C76)</f>
        <v>-3012550.3499999996</v>
      </c>
    </row>
    <row r="4" spans="1:13" ht="15.75" customHeight="1" x14ac:dyDescent="0.3">
      <c r="A4" s="10" t="s">
        <v>257</v>
      </c>
      <c r="B4" s="10">
        <f>B2*B3</f>
        <v>7524094.860000005</v>
      </c>
      <c r="C4" s="10"/>
      <c r="D4" s="10" t="s">
        <v>262</v>
      </c>
      <c r="E4" s="10">
        <f>B5-B10</f>
        <v>26374.98</v>
      </c>
      <c r="F4" s="10"/>
      <c r="G4" s="10" t="s">
        <v>259</v>
      </c>
      <c r="H4" s="23">
        <f>SS!D5</f>
        <v>112861.42290000006</v>
      </c>
      <c r="I4" s="23"/>
      <c r="J4" s="10"/>
      <c r="K4" s="10" t="s">
        <v>260</v>
      </c>
      <c r="L4" s="10"/>
      <c r="M4" s="23">
        <v>20</v>
      </c>
    </row>
    <row r="5" spans="1:13" ht="15.75" customHeight="1" x14ac:dyDescent="0.3">
      <c r="A5" s="10" t="s">
        <v>261</v>
      </c>
      <c r="B5" s="10">
        <f>BS!C5</f>
        <v>26399.98</v>
      </c>
      <c r="C5" s="10"/>
      <c r="D5" s="10" t="s">
        <v>275</v>
      </c>
      <c r="E5" s="23">
        <f>SS!E2</f>
        <v>418005.27000000025</v>
      </c>
      <c r="F5" s="10"/>
      <c r="G5" s="10" t="s">
        <v>263</v>
      </c>
      <c r="H5" s="78">
        <f>-B6</f>
        <v>1291856</v>
      </c>
      <c r="I5" s="78"/>
      <c r="J5" s="10"/>
      <c r="K5" s="10" t="s">
        <v>264</v>
      </c>
      <c r="L5" s="10"/>
      <c r="M5" s="78">
        <f>BS!C13</f>
        <v>120334.12</v>
      </c>
    </row>
    <row r="6" spans="1:13" ht="15.75" customHeight="1" x14ac:dyDescent="0.3">
      <c r="A6" s="10" t="s">
        <v>265</v>
      </c>
      <c r="B6" s="78">
        <f>-BS!C22</f>
        <v>-1291856</v>
      </c>
      <c r="C6" s="10"/>
      <c r="D6" s="10" t="s">
        <v>258</v>
      </c>
      <c r="E6" s="86">
        <f>H7-SUM(E2:E5)</f>
        <v>3456948.5829000026</v>
      </c>
      <c r="F6" s="10"/>
      <c r="G6" s="10"/>
      <c r="H6" s="10"/>
      <c r="I6" s="10"/>
      <c r="J6" s="10"/>
      <c r="K6" s="10" t="s">
        <v>266</v>
      </c>
      <c r="L6" s="10"/>
      <c r="M6" s="78">
        <f>SUM(M2:M5)</f>
        <v>3366442.6100000059</v>
      </c>
    </row>
    <row r="7" spans="1:13" ht="15.75" customHeight="1" x14ac:dyDescent="0.3">
      <c r="A7" s="10" t="s">
        <v>267</v>
      </c>
      <c r="B7" s="10">
        <f>SUM(B4:B6)</f>
        <v>6258638.8400000054</v>
      </c>
      <c r="C7" s="10"/>
      <c r="D7" s="10"/>
      <c r="E7" s="10"/>
      <c r="F7" s="12"/>
      <c r="G7" s="12" t="s">
        <v>268</v>
      </c>
      <c r="H7" s="88">
        <f>SUM(H2:H5)</f>
        <v>7663376.2629000051</v>
      </c>
      <c r="I7" s="79"/>
      <c r="J7" s="32">
        <v>0.1</v>
      </c>
      <c r="K7" s="10" t="s">
        <v>269</v>
      </c>
      <c r="L7" s="10"/>
      <c r="M7" s="10">
        <f>J7*M6</f>
        <v>336644.26100000064</v>
      </c>
    </row>
    <row r="8" spans="1:13" ht="15.75" customHeight="1" x14ac:dyDescent="0.3">
      <c r="A8" s="10"/>
      <c r="B8" s="10"/>
      <c r="C8" s="10"/>
      <c r="D8" s="12" t="s">
        <v>268</v>
      </c>
      <c r="E8" s="106">
        <f>SUM(E2:E6)</f>
        <v>7663376.2629000051</v>
      </c>
      <c r="F8" s="10"/>
      <c r="G8" s="10"/>
      <c r="H8" s="10"/>
      <c r="I8" s="10"/>
      <c r="J8" s="32">
        <f>[1]IS!E41</f>
        <v>0.35</v>
      </c>
      <c r="K8" s="10" t="s">
        <v>270</v>
      </c>
      <c r="L8" s="10"/>
      <c r="M8" s="10">
        <f>J8*M6</f>
        <v>1178254.9135000019</v>
      </c>
    </row>
    <row r="9" spans="1:13" ht="15.75" customHeight="1" x14ac:dyDescent="0.3">
      <c r="A9" s="10"/>
      <c r="B9" s="10"/>
      <c r="C9" s="10"/>
      <c r="D9" s="10"/>
      <c r="E9" s="10"/>
      <c r="F9" s="80"/>
      <c r="G9" s="10"/>
      <c r="H9" s="10"/>
      <c r="I9" s="10"/>
      <c r="J9" s="10"/>
      <c r="K9" s="10" t="s">
        <v>272</v>
      </c>
      <c r="L9" s="10"/>
      <c r="M9" s="78">
        <f>M6-M7+M8</f>
        <v>4208053.2625000067</v>
      </c>
    </row>
    <row r="10" spans="1:13" ht="15.75" customHeight="1" x14ac:dyDescent="0.3">
      <c r="A10" s="10" t="s">
        <v>273</v>
      </c>
      <c r="B10" s="35">
        <v>25</v>
      </c>
      <c r="C10" s="10"/>
      <c r="D10" s="10"/>
      <c r="E10" s="10" t="s">
        <v>271</v>
      </c>
      <c r="F10" s="10"/>
      <c r="G10" s="10"/>
      <c r="H10" s="10"/>
      <c r="I10" s="10"/>
      <c r="J10" s="10"/>
      <c r="K10" s="10"/>
      <c r="L10" s="10"/>
      <c r="M10" s="10"/>
    </row>
    <row r="11" spans="1:13" ht="15.75" customHeight="1" x14ac:dyDescent="0.3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</row>
    <row r="12" spans="1:13" ht="15.75" customHeight="1" x14ac:dyDescent="0.3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spans="1:13" ht="15.75" customHeight="1" x14ac:dyDescent="0.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13" ht="15.75" customHeight="1" x14ac:dyDescent="0.3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 ht="15.75" customHeight="1" x14ac:dyDescent="0.3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3" ht="15.75" customHeight="1" x14ac:dyDescent="0.3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 ht="15.75" customHeight="1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 ht="15.75" customHeight="1" x14ac:dyDescent="0.3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1:13" ht="15.75" customHeight="1" x14ac:dyDescent="0.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 ht="15.75" customHeight="1" x14ac:dyDescent="0.3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 ht="15.75" customHeight="1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ht="15.75" customHeight="1" x14ac:dyDescent="0.3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ht="15.75" customHeight="1" x14ac:dyDescent="0.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1:13" ht="15.75" customHeight="1" x14ac:dyDescent="0.3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 spans="1:13" ht="15.75" customHeight="1" x14ac:dyDescent="0.3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spans="1:13" ht="15.75" customHeight="1" x14ac:dyDescent="0.3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</row>
    <row r="27" spans="1:13" ht="15.75" customHeight="1" x14ac:dyDescent="0.3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</row>
    <row r="28" spans="1:13" ht="15.75" customHeight="1" x14ac:dyDescent="0.3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1:13" ht="15.75" customHeight="1" x14ac:dyDescent="0.3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1:13" ht="15.75" customHeight="1" x14ac:dyDescent="0.3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</row>
    <row r="31" spans="1:13" ht="15.75" customHeight="1" x14ac:dyDescent="0.3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</row>
    <row r="32" spans="1:13" ht="15.75" customHeight="1" x14ac:dyDescent="0.3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</row>
    <row r="33" spans="1:13" ht="15.75" customHeight="1" x14ac:dyDescent="0.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</row>
    <row r="34" spans="1:13" ht="15.75" customHeight="1" x14ac:dyDescent="0.3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</row>
    <row r="35" spans="1:13" ht="15.75" customHeight="1" x14ac:dyDescent="0.3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</row>
    <row r="36" spans="1:13" ht="15.75" customHeight="1" x14ac:dyDescent="0.3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</row>
    <row r="37" spans="1:13" ht="15.75" customHeight="1" x14ac:dyDescent="0.3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</row>
    <row r="38" spans="1:13" ht="15.75" customHeight="1" x14ac:dyDescent="0.3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</row>
    <row r="39" spans="1:13" ht="15.75" customHeight="1" x14ac:dyDescent="0.3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</row>
    <row r="40" spans="1:13" ht="15.75" customHeight="1" x14ac:dyDescent="0.3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</row>
    <row r="41" spans="1:13" ht="15.75" customHeight="1" x14ac:dyDescent="0.3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</row>
    <row r="42" spans="1:13" ht="15.75" customHeight="1" x14ac:dyDescent="0.3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</row>
    <row r="43" spans="1:13" ht="15.75" customHeight="1" x14ac:dyDescent="0.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</row>
    <row r="44" spans="1:13" ht="15.75" customHeight="1" x14ac:dyDescent="0.3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</row>
    <row r="45" spans="1:13" ht="15.75" customHeight="1" x14ac:dyDescent="0.3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</row>
    <row r="46" spans="1:13" ht="15.75" customHeight="1" x14ac:dyDescent="0.3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</row>
    <row r="47" spans="1:13" ht="15.75" customHeight="1" x14ac:dyDescent="0.3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</row>
    <row r="48" spans="1:13" ht="15.75" customHeight="1" x14ac:dyDescent="0.3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</row>
    <row r="49" spans="1:13" ht="15.75" customHeight="1" x14ac:dyDescent="0.3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</row>
    <row r="50" spans="1:13" ht="15.75" customHeight="1" x14ac:dyDescent="0.3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</row>
    <row r="51" spans="1:13" ht="15.75" customHeight="1" x14ac:dyDescent="0.3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</row>
    <row r="52" spans="1:13" ht="15.75" customHeight="1" x14ac:dyDescent="0.3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</row>
    <row r="53" spans="1:13" ht="15.75" customHeight="1" x14ac:dyDescent="0.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</row>
    <row r="54" spans="1:13" ht="15.75" customHeight="1" x14ac:dyDescent="0.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</row>
    <row r="55" spans="1:13" ht="15.75" customHeight="1" x14ac:dyDescent="0.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</row>
    <row r="56" spans="1:13" ht="15.75" customHeight="1" x14ac:dyDescent="0.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</row>
    <row r="57" spans="1:13" ht="15.75" customHeight="1" x14ac:dyDescent="0.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</row>
    <row r="58" spans="1:13" ht="15.75" customHeight="1" x14ac:dyDescent="0.3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</row>
    <row r="59" spans="1:13" ht="15.75" customHeight="1" x14ac:dyDescent="0.3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</row>
    <row r="60" spans="1:13" ht="15.75" customHeight="1" x14ac:dyDescent="0.3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</row>
    <row r="61" spans="1:13" ht="15.75" customHeight="1" x14ac:dyDescent="0.3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</row>
    <row r="62" spans="1:13" ht="15.75" customHeight="1" x14ac:dyDescent="0.3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</row>
    <row r="63" spans="1:13" ht="15.75" customHeight="1" x14ac:dyDescent="0.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</row>
    <row r="64" spans="1:13" ht="15.75" customHeight="1" x14ac:dyDescent="0.3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</row>
    <row r="65" spans="1:13" ht="15.75" customHeight="1" x14ac:dyDescent="0.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</row>
    <row r="66" spans="1:13" ht="15.75" customHeight="1" x14ac:dyDescent="0.3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</row>
    <row r="67" spans="1:13" ht="15.75" customHeight="1" x14ac:dyDescent="0.3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</row>
    <row r="68" spans="1:13" ht="15.75" customHeight="1" x14ac:dyDescent="0.3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</row>
    <row r="69" spans="1:13" ht="15.75" customHeight="1" x14ac:dyDescent="0.3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</row>
    <row r="70" spans="1:13" ht="15.75" customHeight="1" x14ac:dyDescent="0.3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</row>
    <row r="71" spans="1:13" ht="15.75" customHeight="1" x14ac:dyDescent="0.3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</row>
    <row r="72" spans="1:13" ht="15.75" customHeight="1" x14ac:dyDescent="0.3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</row>
    <row r="73" spans="1:13" ht="15.75" customHeight="1" x14ac:dyDescent="0.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</row>
    <row r="74" spans="1:13" ht="15.75" customHeight="1" x14ac:dyDescent="0.3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</row>
    <row r="75" spans="1:13" ht="15.75" customHeight="1" x14ac:dyDescent="0.3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</row>
    <row r="76" spans="1:13" ht="15.75" customHeight="1" x14ac:dyDescent="0.3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</row>
    <row r="77" spans="1:13" ht="15.75" customHeight="1" x14ac:dyDescent="0.3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</row>
    <row r="78" spans="1:13" ht="15.75" customHeight="1" x14ac:dyDescent="0.3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</row>
    <row r="79" spans="1:13" ht="15.75" customHeight="1" x14ac:dyDescent="0.3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</row>
    <row r="80" spans="1:13" ht="15.75" customHeight="1" x14ac:dyDescent="0.3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</row>
    <row r="81" spans="1:13" ht="15.75" customHeight="1" x14ac:dyDescent="0.3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</row>
    <row r="82" spans="1:13" ht="15.75" customHeight="1" x14ac:dyDescent="0.3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</row>
    <row r="83" spans="1:13" ht="15.75" customHeight="1" x14ac:dyDescent="0.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</row>
    <row r="84" spans="1:13" ht="15.75" customHeight="1" x14ac:dyDescent="0.3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</row>
    <row r="85" spans="1:13" ht="15.75" customHeight="1" x14ac:dyDescent="0.3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</row>
    <row r="86" spans="1:13" ht="15.75" customHeight="1" x14ac:dyDescent="0.3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</row>
    <row r="87" spans="1:13" ht="15.75" customHeight="1" x14ac:dyDescent="0.3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</row>
    <row r="88" spans="1:13" ht="15.75" customHeight="1" x14ac:dyDescent="0.3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</row>
    <row r="89" spans="1:13" ht="15.75" customHeight="1" x14ac:dyDescent="0.3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</row>
    <row r="90" spans="1:13" ht="15.75" customHeight="1" x14ac:dyDescent="0.3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</row>
    <row r="91" spans="1:13" ht="15.75" customHeight="1" x14ac:dyDescent="0.3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</row>
    <row r="92" spans="1:13" ht="15.75" customHeight="1" x14ac:dyDescent="0.3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</row>
    <row r="93" spans="1:13" ht="15.75" customHeight="1" x14ac:dyDescent="0.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</row>
    <row r="94" spans="1:13" ht="15.75" customHeight="1" x14ac:dyDescent="0.3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</row>
    <row r="95" spans="1:13" ht="15.75" customHeight="1" x14ac:dyDescent="0.3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</row>
    <row r="96" spans="1:13" ht="15.75" customHeight="1" x14ac:dyDescent="0.3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</row>
    <row r="97" spans="1:13" ht="15.75" customHeight="1" x14ac:dyDescent="0.3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</row>
    <row r="98" spans="1:13" ht="15.75" customHeight="1" x14ac:dyDescent="0.3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</row>
    <row r="99" spans="1:13" ht="15.75" customHeight="1" x14ac:dyDescent="0.3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</row>
    <row r="100" spans="1:13" ht="15.75" customHeight="1" x14ac:dyDescent="0.3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</row>
    <row r="101" spans="1:13" ht="15.6" x14ac:dyDescent="0.3">
      <c r="D101" s="10"/>
      <c r="E101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5C821-C86E-4FA4-8595-F0DE168AFDE3}">
  <dimension ref="A1:O100"/>
  <sheetViews>
    <sheetView workbookViewId="0">
      <selection activeCell="F17" sqref="F17"/>
    </sheetView>
  </sheetViews>
  <sheetFormatPr defaultColWidth="14" defaultRowHeight="14.4" x14ac:dyDescent="0.3"/>
  <cols>
    <col min="1" max="1" width="16.33203125" customWidth="1"/>
    <col min="2" max="2" width="21.33203125" customWidth="1"/>
    <col min="3" max="3" width="16.44140625" customWidth="1"/>
    <col min="4" max="4" width="16.21875" customWidth="1"/>
    <col min="5" max="5" width="14.21875" customWidth="1"/>
    <col min="6" max="6" width="16.77734375" customWidth="1"/>
    <col min="7" max="15" width="12.109375" customWidth="1"/>
  </cols>
  <sheetData>
    <row r="1" spans="1:15" ht="16.5" customHeight="1" thickBot="1" x14ac:dyDescent="0.35">
      <c r="A1" s="104" t="s">
        <v>279</v>
      </c>
      <c r="B1" s="105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ht="15.75" customHeight="1" x14ac:dyDescent="0.3">
      <c r="A2" s="10"/>
      <c r="B2" s="10">
        <v>1</v>
      </c>
      <c r="C2" s="10">
        <v>2</v>
      </c>
      <c r="D2" s="10">
        <v>3</v>
      </c>
      <c r="E2" s="10">
        <v>4</v>
      </c>
      <c r="F2" s="10">
        <v>5</v>
      </c>
      <c r="G2" s="10"/>
      <c r="H2" s="10"/>
      <c r="I2" s="10"/>
      <c r="J2" s="10"/>
      <c r="K2" s="10"/>
      <c r="L2" s="10"/>
      <c r="M2" s="10"/>
      <c r="N2" s="10"/>
      <c r="O2" s="10"/>
    </row>
    <row r="3" spans="1:15" ht="15.75" customHeight="1" x14ac:dyDescent="0.3">
      <c r="A3" s="10"/>
      <c r="B3" s="12">
        <v>2024</v>
      </c>
      <c r="C3" s="12">
        <v>2025</v>
      </c>
      <c r="D3" s="12">
        <v>2026</v>
      </c>
      <c r="E3" s="12">
        <v>2027</v>
      </c>
      <c r="F3" s="12">
        <v>2028</v>
      </c>
      <c r="G3" s="10"/>
      <c r="H3" s="10"/>
      <c r="I3" s="10"/>
      <c r="J3" s="10"/>
      <c r="K3" s="10"/>
      <c r="L3" s="10"/>
      <c r="M3" s="10"/>
      <c r="N3" s="10"/>
      <c r="O3" s="10"/>
    </row>
    <row r="4" spans="1:15" ht="15.75" customHeight="1" x14ac:dyDescent="0.3">
      <c r="A4" s="10"/>
      <c r="B4" s="12"/>
      <c r="C4" s="12"/>
      <c r="D4" s="12"/>
      <c r="E4" s="12"/>
      <c r="F4" s="12"/>
      <c r="G4" s="10"/>
      <c r="H4" s="10"/>
      <c r="I4" s="10"/>
      <c r="J4" s="10"/>
      <c r="K4" s="10"/>
      <c r="L4" s="10"/>
      <c r="M4" s="10"/>
      <c r="N4" s="10"/>
      <c r="O4" s="10"/>
    </row>
    <row r="5" spans="1:15" ht="15.75" customHeight="1" x14ac:dyDescent="0.3">
      <c r="A5" s="10" t="s">
        <v>280</v>
      </c>
      <c r="B5" s="98">
        <f>$B$15</f>
        <v>9</v>
      </c>
      <c r="C5" s="98">
        <f t="shared" ref="C5:F5" si="0">$B$15</f>
        <v>9</v>
      </c>
      <c r="D5" s="98">
        <f t="shared" si="0"/>
        <v>9</v>
      </c>
      <c r="E5" s="98">
        <f t="shared" si="0"/>
        <v>9</v>
      </c>
      <c r="F5" s="98">
        <f t="shared" si="0"/>
        <v>9</v>
      </c>
      <c r="G5" s="23"/>
      <c r="H5" s="10"/>
      <c r="I5" s="10"/>
      <c r="J5" s="10"/>
      <c r="K5" s="10"/>
      <c r="L5" s="10"/>
      <c r="M5" s="10"/>
      <c r="N5" s="10"/>
      <c r="O5" s="10"/>
    </row>
    <row r="6" spans="1:15" ht="15.75" customHeight="1" x14ac:dyDescent="0.3">
      <c r="A6" s="10" t="s">
        <v>183</v>
      </c>
      <c r="B6" s="23">
        <f>IS!G11</f>
        <v>1195258.197674999</v>
      </c>
      <c r="C6" s="23">
        <f>IS!H11</f>
        <v>1420365.1582371253</v>
      </c>
      <c r="D6" s="23">
        <f>IS!I11</f>
        <v>1686110.897520199</v>
      </c>
      <c r="E6" s="23">
        <f>IS!J11</f>
        <v>1825741.9562210911</v>
      </c>
      <c r="F6" s="23">
        <f>IS!K11</f>
        <v>1975120.8435482704</v>
      </c>
      <c r="G6" s="10"/>
      <c r="H6" s="10"/>
      <c r="I6" s="10"/>
      <c r="J6" s="10"/>
      <c r="K6" s="10"/>
      <c r="L6" s="10"/>
      <c r="M6" s="10"/>
      <c r="N6" s="10"/>
      <c r="O6" s="10"/>
    </row>
    <row r="7" spans="1:15" ht="15.75" customHeight="1" x14ac:dyDescent="0.3">
      <c r="A7" s="10" t="s">
        <v>281</v>
      </c>
      <c r="B7" s="23">
        <f>B5*B6</f>
        <v>10757323.779074991</v>
      </c>
      <c r="C7" s="23">
        <f t="shared" ref="C7:F7" si="1">C5*C6</f>
        <v>12783286.424134128</v>
      </c>
      <c r="D7" s="23">
        <f t="shared" si="1"/>
        <v>15174998.077681791</v>
      </c>
      <c r="E7" s="23">
        <f t="shared" si="1"/>
        <v>16431677.605989819</v>
      </c>
      <c r="F7" s="23">
        <f t="shared" si="1"/>
        <v>17776087.591934435</v>
      </c>
      <c r="G7" s="10"/>
      <c r="H7" s="10"/>
      <c r="I7" s="10"/>
      <c r="J7" s="10"/>
      <c r="K7" s="10"/>
      <c r="L7" s="10"/>
      <c r="M7" s="10"/>
      <c r="N7" s="10"/>
      <c r="O7" s="10"/>
    </row>
    <row r="8" spans="1:15" ht="15.75" customHeight="1" x14ac:dyDescent="0.3">
      <c r="A8" s="10" t="s">
        <v>282</v>
      </c>
      <c r="B8" s="23">
        <f>BS!E5</f>
        <v>5500</v>
      </c>
      <c r="C8" s="23">
        <f>BS!F5</f>
        <v>-15191.544365000038</v>
      </c>
      <c r="D8" s="23">
        <f>BS!G5</f>
        <v>-33519.728995821322</v>
      </c>
      <c r="E8" s="23">
        <f>BS!H5</f>
        <v>-46728.293737438275</v>
      </c>
      <c r="F8" s="23">
        <f>BS!I5</f>
        <v>-53108.67802327589</v>
      </c>
      <c r="G8" s="10"/>
      <c r="H8" s="10"/>
      <c r="I8" s="10"/>
      <c r="J8" s="10"/>
      <c r="K8" s="10"/>
      <c r="L8" s="10"/>
      <c r="M8" s="10"/>
      <c r="N8" s="10"/>
      <c r="O8" s="10"/>
    </row>
    <row r="9" spans="1:15" ht="15.75" customHeight="1" x14ac:dyDescent="0.3">
      <c r="A9" s="10" t="s">
        <v>283</v>
      </c>
      <c r="B9" s="23">
        <f>BS!E25</f>
        <v>3974040.9280451424</v>
      </c>
      <c r="C9" s="23">
        <f>BS!F25</f>
        <v>3675971.4537821324</v>
      </c>
      <c r="D9" s="23">
        <f>BS!G25</f>
        <v>3256170.7430216954</v>
      </c>
      <c r="E9" s="23">
        <f>BS!H25</f>
        <v>2716850.4620653884</v>
      </c>
      <c r="F9" s="23">
        <f>BS!I25</f>
        <v>2749421.4023386762</v>
      </c>
      <c r="G9" s="10"/>
      <c r="H9" s="10"/>
      <c r="I9" s="10"/>
      <c r="J9" s="10"/>
      <c r="K9" s="10"/>
      <c r="L9" s="10"/>
      <c r="M9" s="10"/>
      <c r="N9" s="10"/>
      <c r="O9" s="10"/>
    </row>
    <row r="10" spans="1:15" ht="15.75" customHeight="1" x14ac:dyDescent="0.3">
      <c r="A10" s="10" t="s">
        <v>267</v>
      </c>
      <c r="B10" s="23">
        <f>B7+B8-B9</f>
        <v>6788782.8510298487</v>
      </c>
      <c r="C10" s="23">
        <f t="shared" ref="C10:F10" si="2">C7+C8-C9</f>
        <v>9092123.4259869959</v>
      </c>
      <c r="D10" s="23">
        <f t="shared" si="2"/>
        <v>11885307.605664276</v>
      </c>
      <c r="E10" s="23">
        <f t="shared" si="2"/>
        <v>13668098.850186992</v>
      </c>
      <c r="F10" s="23">
        <f t="shared" si="2"/>
        <v>14973557.511572484</v>
      </c>
      <c r="G10" s="10"/>
      <c r="H10" s="10"/>
      <c r="I10" s="10"/>
      <c r="J10" s="10"/>
      <c r="K10" s="10"/>
      <c r="L10" s="10"/>
      <c r="M10" s="10"/>
      <c r="N10" s="10"/>
      <c r="O10" s="10"/>
    </row>
    <row r="11" spans="1:15" ht="15.75" customHeight="1" x14ac:dyDescent="0.3">
      <c r="A11" s="12" t="s">
        <v>284</v>
      </c>
      <c r="B11" s="98">
        <f>B10/'S&amp;U'!$E$6</f>
        <v>1.9638078751332775</v>
      </c>
      <c r="C11" s="98">
        <f>C10/'S&amp;U'!$E$6</f>
        <v>2.6301008556973375</v>
      </c>
      <c r="D11" s="98">
        <f>D10/'S&amp;U'!$E$6</f>
        <v>3.4380920978852973</v>
      </c>
      <c r="E11" s="98">
        <f>E10/'S&amp;U'!$E$6</f>
        <v>3.9538044961955867</v>
      </c>
      <c r="F11" s="98">
        <f>F10/'S&amp;U'!$E$6</f>
        <v>4.3314377267975743</v>
      </c>
      <c r="G11" s="10"/>
      <c r="H11" s="10"/>
      <c r="I11" s="10"/>
      <c r="J11" s="10"/>
      <c r="K11" s="10"/>
      <c r="L11" s="10"/>
      <c r="M11" s="10"/>
      <c r="N11" s="10"/>
      <c r="O11" s="10"/>
    </row>
    <row r="12" spans="1:15" ht="15.75" customHeight="1" x14ac:dyDescent="0.3">
      <c r="A12" s="12" t="s">
        <v>285</v>
      </c>
      <c r="B12" s="34">
        <f>(B10/$B$16)^(1/B2)-1</f>
        <v>0.96380787513327748</v>
      </c>
      <c r="C12" s="34">
        <f t="shared" ref="C12:F12" si="3">(C10/$B$16)^(1/C2)-1</f>
        <v>0.62175856886817082</v>
      </c>
      <c r="D12" s="34">
        <f t="shared" si="3"/>
        <v>0.50928933093071027</v>
      </c>
      <c r="E12" s="34">
        <f t="shared" si="3"/>
        <v>0.41011261464118798</v>
      </c>
      <c r="F12" s="34">
        <f t="shared" si="3"/>
        <v>0.3406839645989248</v>
      </c>
      <c r="G12" s="10"/>
      <c r="H12" s="10"/>
      <c r="I12" s="10"/>
      <c r="J12" s="10"/>
      <c r="K12" s="10"/>
      <c r="L12" s="10"/>
      <c r="M12" s="10"/>
      <c r="N12" s="10"/>
      <c r="O12" s="10"/>
    </row>
    <row r="13" spans="1:15" ht="15.75" customHeight="1" x14ac:dyDescent="0.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1:15" ht="15.75" customHeight="1" x14ac:dyDescent="0.3">
      <c r="A14" s="10" t="s">
        <v>288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1:15" ht="15.75" customHeight="1" x14ac:dyDescent="0.3">
      <c r="A15" s="10" t="s">
        <v>289</v>
      </c>
      <c r="B15" s="98">
        <v>9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1:15" ht="15.75" customHeight="1" x14ac:dyDescent="0.3">
      <c r="A16" s="10" t="s">
        <v>290</v>
      </c>
      <c r="B16" s="10">
        <f>'S&amp;U'!E6</f>
        <v>3456948.5829000026</v>
      </c>
      <c r="C16" s="34"/>
      <c r="D16" s="34"/>
      <c r="E16" s="34"/>
      <c r="F16" s="34"/>
      <c r="G16" s="34"/>
      <c r="H16" s="34"/>
      <c r="I16" s="34"/>
      <c r="J16" s="10"/>
      <c r="K16" s="10"/>
      <c r="L16" s="10"/>
      <c r="M16" s="10"/>
      <c r="N16" s="10"/>
      <c r="O16" s="10"/>
    </row>
    <row r="17" spans="1:15" ht="15.75" customHeight="1" x14ac:dyDescent="0.3">
      <c r="A17" s="10"/>
      <c r="B17" s="10"/>
      <c r="C17" s="34"/>
      <c r="D17" s="34"/>
      <c r="E17" s="34"/>
      <c r="F17" s="34"/>
      <c r="G17" s="23"/>
      <c r="H17" s="34"/>
      <c r="I17" s="34"/>
      <c r="J17" s="10"/>
      <c r="K17" s="10"/>
      <c r="L17" s="10"/>
      <c r="M17" s="10"/>
      <c r="N17" s="10"/>
      <c r="O17" s="10"/>
    </row>
    <row r="18" spans="1:15" ht="15.75" customHeight="1" x14ac:dyDescent="0.3">
      <c r="A18" s="10"/>
      <c r="B18" s="10"/>
      <c r="C18" s="34"/>
      <c r="D18" s="34"/>
      <c r="E18" s="34"/>
      <c r="F18" s="34"/>
      <c r="G18" s="23"/>
      <c r="H18" s="34"/>
      <c r="I18" s="34"/>
      <c r="J18" s="10"/>
      <c r="K18" s="10"/>
      <c r="L18" s="10"/>
      <c r="M18" s="10"/>
      <c r="N18" s="10"/>
      <c r="O18" s="10"/>
    </row>
    <row r="19" spans="1:15" ht="15.75" customHeight="1" x14ac:dyDescent="0.3">
      <c r="A19" s="10"/>
      <c r="B19" s="10"/>
      <c r="C19" s="34"/>
      <c r="D19" s="34"/>
      <c r="E19" s="34"/>
      <c r="F19" s="34"/>
      <c r="G19" s="34"/>
      <c r="H19" s="34"/>
      <c r="I19" s="34"/>
      <c r="J19" s="10"/>
      <c r="K19" s="10"/>
      <c r="L19" s="10"/>
      <c r="M19" s="10"/>
      <c r="N19" s="10"/>
      <c r="O19" s="10"/>
    </row>
    <row r="20" spans="1:15" ht="15.75" customHeight="1" x14ac:dyDescent="0.3">
      <c r="A20" s="10"/>
      <c r="B20" s="10"/>
      <c r="C20" s="34"/>
      <c r="D20" s="34"/>
      <c r="E20" s="34"/>
      <c r="F20" s="34"/>
      <c r="G20" s="34"/>
      <c r="H20" s="34"/>
      <c r="I20" s="34"/>
      <c r="J20" s="10"/>
      <c r="K20" s="10"/>
      <c r="L20" s="10"/>
      <c r="M20" s="10"/>
      <c r="N20" s="10"/>
      <c r="O20" s="10"/>
    </row>
    <row r="21" spans="1:15" ht="15.75" customHeight="1" x14ac:dyDescent="0.3">
      <c r="A21" s="10"/>
      <c r="B21" s="10"/>
      <c r="C21" s="34"/>
      <c r="D21" s="34"/>
      <c r="E21" s="34"/>
      <c r="F21" s="34"/>
      <c r="G21" s="34"/>
      <c r="H21" s="34"/>
      <c r="I21" s="34"/>
      <c r="J21" s="10"/>
      <c r="K21" s="10"/>
      <c r="L21" s="10"/>
      <c r="M21" s="10"/>
      <c r="N21" s="10"/>
      <c r="O21" s="10"/>
    </row>
    <row r="22" spans="1:15" ht="15.75" customHeight="1" x14ac:dyDescent="0.3">
      <c r="A22" s="10"/>
      <c r="B22" s="10"/>
      <c r="C22" s="34"/>
      <c r="D22" s="34"/>
      <c r="E22" s="99" t="s">
        <v>285</v>
      </c>
      <c r="F22" s="34"/>
      <c r="G22" s="34"/>
      <c r="H22" s="34"/>
      <c r="I22" s="34"/>
      <c r="J22" s="10"/>
      <c r="K22" s="10"/>
      <c r="L22" s="10"/>
      <c r="M22" s="99" t="s">
        <v>284</v>
      </c>
      <c r="N22" s="10"/>
      <c r="O22" s="10"/>
    </row>
    <row r="23" spans="1:15" ht="15.75" customHeight="1" x14ac:dyDescent="0.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 spans="1:15" ht="15.75" customHeight="1" x14ac:dyDescent="0.3">
      <c r="A24" s="10"/>
      <c r="B24" s="10"/>
      <c r="C24" s="44" t="s">
        <v>286</v>
      </c>
      <c r="D24" s="10"/>
      <c r="E24" s="10"/>
      <c r="F24" s="10"/>
      <c r="G24" s="10"/>
      <c r="H24" s="10"/>
      <c r="I24" s="10"/>
      <c r="J24" s="10"/>
      <c r="K24" s="44" t="s">
        <v>286</v>
      </c>
      <c r="L24" s="10"/>
      <c r="M24" s="10"/>
      <c r="N24" s="10"/>
      <c r="O24" s="10"/>
    </row>
    <row r="25" spans="1:15" ht="15.75" customHeight="1" x14ac:dyDescent="0.3">
      <c r="A25" s="10"/>
      <c r="B25" s="34">
        <f>F12</f>
        <v>0.3406839645989248</v>
      </c>
      <c r="C25" s="100">
        <v>1</v>
      </c>
      <c r="D25" s="100">
        <v>2</v>
      </c>
      <c r="E25" s="100">
        <v>3</v>
      </c>
      <c r="F25" s="100">
        <v>4</v>
      </c>
      <c r="G25" s="100">
        <v>5</v>
      </c>
      <c r="H25" s="10"/>
      <c r="I25" s="10"/>
      <c r="J25" s="98">
        <f>F11</f>
        <v>4.3314377267975743</v>
      </c>
      <c r="K25" s="100">
        <v>1</v>
      </c>
      <c r="L25" s="100">
        <v>2</v>
      </c>
      <c r="M25" s="100">
        <v>3</v>
      </c>
      <c r="N25" s="100">
        <v>4</v>
      </c>
      <c r="O25" s="100">
        <v>5</v>
      </c>
    </row>
    <row r="26" spans="1:15" ht="15.75" customHeight="1" x14ac:dyDescent="0.3">
      <c r="A26" s="44" t="s">
        <v>287</v>
      </c>
      <c r="B26" s="101">
        <v>7</v>
      </c>
      <c r="C26" s="34">
        <f>B12</f>
        <v>0.96380787513327748</v>
      </c>
      <c r="D26" s="34">
        <f t="shared" ref="D26:G26" si="4">C12</f>
        <v>0.62175856886817082</v>
      </c>
      <c r="E26" s="34">
        <f t="shared" si="4"/>
        <v>0.50928933093071027</v>
      </c>
      <c r="F26" s="34">
        <f t="shared" si="4"/>
        <v>0.41011261464118798</v>
      </c>
      <c r="G26" s="34">
        <f t="shared" si="4"/>
        <v>0.3406839645989248</v>
      </c>
      <c r="H26" s="34"/>
      <c r="I26" s="44" t="s">
        <v>287</v>
      </c>
      <c r="J26" s="101">
        <v>7</v>
      </c>
      <c r="K26" s="102">
        <f>B11</f>
        <v>1.9638078751332775</v>
      </c>
      <c r="L26" s="102">
        <f t="shared" ref="L26:O26" si="5">C11</f>
        <v>2.6301008556973375</v>
      </c>
      <c r="M26" s="102">
        <f t="shared" si="5"/>
        <v>3.4380920978852973</v>
      </c>
      <c r="N26" s="102">
        <f t="shared" si="5"/>
        <v>3.9538044961955867</v>
      </c>
      <c r="O26" s="102">
        <f t="shared" si="5"/>
        <v>4.3314377267975743</v>
      </c>
    </row>
    <row r="27" spans="1:15" ht="15.75" customHeight="1" x14ac:dyDescent="0.3">
      <c r="A27" s="10"/>
      <c r="B27" s="101">
        <v>7.5</v>
      </c>
      <c r="C27" s="34">
        <f t="dataTable" ref="C27:G32" dt2D="0" dtr="0" r1="B15" ca="1"/>
        <v>0.44517496708798032</v>
      </c>
      <c r="D27" s="34">
        <v>0.41908142236571777</v>
      </c>
      <c r="E27" s="34">
        <v>0.39358870167862103</v>
      </c>
      <c r="F27" s="34">
        <v>0.3334499016101955</v>
      </c>
      <c r="G27" s="34">
        <v>0.28285140576814971</v>
      </c>
      <c r="H27" s="34"/>
      <c r="I27" s="10"/>
      <c r="J27" s="101">
        <v>7.5</v>
      </c>
      <c r="K27" s="102">
        <f t="dataTable" ref="K27:O32" dt2D="0" dtr="0" r1="B15"/>
        <v>1.4451749670879803</v>
      </c>
      <c r="L27" s="102">
        <v>2.0137920833035086</v>
      </c>
      <c r="M27" s="102">
        <v>2.7064739422693975</v>
      </c>
      <c r="N27" s="102">
        <v>3.161599212067745</v>
      </c>
      <c r="O27" s="102">
        <v>3.4744156466956362</v>
      </c>
    </row>
    <row r="28" spans="1:15" ht="15.75" customHeight="1" x14ac:dyDescent="0.3">
      <c r="A28" s="10"/>
      <c r="B28" s="101">
        <v>8</v>
      </c>
      <c r="C28" s="34">
        <v>0.61805260310307908</v>
      </c>
      <c r="D28" s="34">
        <v>0.48970746818565636</v>
      </c>
      <c r="E28" s="34">
        <v>0.43424831814517506</v>
      </c>
      <c r="F28" s="34">
        <v>0.36046165728717416</v>
      </c>
      <c r="G28" s="34">
        <v>0.30328573119840496</v>
      </c>
      <c r="H28" s="34"/>
      <c r="I28" s="10"/>
      <c r="J28" s="101">
        <v>8</v>
      </c>
      <c r="K28" s="102">
        <v>1.6180526031030791</v>
      </c>
      <c r="L28" s="102">
        <v>2.2192283407681184</v>
      </c>
      <c r="M28" s="102">
        <v>2.9503466608080307</v>
      </c>
      <c r="N28" s="102">
        <v>3.4256676401103596</v>
      </c>
      <c r="O28" s="102">
        <v>3.7600896733962825</v>
      </c>
    </row>
    <row r="29" spans="1:15" ht="15.75" customHeight="1" x14ac:dyDescent="0.3">
      <c r="A29" s="10"/>
      <c r="B29" s="101">
        <v>8.5</v>
      </c>
      <c r="C29" s="34">
        <v>0.79093023911817806</v>
      </c>
      <c r="D29" s="34">
        <v>0.55713345549850923</v>
      </c>
      <c r="E29" s="34">
        <v>0.4727247317565737</v>
      </c>
      <c r="F29" s="34">
        <v>0.38595402928295197</v>
      </c>
      <c r="G29" s="34">
        <v>0.32251346575060347</v>
      </c>
      <c r="H29" s="34"/>
      <c r="I29" s="10"/>
      <c r="J29" s="101">
        <v>8.5</v>
      </c>
      <c r="K29" s="102">
        <v>1.7909302391181781</v>
      </c>
      <c r="L29" s="102">
        <v>2.4246645982327282</v>
      </c>
      <c r="M29" s="102">
        <v>3.1942193793466638</v>
      </c>
      <c r="N29" s="102">
        <v>3.6897360681529734</v>
      </c>
      <c r="O29" s="102">
        <v>4.045763700096928</v>
      </c>
    </row>
    <row r="30" spans="1:15" ht="15.75" customHeight="1" x14ac:dyDescent="0.3">
      <c r="A30" s="10"/>
      <c r="B30" s="101">
        <v>9</v>
      </c>
      <c r="C30" s="34">
        <v>0.96380787513327748</v>
      </c>
      <c r="D30" s="34">
        <v>0.62175856886817082</v>
      </c>
      <c r="E30" s="34">
        <v>0.50928933093071027</v>
      </c>
      <c r="F30" s="34">
        <v>0.41011261464118798</v>
      </c>
      <c r="G30" s="32">
        <v>0.3406839645989248</v>
      </c>
      <c r="H30" s="34"/>
      <c r="I30" s="10"/>
      <c r="J30" s="101">
        <v>9</v>
      </c>
      <c r="K30" s="102">
        <v>1.9638078751332775</v>
      </c>
      <c r="L30" s="102">
        <v>2.6301008556973375</v>
      </c>
      <c r="M30" s="102">
        <v>3.4380920978852973</v>
      </c>
      <c r="N30" s="102">
        <v>3.9538044961955867</v>
      </c>
      <c r="O30" s="103">
        <v>4.3314377267975743</v>
      </c>
    </row>
    <row r="31" spans="1:15" ht="15.75" customHeight="1" x14ac:dyDescent="0.3">
      <c r="A31" s="10"/>
      <c r="B31" s="101">
        <v>9.5</v>
      </c>
      <c r="C31" s="34">
        <v>1.1366855111483769</v>
      </c>
      <c r="D31" s="34">
        <v>0.68390531597294602</v>
      </c>
      <c r="E31" s="34">
        <v>0.54416324668939398</v>
      </c>
      <c r="F31" s="34">
        <v>0.4330896939905664</v>
      </c>
      <c r="G31" s="34">
        <v>0.35791966373071982</v>
      </c>
      <c r="H31" s="34"/>
      <c r="I31" s="10"/>
      <c r="J31" s="101">
        <v>9.5</v>
      </c>
      <c r="K31" s="102">
        <v>2.1366855111483769</v>
      </c>
      <c r="L31" s="102">
        <v>2.8355371131619473</v>
      </c>
      <c r="M31" s="102">
        <v>3.6819648164239305</v>
      </c>
      <c r="N31" s="102">
        <v>4.2178729242382014</v>
      </c>
      <c r="O31" s="102">
        <v>4.6171117534982198</v>
      </c>
    </row>
    <row r="32" spans="1:15" ht="15.75" customHeight="1" x14ac:dyDescent="0.3">
      <c r="A32" s="10"/>
      <c r="B32" s="101">
        <v>10</v>
      </c>
      <c r="C32" s="34">
        <v>1.3095631471634759</v>
      </c>
      <c r="D32" s="34">
        <v>0.74383868824686794</v>
      </c>
      <c r="E32" s="34">
        <v>0.57752932435444992</v>
      </c>
      <c r="F32" s="34">
        <v>0.45501189017477572</v>
      </c>
      <c r="G32" s="34">
        <v>0.37432226858021722</v>
      </c>
      <c r="H32" s="34"/>
      <c r="I32" s="10"/>
      <c r="J32" s="101">
        <v>10</v>
      </c>
      <c r="K32" s="102">
        <v>2.3095631471634759</v>
      </c>
      <c r="L32" s="102">
        <v>3.0409733706265571</v>
      </c>
      <c r="M32" s="102">
        <v>3.9258375349625636</v>
      </c>
      <c r="N32" s="102">
        <v>4.4819413522808151</v>
      </c>
      <c r="O32" s="102">
        <v>4.9027857801988652</v>
      </c>
    </row>
    <row r="33" spans="1:15" ht="15.75" customHeight="1" x14ac:dyDescent="0.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</row>
    <row r="34" spans="1:15" ht="15.75" customHeight="1" x14ac:dyDescent="0.3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</row>
    <row r="35" spans="1:15" ht="15.75" customHeight="1" x14ac:dyDescent="0.3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</row>
    <row r="36" spans="1:15" ht="15.75" customHeight="1" x14ac:dyDescent="0.3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</row>
    <row r="37" spans="1:15" ht="15.75" customHeight="1" x14ac:dyDescent="0.3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pans="1:15" ht="15.75" customHeight="1" x14ac:dyDescent="0.3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1:15" ht="15.75" customHeight="1" x14ac:dyDescent="0.3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1:15" ht="15.75" customHeight="1" x14ac:dyDescent="0.3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1:15" ht="15.75" customHeight="1" x14ac:dyDescent="0.3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1:15" ht="15.75" customHeight="1" x14ac:dyDescent="0.3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1:15" ht="15.75" customHeight="1" x14ac:dyDescent="0.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1:15" ht="15.75" customHeight="1" x14ac:dyDescent="0.3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1:15" ht="15.75" customHeight="1" x14ac:dyDescent="0.3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1:15" ht="15.75" customHeight="1" x14ac:dyDescent="0.3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1:15" ht="15.75" customHeight="1" x14ac:dyDescent="0.3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1:15" ht="15.75" customHeight="1" x14ac:dyDescent="0.3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5" ht="15.75" customHeight="1" x14ac:dyDescent="0.3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1:15" ht="15.75" customHeight="1" x14ac:dyDescent="0.3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1:15" ht="15.75" customHeight="1" x14ac:dyDescent="0.3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1:15" ht="15.75" customHeight="1" x14ac:dyDescent="0.3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1:15" ht="15.75" customHeight="1" x14ac:dyDescent="0.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  <row r="54" spans="1:15" ht="15.75" customHeight="1" x14ac:dyDescent="0.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</row>
    <row r="55" spans="1:15" ht="15.75" customHeight="1" x14ac:dyDescent="0.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</row>
    <row r="56" spans="1:15" ht="15.75" customHeight="1" x14ac:dyDescent="0.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</row>
    <row r="57" spans="1:15" ht="15.75" customHeight="1" x14ac:dyDescent="0.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</row>
    <row r="58" spans="1:15" ht="15.75" customHeight="1" x14ac:dyDescent="0.3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</row>
    <row r="59" spans="1:15" ht="15.75" customHeight="1" x14ac:dyDescent="0.3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</row>
    <row r="60" spans="1:15" ht="15.75" customHeight="1" x14ac:dyDescent="0.3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</row>
    <row r="61" spans="1:15" ht="15.75" customHeight="1" x14ac:dyDescent="0.3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</row>
    <row r="62" spans="1:15" ht="15.75" customHeight="1" x14ac:dyDescent="0.3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</row>
    <row r="63" spans="1:15" ht="15.75" customHeight="1" x14ac:dyDescent="0.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</row>
    <row r="64" spans="1:15" ht="15.75" customHeight="1" x14ac:dyDescent="0.3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</row>
    <row r="65" spans="1:15" ht="15.75" customHeight="1" x14ac:dyDescent="0.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</row>
    <row r="66" spans="1:15" ht="15.75" customHeight="1" x14ac:dyDescent="0.3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</row>
    <row r="67" spans="1:15" ht="15.75" customHeight="1" x14ac:dyDescent="0.3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</row>
    <row r="68" spans="1:15" ht="15.75" customHeight="1" x14ac:dyDescent="0.3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</row>
    <row r="69" spans="1:15" ht="15.75" customHeight="1" x14ac:dyDescent="0.3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</row>
    <row r="70" spans="1:15" ht="15.75" customHeight="1" x14ac:dyDescent="0.3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</row>
    <row r="71" spans="1:15" ht="15.75" customHeight="1" x14ac:dyDescent="0.3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</row>
    <row r="72" spans="1:15" ht="15.75" customHeight="1" x14ac:dyDescent="0.3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</row>
    <row r="73" spans="1:15" ht="15.75" customHeight="1" x14ac:dyDescent="0.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</row>
    <row r="74" spans="1:15" ht="15.75" customHeight="1" x14ac:dyDescent="0.3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</row>
    <row r="75" spans="1:15" ht="15.75" customHeight="1" x14ac:dyDescent="0.3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</row>
    <row r="76" spans="1:15" ht="15.75" customHeight="1" x14ac:dyDescent="0.3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</row>
    <row r="77" spans="1:15" ht="15.75" customHeight="1" x14ac:dyDescent="0.3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</row>
    <row r="78" spans="1:15" ht="15.75" customHeight="1" x14ac:dyDescent="0.3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</row>
    <row r="79" spans="1:15" ht="15.75" customHeight="1" x14ac:dyDescent="0.3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</row>
    <row r="80" spans="1:15" ht="15.75" customHeight="1" x14ac:dyDescent="0.3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</row>
    <row r="81" spans="1:15" ht="15.75" customHeight="1" x14ac:dyDescent="0.3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</row>
    <row r="82" spans="1:15" ht="15.75" customHeight="1" x14ac:dyDescent="0.3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</row>
    <row r="83" spans="1:15" ht="15.75" customHeight="1" x14ac:dyDescent="0.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</row>
    <row r="84" spans="1:15" ht="15.75" customHeight="1" x14ac:dyDescent="0.3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</row>
    <row r="85" spans="1:15" ht="15.75" customHeight="1" x14ac:dyDescent="0.3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</row>
    <row r="86" spans="1:15" ht="15.75" customHeight="1" x14ac:dyDescent="0.3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</row>
    <row r="87" spans="1:15" ht="15.75" customHeight="1" x14ac:dyDescent="0.3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15" ht="15.75" customHeight="1" x14ac:dyDescent="0.3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</row>
    <row r="89" spans="1:15" ht="15.75" customHeight="1" x14ac:dyDescent="0.3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</row>
    <row r="90" spans="1:15" ht="15.75" customHeight="1" x14ac:dyDescent="0.3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</row>
    <row r="91" spans="1:15" ht="15.75" customHeight="1" x14ac:dyDescent="0.3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</row>
    <row r="92" spans="1:15" ht="15.75" customHeight="1" x14ac:dyDescent="0.3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</row>
    <row r="93" spans="1:15" ht="15.75" customHeight="1" x14ac:dyDescent="0.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</row>
    <row r="94" spans="1:15" ht="15.75" customHeight="1" x14ac:dyDescent="0.3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</row>
    <row r="95" spans="1:15" ht="15.75" customHeight="1" x14ac:dyDescent="0.3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</row>
    <row r="96" spans="1:15" ht="15.75" customHeight="1" x14ac:dyDescent="0.3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</row>
    <row r="97" spans="1:15" ht="15.75" customHeight="1" x14ac:dyDescent="0.3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</row>
    <row r="98" spans="1:15" ht="15.75" customHeight="1" x14ac:dyDescent="0.3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</row>
    <row r="99" spans="1:15" ht="15.75" customHeight="1" x14ac:dyDescent="0.3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</row>
    <row r="100" spans="1:15" ht="15.75" customHeight="1" x14ac:dyDescent="0.3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Balance Sheet</vt:lpstr>
      <vt:lpstr>Income Statement</vt:lpstr>
      <vt:lpstr>Assumptions</vt:lpstr>
      <vt:lpstr>IS</vt:lpstr>
      <vt:lpstr>BS</vt:lpstr>
      <vt:lpstr>CFS</vt:lpstr>
      <vt:lpstr>SS</vt:lpstr>
      <vt:lpstr>S&amp;U</vt:lpstr>
      <vt:lpstr>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Fredrick</dc:creator>
  <cp:lastModifiedBy>Joanne Fredrick</cp:lastModifiedBy>
  <dcterms:created xsi:type="dcterms:W3CDTF">2024-02-22T07:00:23Z</dcterms:created>
  <dcterms:modified xsi:type="dcterms:W3CDTF">2024-02-24T09:34:14Z</dcterms:modified>
</cp:coreProperties>
</file>