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vmlDrawing1.vml" ContentType="application/vnd.openxmlformats-officedocument.vmlDrawing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36" authorId="0">
      <text>
        <r>
          <rPr>
            <sz val="10"/>
            <rFont val="DejaVu Sans"/>
            <family val="2"/>
          </rPr>
          <t xml:space="preserve">Pallav:
</t>
        </r>
        <r>
          <rPr>
            <sz val="9"/>
            <color rgb="FF000000"/>
            <rFont val="Tahoma"/>
            <family val="2"/>
            <charset val="1"/>
          </rPr>
          <t xml:space="preserve">ash from HFO</t>
        </r>
      </text>
    </comment>
    <comment ref="H36" authorId="0">
      <text>
        <r>
          <rPr>
            <sz val="10"/>
            <rFont val="DejaVu Sans"/>
            <family val="2"/>
          </rPr>
          <t xml:space="preserve">Pallav
</t>
        </r>
        <r>
          <rPr>
            <sz val="9"/>
            <color rgb="FF000000"/>
            <rFont val="Tahoma"/>
            <family val="2"/>
            <charset val="1"/>
          </rPr>
          <t xml:space="preserve">ash from sawdust
</t>
        </r>
      </text>
    </comment>
    <comment ref="I36" authorId="0">
      <text>
        <r>
          <rPr>
            <sz val="10"/>
            <rFont val="DejaVu Sans"/>
            <family val="2"/>
          </rPr>
          <t xml:space="preserve">Pallav:
</t>
        </r>
        <r>
          <rPr>
            <sz val="9"/>
            <color rgb="FF000000"/>
            <rFont val="Tahoma"/>
            <family val="2"/>
            <charset val="1"/>
          </rPr>
          <t xml:space="preserve">total mass of ash
</t>
        </r>
      </text>
    </comment>
  </commentList>
</comments>
</file>

<file path=xl/sharedStrings.xml><?xml version="1.0" encoding="utf-8"?>
<sst xmlns="http://schemas.openxmlformats.org/spreadsheetml/2006/main" count="192" uniqueCount="157">
  <si>
    <t xml:space="preserve">mixed waste</t>
  </si>
  <si>
    <t xml:space="preserve">%</t>
  </si>
  <si>
    <t xml:space="preserve">Cost of HFO</t>
  </si>
  <si>
    <t xml:space="preserve">€/t</t>
  </si>
  <si>
    <t xml:space="preserve">HFO</t>
  </si>
  <si>
    <t xml:space="preserve">Cost of mixed-waste</t>
  </si>
  <si>
    <t xml:space="preserve">density of mixed-waste</t>
  </si>
  <si>
    <t xml:space="preserve">kg/m3</t>
  </si>
  <si>
    <t xml:space="preserve">€/m3</t>
  </si>
  <si>
    <t xml:space="preserve">Electricity Production</t>
  </si>
  <si>
    <t xml:space="preserve">MWh/a</t>
  </si>
  <si>
    <t xml:space="preserve">MWh</t>
  </si>
  <si>
    <t xml:space="preserve">MJ</t>
  </si>
  <si>
    <t xml:space="preserve">Annual Operational Period</t>
  </si>
  <si>
    <t xml:space="preserve">h/a</t>
  </si>
  <si>
    <t xml:space="preserve">t</t>
  </si>
  <si>
    <t xml:space="preserve">kg</t>
  </si>
  <si>
    <t xml:space="preserve">anual HFO cost</t>
  </si>
  <si>
    <t xml:space="preserve">Electricity Efficiency</t>
  </si>
  <si>
    <t xml:space="preserve">annual mixed-waste Cost</t>
  </si>
  <si>
    <t xml:space="preserve">Heat Efficiency</t>
  </si>
  <si>
    <t xml:space="preserve">Calorific Value HFO</t>
  </si>
  <si>
    <t xml:space="preserve">MJ/kg</t>
  </si>
  <si>
    <t xml:space="preserve">MWh/t</t>
  </si>
  <si>
    <t xml:space="preserve">Calorific Value mixed-waste</t>
  </si>
  <si>
    <t xml:space="preserve">cost of cofiring biomass boiler</t>
  </si>
  <si>
    <t xml:space="preserve">€/kWfuel</t>
  </si>
  <si>
    <t xml:space="preserve">cost of boiler</t>
  </si>
  <si>
    <t xml:space="preserve">Electric power</t>
  </si>
  <si>
    <t xml:space="preserve">MWe</t>
  </si>
  <si>
    <t xml:space="preserve">single fuel boiler cost reduction</t>
  </si>
  <si>
    <t xml:space="preserve">€/MWe</t>
  </si>
  <si>
    <t xml:space="preserve">Thermal Power</t>
  </si>
  <si>
    <t xml:space="preserve">MWth</t>
  </si>
  <si>
    <t xml:space="preserve">Fuel Power</t>
  </si>
  <si>
    <t xml:space="preserve">MWfuel</t>
  </si>
  <si>
    <t xml:space="preserve">Sox Contol</t>
  </si>
  <si>
    <t xml:space="preserve">Total energy from fuel</t>
  </si>
  <si>
    <t xml:space="preserve">life span</t>
  </si>
  <si>
    <t xml:space="preserve">years</t>
  </si>
  <si>
    <t xml:space="preserve">Heat energy</t>
  </si>
  <si>
    <t xml:space="preserve">interest rate</t>
  </si>
  <si>
    <t xml:space="preserve">upper </t>
  </si>
  <si>
    <t xml:space="preserve">lower</t>
  </si>
  <si>
    <t xml:space="preserve">avg</t>
  </si>
  <si>
    <t xml:space="preserve">Energy produced from waste</t>
  </si>
  <si>
    <t xml:space="preserve">installation cost rate</t>
  </si>
  <si>
    <t xml:space="preserve">annuity</t>
  </si>
  <si>
    <t xml:space="preserve">Energy produced using HFO</t>
  </si>
  <si>
    <t xml:space="preserve">installation cost</t>
  </si>
  <si>
    <t xml:space="preserve">annual operation cost rate</t>
  </si>
  <si>
    <t xml:space="preserve">€/MWhfuel</t>
  </si>
  <si>
    <t xml:space="preserve">Mass of mixed waste processed</t>
  </si>
  <si>
    <t xml:space="preserve">t/a</t>
  </si>
  <si>
    <t xml:space="preserve">annual operation cost</t>
  </si>
  <si>
    <t xml:space="preserve">mass of HFO needed</t>
  </si>
  <si>
    <t xml:space="preserve">Cost per year</t>
  </si>
  <si>
    <t xml:space="preserve">mass of total fuel</t>
  </si>
  <si>
    <t xml:space="preserve">mass % of HFO</t>
  </si>
  <si>
    <t xml:space="preserve">Nox Control</t>
  </si>
  <si>
    <t xml:space="preserve">mass% of mixed-waste</t>
  </si>
  <si>
    <t xml:space="preserve">lifespan</t>
  </si>
  <si>
    <t xml:space="preserve">mass of HFO in 1 kg fuel</t>
  </si>
  <si>
    <t xml:space="preserve">mass of waste in 1kg fuel</t>
  </si>
  <si>
    <t xml:space="preserve">PM</t>
  </si>
  <si>
    <t xml:space="preserve">HFO(%)</t>
  </si>
  <si>
    <t xml:space="preserve">mixed-waste (%)</t>
  </si>
  <si>
    <t xml:space="preserve">HFO (g)</t>
  </si>
  <si>
    <t xml:space="preserve">mixed-waste(g)</t>
  </si>
  <si>
    <t xml:space="preserve">Total mass in fuel (g/kgmix)</t>
  </si>
  <si>
    <t xml:space="preserve">C</t>
  </si>
  <si>
    <t xml:space="preserve">H</t>
  </si>
  <si>
    <t xml:space="preserve">€/Mwfuel</t>
  </si>
  <si>
    <t xml:space="preserve">N</t>
  </si>
  <si>
    <t xml:space="preserve">O</t>
  </si>
  <si>
    <t xml:space="preserve">S</t>
  </si>
  <si>
    <t xml:space="preserve">ash</t>
  </si>
  <si>
    <t xml:space="preserve">moisture content</t>
  </si>
  <si>
    <t xml:space="preserve">nitrogen in air (than oxygen)</t>
  </si>
  <si>
    <t xml:space="preserve">𝜆</t>
  </si>
  <si>
    <t xml:space="preserve">(in g)</t>
  </si>
  <si>
    <t xml:space="preserve">M, g/mol</t>
  </si>
  <si>
    <t xml:space="preserve">n, mol</t>
  </si>
  <si>
    <t xml:space="preserve">O2 need,mol</t>
  </si>
  <si>
    <t xml:space="preserve">CO2, mol</t>
  </si>
  <si>
    <t xml:space="preserve">SO2,mol</t>
  </si>
  <si>
    <t xml:space="preserve">H2O,mol</t>
  </si>
  <si>
    <t xml:space="preserve">N2,mol</t>
  </si>
  <si>
    <t xml:space="preserve">H2</t>
  </si>
  <si>
    <t xml:space="preserve">O2</t>
  </si>
  <si>
    <t xml:space="preserve">N2</t>
  </si>
  <si>
    <t xml:space="preserve">H2O</t>
  </si>
  <si>
    <t xml:space="preserve">Total </t>
  </si>
  <si>
    <t xml:space="preserve">from exercise</t>
  </si>
  <si>
    <t xml:space="preserve">m(g)</t>
  </si>
  <si>
    <t xml:space="preserve">Vn,m3n/kmol</t>
  </si>
  <si>
    <t xml:space="preserve">V, m3n</t>
  </si>
  <si>
    <t xml:space="preserve">oxygen need</t>
  </si>
  <si>
    <t xml:space="preserve">nO2 amount in CF</t>
  </si>
  <si>
    <t xml:space="preserve">nN2,mol anount in CF</t>
  </si>
  <si>
    <t xml:space="preserve">CO2,mol</t>
  </si>
  <si>
    <t xml:space="preserve">SO2 mol</t>
  </si>
  <si>
    <t xml:space="preserve">H20, mol</t>
  </si>
  <si>
    <t xml:space="preserve">Dry comustion fumes</t>
  </si>
  <si>
    <t xml:space="preserve">PM emissions calculation</t>
  </si>
  <si>
    <t xml:space="preserve">ash to bottom (%)</t>
  </si>
  <si>
    <t xml:space="preserve">ash drifiting to combustion fumes(%)</t>
  </si>
  <si>
    <t xml:space="preserve">mass of PM fumes(g/m3n)</t>
  </si>
  <si>
    <t xml:space="preserve">mass of PM</t>
  </si>
  <si>
    <t xml:space="preserve">mPM annually</t>
  </si>
  <si>
    <t xml:space="preserve">gPM/a</t>
  </si>
  <si>
    <t xml:space="preserve">tPM/a</t>
  </si>
  <si>
    <t xml:space="preserve">NOx emission calculation</t>
  </si>
  <si>
    <t xml:space="preserve">SO2 emission calculation</t>
  </si>
  <si>
    <t xml:space="preserve">S+O2=SO2</t>
  </si>
  <si>
    <t xml:space="preserve">M for NO</t>
  </si>
  <si>
    <t xml:space="preserve">nitrogen in fuel reacts to NOx (%)</t>
  </si>
  <si>
    <t xml:space="preserve">M of S</t>
  </si>
  <si>
    <t xml:space="preserve">M for NO2</t>
  </si>
  <si>
    <t xml:space="preserve">NO(%)</t>
  </si>
  <si>
    <t xml:space="preserve">M of SO2</t>
  </si>
  <si>
    <t xml:space="preserve">M for O</t>
  </si>
  <si>
    <t xml:space="preserve">NO2(%)</t>
  </si>
  <si>
    <t xml:space="preserve">M for N</t>
  </si>
  <si>
    <t xml:space="preserve">mSO2/mS</t>
  </si>
  <si>
    <t xml:space="preserve">N2+O2=2NO</t>
  </si>
  <si>
    <t xml:space="preserve">mSO2</t>
  </si>
  <si>
    <t xml:space="preserve">gSO2/kgmix</t>
  </si>
  <si>
    <t xml:space="preserve">mNO/mN2</t>
  </si>
  <si>
    <t xml:space="preserve">mSO2 fumes</t>
  </si>
  <si>
    <t xml:space="preserve">gSO2/m3n</t>
  </si>
  <si>
    <t xml:space="preserve">mNO</t>
  </si>
  <si>
    <t xml:space="preserve">mSO2 annually</t>
  </si>
  <si>
    <t xml:space="preserve">g/a</t>
  </si>
  <si>
    <t xml:space="preserve">tSO2/a</t>
  </si>
  <si>
    <t xml:space="preserve">mNO annually</t>
  </si>
  <si>
    <t xml:space="preserve">gNO/a</t>
  </si>
  <si>
    <t xml:space="preserve">tNO/a</t>
  </si>
  <si>
    <t xml:space="preserve">NO+1/2O2=NO2</t>
  </si>
  <si>
    <t xml:space="preserve">mNO2/mNO</t>
  </si>
  <si>
    <t xml:space="preserve">mNO2</t>
  </si>
  <si>
    <t xml:space="preserve">Carbon dioxide calculation</t>
  </si>
  <si>
    <t xml:space="preserve">C+O2=CO2</t>
  </si>
  <si>
    <t xml:space="preserve">mNO2 annually</t>
  </si>
  <si>
    <t xml:space="preserve">gNO2/a</t>
  </si>
  <si>
    <t xml:space="preserve">tNO2/a</t>
  </si>
  <si>
    <t xml:space="preserve">M for C</t>
  </si>
  <si>
    <t xml:space="preserve">mNO2 fumes (gNO/m3n)</t>
  </si>
  <si>
    <t xml:space="preserve">M for CO2</t>
  </si>
  <si>
    <t xml:space="preserve">mNO fumes</t>
  </si>
  <si>
    <t xml:space="preserve">mCO2/mC</t>
  </si>
  <si>
    <t xml:space="preserve">mCO2</t>
  </si>
  <si>
    <t xml:space="preserve">g/kgmix</t>
  </si>
  <si>
    <t xml:space="preserve">mCO2 fumes</t>
  </si>
  <si>
    <t xml:space="preserve">g/m3n</t>
  </si>
  <si>
    <t xml:space="preserve">mCO2 annually</t>
  </si>
  <si>
    <t xml:space="preserve">tCO2/a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</si>
</sst>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#,##0.00\ [$€-40B]"/>
    <numFmt numFmtId="167" formatCode="0.00"/>
    <numFmt numFmtId="168" formatCode="0.000"/>
    <numFmt numFmtId="169" formatCode="0%"/>
    <numFmt numFmtId="170" formatCode="0.000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Arial"/>
      <family val="0"/>
      <charset val="1"/>
    </font>
    <font>
      <sz val="10"/>
      <color rgb="FF000000"/>
      <name val="Arial"/>
      <family val="2"/>
      <charset val="1"/>
    </font>
    <font>
      <sz val="12"/>
      <color rgb="FF222222"/>
      <name val="Arial"/>
      <family val="2"/>
      <charset val="1"/>
    </font>
    <font>
      <sz val="9"/>
      <color rgb="FF000000"/>
      <name val="Arial"/>
      <family val="2"/>
      <charset val="1"/>
    </font>
    <font>
      <sz val="10"/>
      <name val="DejaVu Sans"/>
      <family val="2"/>
    </font>
    <font>
      <sz val="9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C9DAF8"/>
      </patternFill>
    </fill>
    <fill>
      <patternFill patternType="solid">
        <fgColor rgb="FFFFFFFF"/>
        <bgColor rgb="FFCCFFFF"/>
      </patternFill>
    </fill>
    <fill>
      <patternFill patternType="solid">
        <fgColor rgb="FFEAD1DC"/>
        <bgColor rgb="FFCCCCCC"/>
      </patternFill>
    </fill>
    <fill>
      <patternFill patternType="solid">
        <fgColor rgb="FFFFE599"/>
        <bgColor rgb="FFFFFF99"/>
      </patternFill>
    </fill>
    <fill>
      <patternFill patternType="solid">
        <fgColor rgb="FFEA9999"/>
        <bgColor rgb="FFFF8080"/>
      </patternFill>
    </fill>
    <fill>
      <patternFill patternType="solid">
        <fgColor rgb="FFC9DAF8"/>
        <bgColor rgb="FFB7E1CD"/>
      </patternFill>
    </fill>
    <fill>
      <patternFill patternType="solid">
        <fgColor rgb="FFB45F06"/>
        <bgColor rgb="FF808000"/>
      </patternFill>
    </fill>
    <fill>
      <patternFill patternType="solid">
        <fgColor rgb="FFE6B8AF"/>
        <bgColor rgb="FFCC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AD1D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B7E1CD"/>
      <rgbColor rgb="FFEA9999"/>
      <rgbColor rgb="FFE6B8A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B45F06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8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27" activeCellId="0" sqref="A27"/>
    </sheetView>
  </sheetViews>
  <sheetFormatPr defaultColWidth="14.42578125" defaultRowHeight="15.75" zeroHeight="false" outlineLevelRow="0" outlineLevelCol="0"/>
  <cols>
    <col collapsed="false" customWidth="true" hidden="false" outlineLevel="0" max="1" min="1" style="1" width="35"/>
    <col collapsed="false" customWidth="true" hidden="false" outlineLevel="0" max="7" min="7" style="1" width="24.61"/>
    <col collapsed="false" customWidth="true" hidden="false" outlineLevel="0" max="8" min="8" style="1" width="20.03"/>
    <col collapsed="false" customWidth="true" hidden="false" outlineLevel="0" max="9" min="9" style="1" width="26.14"/>
    <col collapsed="false" customWidth="true" hidden="false" outlineLevel="0" max="10" min="10" style="1" width="22.45"/>
    <col collapsed="false" customWidth="true" hidden="false" outlineLevel="0" max="11" min="11" style="1" width="17.99"/>
    <col collapsed="false" customWidth="true" hidden="false" outlineLevel="0" max="12" min="12" style="1" width="23.67"/>
  </cols>
  <sheetData>
    <row r="1" customFormat="false" ht="15.75" hidden="false" customHeight="true" outlineLevel="0" collapsed="false">
      <c r="A1" s="2" t="s">
        <v>0</v>
      </c>
      <c r="B1" s="3" t="n">
        <v>80</v>
      </c>
      <c r="C1" s="3" t="s">
        <v>1</v>
      </c>
      <c r="D1" s="4"/>
      <c r="E1" s="4"/>
      <c r="F1" s="4"/>
      <c r="G1" s="4"/>
      <c r="I1" s="5" t="s">
        <v>2</v>
      </c>
      <c r="J1" s="6" t="n">
        <v>500</v>
      </c>
      <c r="K1" s="7" t="s">
        <v>3</v>
      </c>
      <c r="L1" s="5"/>
      <c r="M1" s="5"/>
    </row>
    <row r="2" customFormat="false" ht="15.75" hidden="false" customHeight="true" outlineLevel="0" collapsed="false">
      <c r="A2" s="3" t="s">
        <v>4</v>
      </c>
      <c r="B2" s="3" t="n">
        <v>20</v>
      </c>
      <c r="C2" s="3" t="s">
        <v>1</v>
      </c>
      <c r="D2" s="4"/>
      <c r="E2" s="4"/>
      <c r="F2" s="4"/>
      <c r="G2" s="4"/>
      <c r="I2" s="5" t="s">
        <v>5</v>
      </c>
      <c r="J2" s="6" t="n">
        <f aca="false">O2*M2/1000</f>
        <v>8.6</v>
      </c>
      <c r="K2" s="7" t="s">
        <v>3</v>
      </c>
      <c r="L2" s="5" t="s">
        <v>6</v>
      </c>
      <c r="M2" s="8" t="n">
        <f aca="false">AVERAGE(380,480)</f>
        <v>430</v>
      </c>
      <c r="N2" s="9" t="s">
        <v>7</v>
      </c>
      <c r="O2" s="1" t="n">
        <v>20</v>
      </c>
      <c r="P2" s="1" t="s">
        <v>8</v>
      </c>
    </row>
    <row r="3" customFormat="false" ht="15.75" hidden="false" customHeight="true" outlineLevel="0" collapsed="false">
      <c r="A3" s="3" t="s">
        <v>9</v>
      </c>
      <c r="B3" s="3" t="n">
        <v>450000</v>
      </c>
      <c r="C3" s="3" t="s">
        <v>10</v>
      </c>
      <c r="D3" s="3" t="n">
        <v>1</v>
      </c>
      <c r="E3" s="3" t="s">
        <v>11</v>
      </c>
      <c r="F3" s="3" t="n">
        <v>3600</v>
      </c>
      <c r="G3" s="3" t="s">
        <v>12</v>
      </c>
    </row>
    <row r="4" customFormat="false" ht="15.75" hidden="false" customHeight="true" outlineLevel="0" collapsed="false">
      <c r="A4" s="3" t="s">
        <v>13</v>
      </c>
      <c r="B4" s="3" t="n">
        <v>7000</v>
      </c>
      <c r="C4" s="3" t="s">
        <v>14</v>
      </c>
      <c r="D4" s="3" t="n">
        <v>1</v>
      </c>
      <c r="E4" s="3" t="s">
        <v>15</v>
      </c>
      <c r="F4" s="3" t="n">
        <v>1000</v>
      </c>
      <c r="G4" s="3" t="s">
        <v>16</v>
      </c>
      <c r="I4" s="10" t="s">
        <v>17</v>
      </c>
      <c r="J4" s="11" t="n">
        <f aca="false">C21*J1</f>
        <v>39901477.8325123</v>
      </c>
    </row>
    <row r="5" customFormat="false" ht="15.75" hidden="false" customHeight="true" outlineLevel="0" collapsed="false">
      <c r="A5" s="3" t="s">
        <v>18</v>
      </c>
      <c r="B5" s="3" t="n">
        <v>40</v>
      </c>
      <c r="C5" s="3" t="s">
        <v>1</v>
      </c>
      <c r="D5" s="4"/>
      <c r="E5" s="4"/>
      <c r="F5" s="4"/>
      <c r="G5" s="4"/>
      <c r="I5" s="10" t="s">
        <v>19</v>
      </c>
      <c r="J5" s="11" t="n">
        <f aca="false">C20*J2</f>
        <v>1466526.31578947</v>
      </c>
    </row>
    <row r="6" customFormat="false" ht="15.75" hidden="false" customHeight="true" outlineLevel="0" collapsed="false">
      <c r="A6" s="3" t="s">
        <v>20</v>
      </c>
      <c r="B6" s="3" t="n">
        <v>50</v>
      </c>
      <c r="C6" s="3" t="s">
        <v>1</v>
      </c>
      <c r="D6" s="4"/>
      <c r="E6" s="4"/>
      <c r="F6" s="4"/>
      <c r="G6" s="4"/>
      <c r="J6" s="11" t="n">
        <f aca="false">SUM(J4:J5)</f>
        <v>41368004.1483018</v>
      </c>
    </row>
    <row r="7" customFormat="false" ht="15.75" hidden="false" customHeight="true" outlineLevel="0" collapsed="false">
      <c r="A7" s="3" t="s">
        <v>21</v>
      </c>
      <c r="B7" s="3" t="n">
        <v>40.6</v>
      </c>
      <c r="C7" s="3" t="s">
        <v>22</v>
      </c>
      <c r="D7" s="12" t="n">
        <f aca="false">B7*1000/F3</f>
        <v>11.2777777777778</v>
      </c>
      <c r="E7" s="3" t="s">
        <v>23</v>
      </c>
      <c r="F7" s="4"/>
      <c r="G7" s="4"/>
    </row>
    <row r="8" customFormat="false" ht="15.75" hidden="false" customHeight="true" outlineLevel="0" collapsed="false">
      <c r="A8" s="3" t="s">
        <v>24</v>
      </c>
      <c r="B8" s="3" t="n">
        <v>19</v>
      </c>
      <c r="C8" s="3" t="s">
        <v>22</v>
      </c>
      <c r="D8" s="12" t="n">
        <f aca="false">B8*1000/F3</f>
        <v>5.27777777777778</v>
      </c>
      <c r="E8" s="3" t="s">
        <v>23</v>
      </c>
      <c r="F8" s="4"/>
      <c r="G8" s="4"/>
      <c r="I8" s="10" t="s">
        <v>25</v>
      </c>
      <c r="J8" s="1" t="n">
        <f aca="false">AVERAGE(3500,4500)</f>
        <v>4000</v>
      </c>
      <c r="K8" s="10" t="s">
        <v>26</v>
      </c>
    </row>
    <row r="9" customFormat="false" ht="15.75" hidden="false" customHeight="true" outlineLevel="0" collapsed="false">
      <c r="A9" s="3"/>
      <c r="B9" s="3"/>
      <c r="C9" s="3"/>
      <c r="D9" s="4"/>
      <c r="E9" s="4"/>
      <c r="F9" s="4"/>
      <c r="G9" s="4"/>
      <c r="I9" s="10" t="s">
        <v>27</v>
      </c>
      <c r="J9" s="11" t="n">
        <f aca="false">J8*C10*1000</f>
        <v>257142857.142857</v>
      </c>
    </row>
    <row r="10" customFormat="false" ht="15.75" hidden="false" customHeight="true" outlineLevel="0" collapsed="false">
      <c r="A10" s="3" t="s">
        <v>28</v>
      </c>
      <c r="B10" s="3"/>
      <c r="C10" s="13" t="n">
        <f aca="false">B3/B4</f>
        <v>64.2857142857143</v>
      </c>
      <c r="D10" s="4" t="s">
        <v>29</v>
      </c>
      <c r="E10" s="4"/>
      <c r="F10" s="4"/>
      <c r="G10" s="4"/>
      <c r="I10" s="10" t="s">
        <v>30</v>
      </c>
      <c r="J10" s="1" t="n">
        <v>6000</v>
      </c>
      <c r="K10" s="1" t="n">
        <v>20000</v>
      </c>
      <c r="L10" s="10" t="s">
        <v>31</v>
      </c>
    </row>
    <row r="11" customFormat="false" ht="15.75" hidden="false" customHeight="true" outlineLevel="0" collapsed="false">
      <c r="A11" s="3" t="s">
        <v>32</v>
      </c>
      <c r="B11" s="3"/>
      <c r="C11" s="14" t="n">
        <f aca="false">B15/B4</f>
        <v>80.3571428571429</v>
      </c>
      <c r="D11" s="4" t="s">
        <v>33</v>
      </c>
      <c r="E11" s="4"/>
      <c r="F11" s="4"/>
      <c r="G11" s="4"/>
      <c r="J11" s="11" t="n">
        <f aca="false">J10*C10</f>
        <v>385714.285714286</v>
      </c>
      <c r="K11" s="11" t="n">
        <f aca="false">K10*C10</f>
        <v>1285714.28571429</v>
      </c>
    </row>
    <row r="12" customFormat="false" ht="15.75" hidden="false" customHeight="true" outlineLevel="0" collapsed="false">
      <c r="A12" s="3" t="s">
        <v>34</v>
      </c>
      <c r="B12" s="3"/>
      <c r="C12" s="3" t="n">
        <f aca="false">B14/B4</f>
        <v>160.714285714286</v>
      </c>
      <c r="D12" s="4" t="s">
        <v>35</v>
      </c>
      <c r="E12" s="4"/>
      <c r="F12" s="4"/>
      <c r="G12" s="4"/>
    </row>
    <row r="13" customFormat="false" ht="15.75" hidden="false" customHeight="true" outlineLevel="0" collapsed="false">
      <c r="A13" s="3"/>
      <c r="B13" s="3"/>
      <c r="C13" s="3"/>
      <c r="D13" s="4"/>
      <c r="E13" s="4"/>
      <c r="F13" s="4"/>
      <c r="G13" s="4"/>
      <c r="I13" s="10" t="s">
        <v>36</v>
      </c>
    </row>
    <row r="14" customFormat="false" ht="15.75" hidden="false" customHeight="true" outlineLevel="0" collapsed="false">
      <c r="A14" s="3" t="s">
        <v>37</v>
      </c>
      <c r="B14" s="3" t="n">
        <f aca="false">B3/B5%</f>
        <v>1125000</v>
      </c>
      <c r="C14" s="3" t="s">
        <v>10</v>
      </c>
      <c r="D14" s="4"/>
      <c r="E14" s="4"/>
      <c r="F14" s="4"/>
      <c r="G14" s="4"/>
      <c r="I14" s="10" t="s">
        <v>38</v>
      </c>
      <c r="J14" s="1" t="n">
        <v>70</v>
      </c>
      <c r="K14" s="15" t="s">
        <v>39</v>
      </c>
    </row>
    <row r="15" customFormat="false" ht="15.75" hidden="false" customHeight="true" outlineLevel="0" collapsed="false">
      <c r="A15" s="3" t="s">
        <v>40</v>
      </c>
      <c r="B15" s="3" t="n">
        <f aca="false">B14*B6%</f>
        <v>562500</v>
      </c>
      <c r="C15" s="3" t="s">
        <v>10</v>
      </c>
      <c r="D15" s="4"/>
      <c r="E15" s="4"/>
      <c r="F15" s="4"/>
      <c r="G15" s="4"/>
      <c r="H15" s="11"/>
      <c r="I15" s="10" t="s">
        <v>41</v>
      </c>
      <c r="J15" s="16" t="n">
        <v>0.05</v>
      </c>
    </row>
    <row r="16" customFormat="false" ht="15.75" hidden="false" customHeight="true" outlineLevel="0" collapsed="false">
      <c r="A16" s="3"/>
      <c r="B16" s="3"/>
      <c r="C16" s="3"/>
      <c r="D16" s="4"/>
      <c r="E16" s="4"/>
      <c r="F16" s="4"/>
      <c r="G16" s="4"/>
      <c r="J16" s="17" t="s">
        <v>42</v>
      </c>
      <c r="K16" s="10" t="s">
        <v>43</v>
      </c>
      <c r="L16" s="18" t="s">
        <v>44</v>
      </c>
      <c r="N16" s="10"/>
    </row>
    <row r="17" customFormat="false" ht="15.75" hidden="false" customHeight="true" outlineLevel="0" collapsed="false">
      <c r="A17" s="3" t="s">
        <v>45</v>
      </c>
      <c r="B17" s="3"/>
      <c r="C17" s="3" t="n">
        <f aca="false">B1%*B14</f>
        <v>900000</v>
      </c>
      <c r="D17" s="3" t="s">
        <v>10</v>
      </c>
      <c r="E17" s="4"/>
      <c r="F17" s="4"/>
      <c r="G17" s="4"/>
      <c r="I17" s="10" t="s">
        <v>46</v>
      </c>
      <c r="J17" s="1" t="n">
        <v>35</v>
      </c>
      <c r="K17" s="1" t="n">
        <v>57</v>
      </c>
      <c r="L17" s="1" t="n">
        <f aca="false">AVERAGE(J17:K17)</f>
        <v>46</v>
      </c>
      <c r="M17" s="10" t="s">
        <v>26</v>
      </c>
      <c r="N17" s="10" t="s">
        <v>47</v>
      </c>
    </row>
    <row r="18" customFormat="false" ht="15.75" hidden="false" customHeight="true" outlineLevel="0" collapsed="false">
      <c r="A18" s="3" t="s">
        <v>48</v>
      </c>
      <c r="B18" s="3"/>
      <c r="C18" s="3" t="n">
        <f aca="false">B2%*B14</f>
        <v>225000</v>
      </c>
      <c r="D18" s="3" t="s">
        <v>10</v>
      </c>
      <c r="E18" s="4"/>
      <c r="F18" s="4"/>
      <c r="G18" s="4"/>
      <c r="I18" s="10" t="s">
        <v>49</v>
      </c>
      <c r="J18" s="11" t="n">
        <f aca="false">J17*$B$14</f>
        <v>39375000</v>
      </c>
      <c r="K18" s="11" t="n">
        <f aca="false">K17*$B$14</f>
        <v>64125000</v>
      </c>
      <c r="L18" s="19" t="n">
        <f aca="false">AVERAGE(J18:K18)</f>
        <v>51750000</v>
      </c>
      <c r="N18" s="1" t="n">
        <f aca="false">($J$15*(1+$J$15)^$J$14)/(((1+$J$15)^$J$14)-1)</f>
        <v>0.0516991530262368</v>
      </c>
    </row>
    <row r="19" customFormat="false" ht="15.75" hidden="false" customHeight="true" outlineLevel="0" collapsed="false">
      <c r="A19" s="3"/>
      <c r="B19" s="3"/>
      <c r="C19" s="3"/>
      <c r="D19" s="4"/>
      <c r="E19" s="4"/>
      <c r="F19" s="4"/>
      <c r="G19" s="4"/>
      <c r="I19" s="10" t="s">
        <v>50</v>
      </c>
      <c r="J19" s="1" t="n">
        <v>0.2</v>
      </c>
      <c r="K19" s="1" t="n">
        <v>0.8</v>
      </c>
      <c r="L19" s="1" t="n">
        <f aca="false">AVERAGE(J19:K19)</f>
        <v>0.5</v>
      </c>
      <c r="M19" s="10" t="s">
        <v>51</v>
      </c>
    </row>
    <row r="20" customFormat="false" ht="15.75" hidden="false" customHeight="true" outlineLevel="0" collapsed="false">
      <c r="A20" s="3" t="s">
        <v>52</v>
      </c>
      <c r="B20" s="3" t="s">
        <v>53</v>
      </c>
      <c r="C20" s="12" t="n">
        <f aca="false">C17/D8</f>
        <v>170526.315789474</v>
      </c>
      <c r="D20" s="4"/>
      <c r="E20" s="4"/>
      <c r="F20" s="4"/>
      <c r="G20" s="4"/>
      <c r="I20" s="10" t="s">
        <v>54</v>
      </c>
      <c r="J20" s="1" t="n">
        <f aca="false">J19*$B$14</f>
        <v>225000</v>
      </c>
      <c r="K20" s="1" t="n">
        <f aca="false">K19*$B$14</f>
        <v>900000</v>
      </c>
      <c r="L20" s="1" t="n">
        <f aca="false">L19*$B$14</f>
        <v>562500</v>
      </c>
    </row>
    <row r="21" customFormat="false" ht="15.75" hidden="false" customHeight="true" outlineLevel="0" collapsed="false">
      <c r="A21" s="3" t="s">
        <v>55</v>
      </c>
      <c r="B21" s="3" t="s">
        <v>53</v>
      </c>
      <c r="C21" s="12" t="n">
        <f aca="false">C17/D7</f>
        <v>79802.9556650246</v>
      </c>
      <c r="D21" s="4"/>
      <c r="E21" s="4"/>
      <c r="F21" s="4"/>
      <c r="G21" s="4"/>
      <c r="I21" s="10" t="s">
        <v>56</v>
      </c>
      <c r="L21" s="11" t="n">
        <f aca="false">(L18*N18)+L20</f>
        <v>3237931.16910775</v>
      </c>
    </row>
    <row r="22" customFormat="false" ht="15.75" hidden="false" customHeight="true" outlineLevel="0" collapsed="false">
      <c r="A22" s="3" t="s">
        <v>57</v>
      </c>
      <c r="B22" s="3" t="s">
        <v>53</v>
      </c>
      <c r="C22" s="12" t="n">
        <f aca="false">C20+C21</f>
        <v>250329.271454498</v>
      </c>
      <c r="D22" s="4"/>
      <c r="E22" s="4"/>
      <c r="F22" s="4"/>
      <c r="G22" s="4"/>
    </row>
    <row r="23" customFormat="false" ht="15.75" hidden="false" customHeight="true" outlineLevel="0" collapsed="false">
      <c r="A23" s="3" t="s">
        <v>58</v>
      </c>
      <c r="B23" s="3" t="s">
        <v>1</v>
      </c>
      <c r="C23" s="3" t="n">
        <f aca="false">C21/C22*100</f>
        <v>31.8791946308725</v>
      </c>
      <c r="D23" s="4"/>
      <c r="E23" s="4"/>
      <c r="F23" s="4"/>
      <c r="G23" s="4"/>
      <c r="I23" s="10" t="s">
        <v>59</v>
      </c>
    </row>
    <row r="24" customFormat="false" ht="15.75" hidden="false" customHeight="true" outlineLevel="0" collapsed="false">
      <c r="A24" s="3" t="s">
        <v>60</v>
      </c>
      <c r="B24" s="3" t="s">
        <v>1</v>
      </c>
      <c r="C24" s="3" t="n">
        <f aca="false">C20/C22*100</f>
        <v>68.1208053691275</v>
      </c>
      <c r="D24" s="4"/>
      <c r="E24" s="4"/>
      <c r="F24" s="4"/>
      <c r="G24" s="4"/>
      <c r="I24" s="10" t="s">
        <v>61</v>
      </c>
    </row>
    <row r="25" customFormat="false" ht="15.75" hidden="false" customHeight="true" outlineLevel="0" collapsed="false">
      <c r="A25" s="3"/>
      <c r="B25" s="3"/>
      <c r="C25" s="3"/>
      <c r="D25" s="4"/>
      <c r="E25" s="4"/>
      <c r="F25" s="4"/>
      <c r="G25" s="4"/>
      <c r="J25" s="17" t="s">
        <v>42</v>
      </c>
      <c r="K25" s="10" t="s">
        <v>43</v>
      </c>
      <c r="L25" s="18" t="s">
        <v>44</v>
      </c>
    </row>
    <row r="26" customFormat="false" ht="15.75" hidden="false" customHeight="true" outlineLevel="0" collapsed="false">
      <c r="A26" s="3" t="s">
        <v>62</v>
      </c>
      <c r="B26" s="3" t="s">
        <v>16</v>
      </c>
      <c r="C26" s="12" t="n">
        <f aca="false">C23/100*1</f>
        <v>0.318791946308725</v>
      </c>
      <c r="D26" s="4"/>
      <c r="E26" s="4"/>
      <c r="F26" s="4"/>
      <c r="G26" s="4"/>
      <c r="I26" s="10" t="s">
        <v>46</v>
      </c>
      <c r="J26" s="1" t="n">
        <v>20</v>
      </c>
      <c r="K26" s="1" t="n">
        <v>60</v>
      </c>
      <c r="L26" s="1" t="n">
        <f aca="false">AVERAGE(J26:K26)</f>
        <v>40</v>
      </c>
      <c r="M26" s="10" t="s">
        <v>26</v>
      </c>
    </row>
    <row r="27" customFormat="false" ht="15.75" hidden="false" customHeight="true" outlineLevel="0" collapsed="false">
      <c r="A27" s="3" t="s">
        <v>63</v>
      </c>
      <c r="B27" s="3" t="s">
        <v>16</v>
      </c>
      <c r="C27" s="12" t="n">
        <f aca="false">C24/100*1</f>
        <v>0.681208053691275</v>
      </c>
      <c r="D27" s="4"/>
      <c r="E27" s="4"/>
      <c r="F27" s="4"/>
      <c r="G27" s="4"/>
      <c r="I27" s="10" t="s">
        <v>49</v>
      </c>
      <c r="J27" s="11" t="n">
        <f aca="false">J26*$B$14</f>
        <v>22500000</v>
      </c>
      <c r="K27" s="11" t="n">
        <f aca="false">K26*$B$14</f>
        <v>67500000</v>
      </c>
      <c r="L27" s="19" t="n">
        <f aca="false">AVERAGE(J27:K27)</f>
        <v>45000000</v>
      </c>
      <c r="N27" s="11" t="n">
        <f aca="false">N18*L27</f>
        <v>2326461.88618066</v>
      </c>
    </row>
    <row r="28" customFormat="false" ht="15.75" hidden="false" customHeight="true" outlineLevel="0" collapsed="false">
      <c r="I28" s="10"/>
      <c r="M28" s="10"/>
    </row>
    <row r="29" customFormat="false" ht="15.75" hidden="false" customHeight="true" outlineLevel="0" collapsed="false">
      <c r="I29" s="10" t="s">
        <v>64</v>
      </c>
    </row>
    <row r="30" customFormat="false" ht="15.75" hidden="false" customHeight="true" outlineLevel="0" collapsed="false">
      <c r="A30" s="20"/>
      <c r="B30" s="20" t="s">
        <v>65</v>
      </c>
      <c r="C30" s="20" t="s">
        <v>66</v>
      </c>
      <c r="D30" s="20" t="s">
        <v>67</v>
      </c>
      <c r="E30" s="20" t="s">
        <v>68</v>
      </c>
      <c r="F30" s="21" t="s">
        <v>69</v>
      </c>
      <c r="I30" s="10" t="s">
        <v>46</v>
      </c>
      <c r="J30" s="1" t="n">
        <v>15</v>
      </c>
      <c r="K30" s="1" t="n">
        <v>25</v>
      </c>
      <c r="L30" s="10" t="s">
        <v>44</v>
      </c>
    </row>
    <row r="31" customFormat="false" ht="15.75" hidden="false" customHeight="true" outlineLevel="0" collapsed="false">
      <c r="A31" s="20" t="s">
        <v>70</v>
      </c>
      <c r="B31" s="20" t="n">
        <v>87.3</v>
      </c>
      <c r="C31" s="20" t="n">
        <v>48.62</v>
      </c>
      <c r="D31" s="22" t="n">
        <f aca="false">B31/100*C26*1000</f>
        <v>278.305369127517</v>
      </c>
      <c r="E31" s="22" t="n">
        <f aca="false">C31/100*C27*1000</f>
        <v>331.203355704698</v>
      </c>
      <c r="F31" s="22" t="n">
        <f aca="false">D31+E31</f>
        <v>609.508724832215</v>
      </c>
      <c r="I31" s="10" t="s">
        <v>49</v>
      </c>
      <c r="J31" s="11" t="n">
        <f aca="false">J30*$B$14</f>
        <v>16875000</v>
      </c>
      <c r="K31" s="11" t="n">
        <f aca="false">K30*$B$14</f>
        <v>28125000</v>
      </c>
      <c r="L31" s="11" t="n">
        <f aca="false">AVERAGE(J31:K31)</f>
        <v>22500000</v>
      </c>
      <c r="N31" s="11" t="n">
        <f aca="false">L31*N18</f>
        <v>1163230.94309033</v>
      </c>
    </row>
    <row r="32" customFormat="false" ht="15.75" hidden="false" customHeight="true" outlineLevel="0" collapsed="false">
      <c r="A32" s="20" t="s">
        <v>71</v>
      </c>
      <c r="B32" s="20" t="n">
        <v>10.9</v>
      </c>
      <c r="C32" s="20" t="n">
        <v>5.79</v>
      </c>
      <c r="D32" s="22" t="n">
        <f aca="false">B32/100*C26*1000</f>
        <v>34.748322147651</v>
      </c>
      <c r="E32" s="22" t="n">
        <f aca="false">C32/100*C27*1000</f>
        <v>39.4419463087248</v>
      </c>
      <c r="F32" s="22" t="n">
        <f aca="false">D32+E32</f>
        <v>74.1902684563759</v>
      </c>
      <c r="I32" s="10" t="s">
        <v>50</v>
      </c>
      <c r="J32" s="1" t="n">
        <v>0.1</v>
      </c>
      <c r="K32" s="1" t="n">
        <v>0.1</v>
      </c>
      <c r="L32" s="1" t="n">
        <f aca="false">AVERAGE(J32:K32)</f>
        <v>0.1</v>
      </c>
      <c r="M32" s="10" t="s">
        <v>72</v>
      </c>
    </row>
    <row r="33" customFormat="false" ht="15.75" hidden="false" customHeight="true" outlineLevel="0" collapsed="false">
      <c r="A33" s="20" t="s">
        <v>73</v>
      </c>
      <c r="B33" s="20" t="n">
        <v>0.5</v>
      </c>
      <c r="C33" s="20" t="n">
        <v>2.39</v>
      </c>
      <c r="D33" s="22" t="n">
        <f aca="false">B33/100*C26*1000</f>
        <v>1.59395973154362</v>
      </c>
      <c r="E33" s="22" t="n">
        <f aca="false">C33/100*C27*1000</f>
        <v>16.2808724832215</v>
      </c>
      <c r="F33" s="22" t="n">
        <f aca="false">D33+E33</f>
        <v>17.8748322147651</v>
      </c>
      <c r="I33" s="10" t="s">
        <v>54</v>
      </c>
      <c r="J33" s="1" t="n">
        <f aca="false">J32*$B$14</f>
        <v>112500</v>
      </c>
      <c r="K33" s="1" t="n">
        <f aca="false">K32*$B$14</f>
        <v>112500</v>
      </c>
      <c r="L33" s="1" t="n">
        <f aca="false">L32*$B$14</f>
        <v>112500</v>
      </c>
    </row>
    <row r="34" customFormat="false" ht="15.75" hidden="false" customHeight="true" outlineLevel="0" collapsed="false">
      <c r="A34" s="20" t="s">
        <v>74</v>
      </c>
      <c r="B34" s="20" t="n">
        <v>0</v>
      </c>
      <c r="C34" s="20" t="n">
        <v>43.2</v>
      </c>
      <c r="D34" s="22" t="n">
        <f aca="false">B34/100*C26*1000</f>
        <v>0</v>
      </c>
      <c r="E34" s="22" t="n">
        <f aca="false">C34/100*C27*1000</f>
        <v>294.281879194631</v>
      </c>
      <c r="F34" s="22" t="n">
        <f aca="false">D34+E34</f>
        <v>294.281879194631</v>
      </c>
      <c r="I34" s="10" t="s">
        <v>56</v>
      </c>
      <c r="L34" s="11" t="n">
        <f aca="false">SUM(N31,L33)</f>
        <v>1275730.94309033</v>
      </c>
    </row>
    <row r="35" customFormat="false" ht="15.75" hidden="false" customHeight="true" outlineLevel="0" collapsed="false">
      <c r="A35" s="20" t="s">
        <v>75</v>
      </c>
      <c r="B35" s="20" t="n">
        <v>0.95</v>
      </c>
      <c r="C35" s="20" t="n">
        <v>0</v>
      </c>
      <c r="D35" s="22" t="n">
        <f aca="false">B35/100*C26*1000</f>
        <v>3.02852348993289</v>
      </c>
      <c r="E35" s="22" t="n">
        <f aca="false">C35/100*C27*1000</f>
        <v>0</v>
      </c>
      <c r="F35" s="22" t="n">
        <f aca="false">D35+E35</f>
        <v>3.02852348993289</v>
      </c>
    </row>
    <row r="36" customFormat="false" ht="15.75" hidden="false" customHeight="true" outlineLevel="0" collapsed="false">
      <c r="A36" s="20" t="s">
        <v>76</v>
      </c>
      <c r="B36" s="20" t="n">
        <v>0.05</v>
      </c>
      <c r="C36" s="20" t="n">
        <v>0.37</v>
      </c>
      <c r="D36" s="22" t="n">
        <f aca="false">B36/100*C26*1000</f>
        <v>0.159395973154362</v>
      </c>
      <c r="E36" s="22" t="n">
        <f aca="false">C36/100*C27*1000</f>
        <v>2.52046979865772</v>
      </c>
      <c r="F36" s="22" t="n">
        <f aca="false">D36+E36</f>
        <v>2.67986577181208</v>
      </c>
      <c r="G36" s="1" t="n">
        <f aca="false">B36*C20</f>
        <v>8526.31578947369</v>
      </c>
      <c r="H36" s="1" t="n">
        <f aca="false">C36*C20</f>
        <v>63094.7368421053</v>
      </c>
      <c r="I36" s="1" t="n">
        <f aca="false">SUM(G36:H36)</f>
        <v>71621.052631579</v>
      </c>
    </row>
    <row r="37" customFormat="false" ht="15.75" hidden="false" customHeight="true" outlineLevel="0" collapsed="false">
      <c r="A37" s="20" t="s">
        <v>77</v>
      </c>
      <c r="B37" s="20" t="n">
        <v>0.14</v>
      </c>
      <c r="C37" s="20" t="n">
        <v>0</v>
      </c>
      <c r="D37" s="22" t="n">
        <f aca="false">B37/100*C26*1000</f>
        <v>0.446308724832215</v>
      </c>
      <c r="E37" s="22" t="n">
        <f aca="false">C37/100*C27*1000</f>
        <v>0</v>
      </c>
      <c r="F37" s="22" t="n">
        <f aca="false">D37+E37</f>
        <v>0.446308724832215</v>
      </c>
    </row>
    <row r="38" customFormat="false" ht="15.75" hidden="false" customHeight="true" outlineLevel="0" collapsed="false">
      <c r="A38" s="23"/>
      <c r="B38" s="23"/>
      <c r="C38" s="23"/>
      <c r="D38" s="24"/>
      <c r="E38" s="24"/>
      <c r="F38" s="24"/>
    </row>
    <row r="39" customFormat="false" ht="12.75" hidden="false" customHeight="false" outlineLevel="0" collapsed="false">
      <c r="C39" s="25"/>
      <c r="D39" s="25"/>
      <c r="E39" s="25"/>
      <c r="F39" s="25"/>
    </row>
    <row r="40" customFormat="false" ht="12.75" hidden="false" customHeight="false" outlineLevel="0" collapsed="false">
      <c r="A40" s="26" t="s">
        <v>78</v>
      </c>
      <c r="B40" s="26" t="n">
        <v>3.77</v>
      </c>
      <c r="C40" s="25"/>
      <c r="D40" s="25"/>
      <c r="E40" s="25"/>
      <c r="F40" s="25"/>
    </row>
    <row r="41" customFormat="false" ht="12.75" hidden="false" customHeight="false" outlineLevel="0" collapsed="false">
      <c r="A41" s="26" t="s">
        <v>79</v>
      </c>
      <c r="B41" s="26" t="n">
        <v>1.1</v>
      </c>
    </row>
    <row r="42" customFormat="false" ht="12.75" hidden="false" customHeight="false" outlineLevel="0" collapsed="false">
      <c r="A42" s="27"/>
      <c r="B42" s="27" t="s">
        <v>80</v>
      </c>
      <c r="C42" s="27" t="s">
        <v>81</v>
      </c>
      <c r="D42" s="27" t="s">
        <v>82</v>
      </c>
      <c r="E42" s="27" t="s">
        <v>83</v>
      </c>
      <c r="F42" s="27" t="s">
        <v>84</v>
      </c>
      <c r="G42" s="27" t="s">
        <v>85</v>
      </c>
      <c r="H42" s="27" t="s">
        <v>86</v>
      </c>
      <c r="I42" s="27" t="s">
        <v>87</v>
      </c>
    </row>
    <row r="43" customFormat="false" ht="12.75" hidden="false" customHeight="false" outlineLevel="0" collapsed="false">
      <c r="A43" s="27" t="s">
        <v>70</v>
      </c>
      <c r="B43" s="28" t="n">
        <f aca="false">F31</f>
        <v>609.508724832215</v>
      </c>
      <c r="C43" s="27" t="n">
        <v>12</v>
      </c>
      <c r="D43" s="28" t="n">
        <f aca="false">B43/C43</f>
        <v>50.7923937360179</v>
      </c>
      <c r="E43" s="28" t="n">
        <f aca="false">D43</f>
        <v>50.7923937360179</v>
      </c>
      <c r="F43" s="28" t="n">
        <f aca="false">D43</f>
        <v>50.7923937360179</v>
      </c>
      <c r="G43" s="28"/>
      <c r="H43" s="28"/>
      <c r="I43" s="28"/>
    </row>
    <row r="44" customFormat="false" ht="12.75" hidden="false" customHeight="false" outlineLevel="0" collapsed="false">
      <c r="A44" s="27" t="s">
        <v>88</v>
      </c>
      <c r="B44" s="28" t="n">
        <f aca="false">F32</f>
        <v>74.1902684563759</v>
      </c>
      <c r="C44" s="27" t="n">
        <v>2</v>
      </c>
      <c r="D44" s="28" t="n">
        <f aca="false">B44/C44</f>
        <v>37.0951342281879</v>
      </c>
      <c r="E44" s="28" t="n">
        <f aca="false">D44/2</f>
        <v>18.547567114094</v>
      </c>
      <c r="F44" s="28"/>
      <c r="G44" s="28"/>
      <c r="H44" s="28" t="n">
        <f aca="false">D44</f>
        <v>37.0951342281879</v>
      </c>
      <c r="I44" s="28"/>
    </row>
    <row r="45" customFormat="false" ht="12.75" hidden="false" customHeight="false" outlineLevel="0" collapsed="false">
      <c r="A45" s="27" t="s">
        <v>89</v>
      </c>
      <c r="B45" s="28" t="n">
        <f aca="false">F34</f>
        <v>294.281879194631</v>
      </c>
      <c r="C45" s="27" t="n">
        <v>32</v>
      </c>
      <c r="D45" s="28" t="n">
        <f aca="false">B45/C45</f>
        <v>9.19630872483222</v>
      </c>
      <c r="E45" s="28" t="n">
        <f aca="false">-D45</f>
        <v>-9.19630872483222</v>
      </c>
      <c r="F45" s="28"/>
      <c r="G45" s="28"/>
      <c r="H45" s="28"/>
      <c r="I45" s="28"/>
    </row>
    <row r="46" customFormat="false" ht="12.75" hidden="false" customHeight="false" outlineLevel="0" collapsed="false">
      <c r="A46" s="27" t="s">
        <v>90</v>
      </c>
      <c r="B46" s="28" t="n">
        <f aca="false">F33</f>
        <v>17.8748322147651</v>
      </c>
      <c r="C46" s="27" t="n">
        <v>28</v>
      </c>
      <c r="D46" s="28" t="n">
        <f aca="false">B46/C46</f>
        <v>0.638386864813039</v>
      </c>
      <c r="E46" s="28"/>
      <c r="F46" s="28"/>
      <c r="G46" s="28"/>
      <c r="H46" s="28"/>
      <c r="I46" s="28" t="n">
        <f aca="false">D46</f>
        <v>0.638386864813039</v>
      </c>
    </row>
    <row r="47" customFormat="false" ht="12.75" hidden="false" customHeight="false" outlineLevel="0" collapsed="false">
      <c r="A47" s="27" t="s">
        <v>91</v>
      </c>
      <c r="B47" s="28" t="n">
        <f aca="false">F37</f>
        <v>0.446308724832215</v>
      </c>
      <c r="C47" s="27" t="n">
        <v>18</v>
      </c>
      <c r="D47" s="28" t="n">
        <f aca="false">B47/C47</f>
        <v>0.0247949291573453</v>
      </c>
      <c r="E47" s="28"/>
      <c r="F47" s="28"/>
      <c r="G47" s="28"/>
      <c r="H47" s="28" t="n">
        <f aca="false">D47</f>
        <v>0.0247949291573453</v>
      </c>
      <c r="I47" s="28"/>
    </row>
    <row r="48" customFormat="false" ht="12.75" hidden="false" customHeight="false" outlineLevel="0" collapsed="false">
      <c r="A48" s="27" t="s">
        <v>75</v>
      </c>
      <c r="B48" s="28" t="n">
        <f aca="false">F35</f>
        <v>3.02852348993289</v>
      </c>
      <c r="C48" s="27" t="n">
        <v>32</v>
      </c>
      <c r="D48" s="28" t="n">
        <f aca="false">B48/C48</f>
        <v>0.0946413590604027</v>
      </c>
      <c r="E48" s="28" t="n">
        <f aca="false">D48</f>
        <v>0.0946413590604027</v>
      </c>
      <c r="F48" s="28"/>
      <c r="G48" s="28" t="n">
        <f aca="false">D48</f>
        <v>0.0946413590604027</v>
      </c>
      <c r="H48" s="28"/>
      <c r="I48" s="28"/>
    </row>
    <row r="49" customFormat="false" ht="12.75" hidden="false" customHeight="false" outlineLevel="0" collapsed="false">
      <c r="A49" s="27" t="s">
        <v>76</v>
      </c>
      <c r="B49" s="28" t="n">
        <f aca="false">F36</f>
        <v>2.67986577181208</v>
      </c>
      <c r="C49" s="27"/>
      <c r="D49" s="28"/>
      <c r="E49" s="28"/>
      <c r="F49" s="28"/>
      <c r="G49" s="28"/>
      <c r="H49" s="28"/>
      <c r="I49" s="28"/>
    </row>
    <row r="50" customFormat="false" ht="12.75" hidden="false" customHeight="false" outlineLevel="0" collapsed="false">
      <c r="A50" s="27" t="s">
        <v>92</v>
      </c>
      <c r="B50" s="27"/>
      <c r="C50" s="27"/>
      <c r="D50" s="28"/>
      <c r="E50" s="28" t="n">
        <f aca="false">E43+E44+E45+E48</f>
        <v>60.23829348434</v>
      </c>
      <c r="F50" s="28" t="n">
        <f aca="false">F43</f>
        <v>50.7923937360179</v>
      </c>
      <c r="G50" s="28" t="n">
        <f aca="false">G48</f>
        <v>0.0946413590604027</v>
      </c>
      <c r="H50" s="28" t="n">
        <f aca="false">H44+H47</f>
        <v>37.1199291573453</v>
      </c>
      <c r="I50" s="28" t="n">
        <f aca="false">I46</f>
        <v>0.638386864813039</v>
      </c>
    </row>
    <row r="52" customFormat="false" ht="12.75" hidden="false" customHeight="false" outlineLevel="0" collapsed="false">
      <c r="I52" s="29" t="s">
        <v>93</v>
      </c>
    </row>
    <row r="53" customFormat="false" ht="12.75" hidden="false" customHeight="false" outlineLevel="0" collapsed="false">
      <c r="E53" s="27"/>
      <c r="F53" s="27" t="s">
        <v>82</v>
      </c>
      <c r="G53" s="27" t="s">
        <v>81</v>
      </c>
      <c r="H53" s="27" t="s">
        <v>94</v>
      </c>
      <c r="I53" s="27" t="s">
        <v>95</v>
      </c>
      <c r="J53" s="27" t="s">
        <v>96</v>
      </c>
    </row>
    <row r="54" customFormat="false" ht="12.75" hidden="false" customHeight="false" outlineLevel="0" collapsed="false">
      <c r="B54" s="26" t="s">
        <v>97</v>
      </c>
      <c r="C54" s="30" t="n">
        <f aca="false">B41*E50</f>
        <v>66.262122832774</v>
      </c>
      <c r="E54" s="27" t="s">
        <v>98</v>
      </c>
      <c r="F54" s="28" t="n">
        <f aca="false">(B41-1)*E50</f>
        <v>6.02382934843401</v>
      </c>
      <c r="G54" s="27" t="n">
        <v>32</v>
      </c>
      <c r="H54" s="28" t="n">
        <f aca="false">F54*G54</f>
        <v>192.762539149888</v>
      </c>
      <c r="I54" s="27" t="n">
        <v>22.39</v>
      </c>
      <c r="J54" s="28" t="n">
        <f aca="false">F54*I54/1000</f>
        <v>0.134873539111437</v>
      </c>
    </row>
    <row r="55" customFormat="false" ht="12.75" hidden="false" customHeight="false" outlineLevel="0" collapsed="false">
      <c r="E55" s="27" t="s">
        <v>99</v>
      </c>
      <c r="F55" s="28" t="n">
        <f aca="false">B41*B40*E50+I46</f>
        <v>250.446589944371</v>
      </c>
      <c r="G55" s="27" t="n">
        <v>28</v>
      </c>
      <c r="H55" s="28" t="n">
        <f aca="false">F55*G55</f>
        <v>7012.50451844239</v>
      </c>
      <c r="I55" s="27" t="n">
        <v>22.4</v>
      </c>
      <c r="J55" s="28" t="n">
        <f aca="false">F55*I55/1000</f>
        <v>5.61000361475391</v>
      </c>
    </row>
    <row r="56" customFormat="false" ht="12.75" hidden="false" customHeight="false" outlineLevel="0" collapsed="false">
      <c r="E56" s="27" t="s">
        <v>100</v>
      </c>
      <c r="F56" s="28" t="n">
        <f aca="false">F50</f>
        <v>50.7923937360179</v>
      </c>
      <c r="G56" s="27" t="n">
        <v>44</v>
      </c>
      <c r="H56" s="28" t="n">
        <f aca="false">F56*G56</f>
        <v>2234.86532438479</v>
      </c>
      <c r="I56" s="27" t="n">
        <v>22.26</v>
      </c>
      <c r="J56" s="28" t="n">
        <f aca="false">F56*I56/1000</f>
        <v>1.13063868456376</v>
      </c>
    </row>
    <row r="57" customFormat="false" ht="12.75" hidden="false" customHeight="false" outlineLevel="0" collapsed="false">
      <c r="E57" s="27" t="s">
        <v>101</v>
      </c>
      <c r="F57" s="28" t="n">
        <f aca="false">G50</f>
        <v>0.0946413590604027</v>
      </c>
      <c r="G57" s="27" t="n">
        <v>64</v>
      </c>
      <c r="H57" s="28" t="n">
        <f aca="false">F57*G57</f>
        <v>6.05704697986577</v>
      </c>
      <c r="I57" s="27" t="n">
        <v>21.29</v>
      </c>
      <c r="J57" s="31" t="n">
        <f aca="false">F57*I57/1000</f>
        <v>0.00201491453439597</v>
      </c>
    </row>
    <row r="58" customFormat="false" ht="12.75" hidden="false" customHeight="false" outlineLevel="0" collapsed="false">
      <c r="E58" s="27" t="s">
        <v>102</v>
      </c>
      <c r="F58" s="28" t="n">
        <f aca="false">H50</f>
        <v>37.1199291573453</v>
      </c>
      <c r="G58" s="27" t="n">
        <v>18</v>
      </c>
      <c r="H58" s="28" t="n">
        <f aca="false">F58*G58</f>
        <v>668.158724832215</v>
      </c>
      <c r="I58" s="27" t="n">
        <v>22.4</v>
      </c>
      <c r="J58" s="28" t="n">
        <f aca="false">F58*I58/1000</f>
        <v>0.831486413124534</v>
      </c>
    </row>
    <row r="59" customFormat="false" ht="12.75" hidden="false" customHeight="false" outlineLevel="0" collapsed="false">
      <c r="E59" s="26"/>
      <c r="F59" s="26"/>
      <c r="G59" s="26"/>
      <c r="H59" s="26"/>
      <c r="I59" s="27" t="s">
        <v>103</v>
      </c>
      <c r="J59" s="28" t="n">
        <f aca="false">J54+J55+J56+J57</f>
        <v>6.87753075296351</v>
      </c>
    </row>
    <row r="61" customFormat="false" ht="12.75" hidden="false" customHeight="false" outlineLevel="0" collapsed="false">
      <c r="F61" s="25"/>
      <c r="G61" s="32" t="s">
        <v>104</v>
      </c>
      <c r="H61" s="32"/>
      <c r="I61" s="32"/>
      <c r="J61" s="32"/>
    </row>
    <row r="62" customFormat="false" ht="12.75" hidden="false" customHeight="false" outlineLevel="0" collapsed="false">
      <c r="F62" s="25"/>
      <c r="G62" s="32"/>
      <c r="H62" s="32" t="s">
        <v>105</v>
      </c>
      <c r="I62" s="32" t="n">
        <v>70</v>
      </c>
      <c r="J62" s="32"/>
    </row>
    <row r="63" customFormat="false" ht="12.75" hidden="false" customHeight="false" outlineLevel="0" collapsed="false">
      <c r="F63" s="25"/>
      <c r="G63" s="32"/>
      <c r="H63" s="32" t="s">
        <v>106</v>
      </c>
      <c r="I63" s="32" t="n">
        <v>30</v>
      </c>
      <c r="J63" s="32"/>
    </row>
    <row r="64" customFormat="false" ht="12.75" hidden="false" customHeight="false" outlineLevel="0" collapsed="false">
      <c r="F64" s="25"/>
      <c r="G64" s="32" t="s">
        <v>107</v>
      </c>
      <c r="H64" s="33" t="n">
        <f aca="false">(I63/100)*B49/J59</f>
        <v>0.116896566576195</v>
      </c>
      <c r="I64" s="32"/>
      <c r="J64" s="32"/>
    </row>
    <row r="65" customFormat="false" ht="12.75" hidden="false" customHeight="false" outlineLevel="0" collapsed="false">
      <c r="F65" s="25"/>
      <c r="G65" s="32" t="s">
        <v>108</v>
      </c>
      <c r="H65" s="33" t="n">
        <f aca="false">I63/100*B49</f>
        <v>0.803959731543624</v>
      </c>
      <c r="I65" s="32"/>
      <c r="J65" s="32"/>
    </row>
    <row r="66" customFormat="false" ht="12.75" hidden="false" customHeight="false" outlineLevel="0" collapsed="false">
      <c r="F66" s="25"/>
      <c r="G66" s="32" t="s">
        <v>109</v>
      </c>
      <c r="H66" s="34" t="n">
        <f aca="false">H65*C22*1000</f>
        <v>201254653.876069</v>
      </c>
      <c r="I66" s="32" t="s">
        <v>110</v>
      </c>
      <c r="J66" s="34" t="n">
        <f aca="false">H66/1000000</f>
        <v>201.254653876069</v>
      </c>
      <c r="K66" s="32" t="s">
        <v>111</v>
      </c>
    </row>
    <row r="68" customFormat="false" ht="12.75" hidden="false" customHeight="false" outlineLevel="0" collapsed="false">
      <c r="B68" s="35" t="s">
        <v>112</v>
      </c>
      <c r="C68" s="35"/>
      <c r="D68" s="35"/>
      <c r="E68" s="35"/>
      <c r="F68" s="35"/>
      <c r="H68" s="36" t="s">
        <v>113</v>
      </c>
      <c r="I68" s="36"/>
      <c r="J68" s="36" t="s">
        <v>114</v>
      </c>
    </row>
    <row r="69" customFormat="false" ht="12.75" hidden="false" customHeight="false" outlineLevel="0" collapsed="false">
      <c r="B69" s="35" t="s">
        <v>115</v>
      </c>
      <c r="C69" s="35" t="n">
        <f aca="false">C72+C71</f>
        <v>30</v>
      </c>
      <c r="D69" s="35" t="s">
        <v>116</v>
      </c>
      <c r="E69" s="35"/>
      <c r="F69" s="35" t="n">
        <v>10</v>
      </c>
      <c r="H69" s="36"/>
      <c r="I69" s="36" t="s">
        <v>117</v>
      </c>
      <c r="J69" s="36" t="n">
        <v>32</v>
      </c>
    </row>
    <row r="70" customFormat="false" ht="12.75" hidden="false" customHeight="false" outlineLevel="0" collapsed="false">
      <c r="B70" s="35" t="s">
        <v>118</v>
      </c>
      <c r="C70" s="35" t="n">
        <f aca="false">C72+2*C71</f>
        <v>46</v>
      </c>
      <c r="D70" s="35" t="s">
        <v>119</v>
      </c>
      <c r="E70" s="35" t="n">
        <v>95</v>
      </c>
      <c r="F70" s="25"/>
      <c r="H70" s="36"/>
      <c r="I70" s="36" t="s">
        <v>120</v>
      </c>
      <c r="J70" s="36" t="n">
        <v>64</v>
      </c>
    </row>
    <row r="71" customFormat="false" ht="12.75" hidden="false" customHeight="false" outlineLevel="0" collapsed="false">
      <c r="B71" s="35" t="s">
        <v>121</v>
      </c>
      <c r="C71" s="35" t="n">
        <v>16</v>
      </c>
      <c r="D71" s="35" t="s">
        <v>122</v>
      </c>
      <c r="E71" s="35" t="n">
        <v>5</v>
      </c>
      <c r="F71" s="25"/>
      <c r="H71" s="36"/>
      <c r="I71" s="36"/>
      <c r="J71" s="36"/>
    </row>
    <row r="72" customFormat="false" ht="12.75" hidden="false" customHeight="false" outlineLevel="0" collapsed="false">
      <c r="B72" s="35" t="s">
        <v>123</v>
      </c>
      <c r="C72" s="35" t="n">
        <v>14</v>
      </c>
      <c r="D72" s="25"/>
      <c r="E72" s="25"/>
      <c r="F72" s="25"/>
      <c r="H72" s="36" t="s">
        <v>124</v>
      </c>
      <c r="I72" s="36" t="n">
        <f aca="false">(1*J70)/(1*J69)</f>
        <v>2</v>
      </c>
      <c r="J72" s="36"/>
    </row>
    <row r="73" customFormat="false" ht="12.75" hidden="false" customHeight="false" outlineLevel="0" collapsed="false">
      <c r="B73" s="37" t="s">
        <v>125</v>
      </c>
      <c r="C73" s="37"/>
      <c r="D73" s="25"/>
      <c r="E73" s="25"/>
      <c r="F73" s="25"/>
      <c r="H73" s="36" t="s">
        <v>126</v>
      </c>
      <c r="I73" s="38" t="n">
        <f aca="false">I72*B48</f>
        <v>6.05704697986577</v>
      </c>
      <c r="J73" s="36" t="s">
        <v>127</v>
      </c>
    </row>
    <row r="74" customFormat="false" ht="12.75" hidden="false" customHeight="false" outlineLevel="0" collapsed="false">
      <c r="B74" s="37" t="s">
        <v>128</v>
      </c>
      <c r="C74" s="39" t="n">
        <f aca="false">(2*C69)/(2*C72)</f>
        <v>2.14285714285714</v>
      </c>
      <c r="D74" s="25"/>
      <c r="E74" s="25"/>
      <c r="F74" s="25"/>
      <c r="H74" s="36" t="s">
        <v>129</v>
      </c>
      <c r="I74" s="38" t="n">
        <f aca="false">I73/J59</f>
        <v>0.88070082089503</v>
      </c>
      <c r="J74" s="36" t="s">
        <v>130</v>
      </c>
    </row>
    <row r="75" customFormat="false" ht="12.75" hidden="false" customHeight="false" outlineLevel="0" collapsed="false">
      <c r="B75" s="37" t="s">
        <v>131</v>
      </c>
      <c r="C75" s="39" t="n">
        <f aca="false">F69/100*C74*I50*C46</f>
        <v>3.83032118887824</v>
      </c>
      <c r="D75" s="25"/>
      <c r="E75" s="25"/>
      <c r="F75" s="25"/>
      <c r="H75" s="36" t="s">
        <v>132</v>
      </c>
      <c r="I75" s="38" t="n">
        <f aca="false">I73*C22*1000</f>
        <v>1516256157.63547</v>
      </c>
      <c r="J75" s="36" t="s">
        <v>133</v>
      </c>
      <c r="K75" s="38" t="n">
        <f aca="false">I75/1000000</f>
        <v>1516.25615763547</v>
      </c>
      <c r="L75" s="36" t="s">
        <v>134</v>
      </c>
    </row>
    <row r="76" customFormat="false" ht="12.75" hidden="false" customHeight="false" outlineLevel="0" collapsed="false">
      <c r="B76" s="37" t="s">
        <v>135</v>
      </c>
      <c r="C76" s="39" t="n">
        <f aca="false">C75*C22*1000</f>
        <v>958841512.648617</v>
      </c>
      <c r="D76" s="37" t="s">
        <v>136</v>
      </c>
      <c r="E76" s="39" t="n">
        <f aca="false">C76/1000000</f>
        <v>958.841512648617</v>
      </c>
      <c r="F76" s="37" t="s">
        <v>137</v>
      </c>
      <c r="H76" s="25"/>
    </row>
    <row r="77" customFormat="false" ht="12.75" hidden="false" customHeight="false" outlineLevel="0" collapsed="false">
      <c r="B77" s="37" t="s">
        <v>138</v>
      </c>
      <c r="C77" s="39"/>
      <c r="D77" s="25"/>
      <c r="E77" s="25"/>
      <c r="F77" s="25"/>
    </row>
    <row r="78" customFormat="false" ht="12.75" hidden="false" customHeight="false" outlineLevel="0" collapsed="false">
      <c r="B78" s="37" t="s">
        <v>139</v>
      </c>
      <c r="C78" s="39" t="n">
        <f aca="false">(1*C70)/(1*C69)</f>
        <v>1.53333333333333</v>
      </c>
      <c r="D78" s="25"/>
      <c r="E78" s="25"/>
      <c r="F78" s="25"/>
    </row>
    <row r="79" customFormat="false" ht="12.75" hidden="false" customHeight="false" outlineLevel="0" collapsed="false">
      <c r="B79" s="37" t="s">
        <v>140</v>
      </c>
      <c r="C79" s="39" t="n">
        <f aca="false">C78*C75</f>
        <v>5.87315915627996</v>
      </c>
      <c r="D79" s="25"/>
      <c r="E79" s="25"/>
      <c r="F79" s="25"/>
      <c r="H79" s="40" t="s">
        <v>141</v>
      </c>
      <c r="I79" s="40"/>
      <c r="J79" s="40" t="s">
        <v>142</v>
      </c>
    </row>
    <row r="80" customFormat="false" ht="12.75" hidden="false" customHeight="false" outlineLevel="0" collapsed="false">
      <c r="B80" s="35" t="s">
        <v>143</v>
      </c>
      <c r="C80" s="41" t="n">
        <f aca="false">C79*C22*1000</f>
        <v>1470223652.72788</v>
      </c>
      <c r="D80" s="35" t="s">
        <v>144</v>
      </c>
      <c r="E80" s="41" t="n">
        <f aca="false">C80/1000000</f>
        <v>1470.22365272788</v>
      </c>
      <c r="F80" s="35" t="s">
        <v>145</v>
      </c>
      <c r="H80" s="40" t="s">
        <v>146</v>
      </c>
      <c r="I80" s="40" t="n">
        <v>12</v>
      </c>
      <c r="J80" s="40"/>
    </row>
    <row r="81" customFormat="false" ht="12.75" hidden="false" customHeight="false" outlineLevel="0" collapsed="false">
      <c r="B81" s="37" t="s">
        <v>147</v>
      </c>
      <c r="C81" s="37"/>
      <c r="D81" s="39" t="n">
        <f aca="false">C79/J59</f>
        <v>0.853963343420782</v>
      </c>
      <c r="E81" s="25"/>
      <c r="F81" s="25"/>
      <c r="H81" s="40" t="s">
        <v>148</v>
      </c>
      <c r="I81" s="40" t="n">
        <v>44</v>
      </c>
      <c r="J81" s="40"/>
    </row>
    <row r="82" customFormat="false" ht="12.75" hidden="false" customHeight="false" outlineLevel="0" collapsed="false">
      <c r="B82" s="37" t="s">
        <v>149</v>
      </c>
      <c r="C82" s="37"/>
      <c r="D82" s="42" t="n">
        <f aca="false">C75/J59</f>
        <v>0.556932615274423</v>
      </c>
      <c r="E82" s="25"/>
      <c r="F82" s="25"/>
      <c r="H82" s="40" t="s">
        <v>150</v>
      </c>
      <c r="I82" s="43" t="n">
        <f aca="false">(1*I81)/(1*I80)</f>
        <v>3.66666666666667</v>
      </c>
      <c r="J82" s="40"/>
    </row>
    <row r="83" customFormat="false" ht="12.75" hidden="false" customHeight="false" outlineLevel="0" collapsed="false">
      <c r="H83" s="40" t="s">
        <v>151</v>
      </c>
      <c r="I83" s="43" t="n">
        <f aca="false">I82*B43</f>
        <v>2234.86532438479</v>
      </c>
      <c r="J83" s="40" t="s">
        <v>152</v>
      </c>
    </row>
    <row r="84" customFormat="false" ht="12.75" hidden="false" customHeight="false" outlineLevel="0" collapsed="false">
      <c r="H84" s="40" t="s">
        <v>153</v>
      </c>
      <c r="I84" s="43" t="n">
        <f aca="false">I83/J59</f>
        <v>324.951702094795</v>
      </c>
      <c r="J84" s="40" t="s">
        <v>154</v>
      </c>
    </row>
    <row r="85" customFormat="false" ht="12.75" hidden="false" customHeight="false" outlineLevel="0" collapsed="false">
      <c r="H85" s="40" t="s">
        <v>155</v>
      </c>
      <c r="I85" s="40" t="n">
        <f aca="false">I83*C22*1000</f>
        <v>559452208452.165</v>
      </c>
      <c r="J85" s="40" t="s">
        <v>133</v>
      </c>
      <c r="K85" s="43" t="n">
        <f aca="false">I85/1000000</f>
        <v>559452.208452165</v>
      </c>
      <c r="L85" s="40" t="s">
        <v>156</v>
      </c>
    </row>
    <row r="86" customFormat="false" ht="12.75" hidden="false" customHeight="false" outlineLevel="0" collapsed="false">
      <c r="H86" s="25"/>
    </row>
  </sheetData>
  <conditionalFormatting sqref="C11">
    <cfRule type="expression" priority="2" aboveAverage="0" equalAverage="0" bottom="0" percent="0" rank="0" text="" dxfId="0">
      <formula>LEN(TRIM(C11))&gt;0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2023-10-26T09:00:22Z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